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IERSHIP RUGBY/Season 2023-24/"/>
    </mc:Choice>
  </mc:AlternateContent>
  <xr:revisionPtr revIDLastSave="6120" documentId="8_{1E0D64AE-FBB3-4718-8DEE-FA6B8BBE6350}" xr6:coauthVersionLast="47" xr6:coauthVersionMax="47" xr10:uidLastSave="{2B32BE76-E382-40B7-9779-BB97F7226980}"/>
  <bookViews>
    <workbookView xWindow="-26192" yWindow="747" windowWidth="26301" windowHeight="14169" tabRatio="952" activeTab="10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EW" sheetId="11" r:id="rId7"/>
    <sheet name="NOR" sheetId="9" r:id="rId8"/>
    <sheet name="SAL" sheetId="10" r:id="rId9"/>
    <sheet name="SAR" sheetId="14" r:id="rId10"/>
    <sheet name="OVERALL" sheetId="13" r:id="rId11"/>
  </sheets>
  <externalReferences>
    <externalReference r:id="rId12"/>
  </externalReferences>
  <definedNames>
    <definedName name="A_Wallerpts">NOR!$G$44</definedName>
    <definedName name="A_Wallertries">NOR!$B$44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NEW!#REF!</definedName>
    <definedName name="Adams_Halesarptscorrect">SAR!$G$3</definedName>
    <definedName name="Adams_Halesartries">NEW!#REF!</definedName>
    <definedName name="Adams_Halesartriescorrect">SAR!$B$3</definedName>
    <definedName name="Adamsworpts">#REF!</definedName>
    <definedName name="Adamswortries">#REF!</definedName>
    <definedName name="Addisonsalpts">SAL!#REF!</definedName>
    <definedName name="Addisonsaltries">SAL!#REF!</definedName>
    <definedName name="Adejimisarpts">SAR!$G$4</definedName>
    <definedName name="Adejimisartries">SAR!$B$4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ts">GLO!$G$4</definedName>
    <definedName name="Alemannoglotries">GLO!$B$4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BRI!$M$12</definedName>
    <definedName name="allinsonligoals">BRI!$L$12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ts">HAR!$G$4</definedName>
    <definedName name="Andersonhartries">HAR!$B$4</definedName>
    <definedName name="Annettbthpts">BTH!$G$3</definedName>
    <definedName name="Annettbthtries">BTH!$B$3</definedName>
    <definedName name="Anyanwuharpts">HAR!$G$3</definedName>
    <definedName name="Anyanwuhartries">HAR!$B$3</definedName>
    <definedName name="Armanddonpts">EXE!$G$4</definedName>
    <definedName name="Armanddontries">EXE!$B$4</definedName>
    <definedName name="Armitageguytries">BRI!#REF!</definedName>
    <definedName name="Armitagewaspts">#REF!</definedName>
    <definedName name="Armitagewastries">#REF!</definedName>
    <definedName name="Armstrongbripts">BRI!$G$5</definedName>
    <definedName name="Armstrongbritries">BRI!$B$5</definedName>
    <definedName name="ArmstrongEXEpts">EXE!$G$3</definedName>
    <definedName name="ArmstrongEXEtries">EXE!$B$3</definedName>
    <definedName name="Armstrongjakebripts">BRI!$G$3</definedName>
    <definedName name="Armstrongjakebritries">BRI!$B$3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NEW!#REF!</definedName>
    <definedName name="Arscottnewtries">#REF!</definedName>
    <definedName name="Arscottnewtriescorrect">NEW!#REF!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BRI!$G$4</definedName>
    <definedName name="Ascherlbritries">BRI!$B$4</definedName>
    <definedName name="Ashmansalpts">SAL!#REF!</definedName>
    <definedName name="Ashmansaltries">SAL!#REF!</definedName>
    <definedName name="Ashtonchrisptscorrect">NEW!#REF!</definedName>
    <definedName name="Ashtonchristriescorrect">NEW!#REF!</definedName>
    <definedName name="Ashtonpts">NEW!#REF!</definedName>
    <definedName name="Ashtonsalpts">SAL!#REF!</definedName>
    <definedName name="Ashtonsaltries">SAL!#REF!</definedName>
    <definedName name="ashtontries">NEW!#REF!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BRI!$M$8</definedName>
    <definedName name="atkinslirgls">BRI!$L$8</definedName>
    <definedName name="Atkinson_Cglopts">GLO!$G$5</definedName>
    <definedName name="Atkinson_Cglotries">GLO!$B$5</definedName>
    <definedName name="Atkinson_Sglopts">GLO!$G$6</definedName>
    <definedName name="Atkinson_Sglotries">GLO!$B$6</definedName>
    <definedName name="atkinsonCgloatt">GLO!$M$4</definedName>
    <definedName name="atkinsonCglogls">GLO!$L$4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BTH!$G$31</definedName>
    <definedName name="attwoodtries">BTH!#REF!</definedName>
    <definedName name="Augustusnorpts">NOR!$G$3</definedName>
    <definedName name="Augustusnortries">NOR!$B$3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BTH!$M$4</definedName>
    <definedName name="Baileybthgls">BTH!$L$4</definedName>
    <definedName name="Baileybthpts">BTH!$G$4</definedName>
    <definedName name="Baileybthtries">BTH!$B$4</definedName>
    <definedName name="Bainessalpts">SAL!#REF!</definedName>
    <definedName name="Bainessaltries">SAL!#REF!</definedName>
    <definedName name="Baldwinharpts">HAR!#REF!</definedName>
    <definedName name="Baldwinhartries">HAR!#REF!</definedName>
    <definedName name="Balmainglopts">GLO!$G$7</definedName>
    <definedName name="Balmainglotries">GLO!$B$7</definedName>
    <definedName name="Balmainleipts">LEI!#REF!</definedName>
    <definedName name="Balmainleitries">LEI!#REF!</definedName>
    <definedName name="BamberSALpts">SAL!$H$3</definedName>
    <definedName name="BamberSALtries">SAL!$B$3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BTH!$G$5</definedName>
    <definedName name="Barbearybthtries">BTH!$B$5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HAR!$G$5</definedName>
    <definedName name="Barneshartries">HAR!$B$5</definedName>
    <definedName name="Barnesnewpts">#REF!</definedName>
    <definedName name="Barnesnewtries">#REF!</definedName>
    <definedName name="Barringtonrichardpts">NEW!$G$3</definedName>
    <definedName name="Barringtonrichardtries">NEW!$B$3</definedName>
    <definedName name="Barringtonsarptscorrect">SAR!#REF!</definedName>
    <definedName name="Barringtonsartriescorrect">SAR!#REF!</definedName>
    <definedName name="Barrittbradpts">NEW!$G$6</definedName>
    <definedName name="Barrittbradtries">NEW!$B$6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GLO!$G$8</definedName>
    <definedName name="Bartlettglotries">GLO!$B$8</definedName>
    <definedName name="Bartongloatt">GLO!$M$5</definedName>
    <definedName name="Bartonglogls">GLO!$L$5</definedName>
    <definedName name="Bartonglopts">GLO!$G$9</definedName>
    <definedName name="Bartonglotries">GLO!$B$9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BRI!$G$6</definedName>
    <definedName name="Batesbritries">BRI!$B$6</definedName>
    <definedName name="bathpentries">BTH!#REF!</definedName>
    <definedName name="bathpentriespts">BTH!#REF!</definedName>
    <definedName name="bathpentriesptscorrect">BTH!#REF!</definedName>
    <definedName name="bathpentriesptsthisone">BTH!$G$31</definedName>
    <definedName name="bathpentriestriescorrect">BTH!#REF!</definedName>
    <definedName name="bathpentriestriesthisone">BTH!$B$31</definedName>
    <definedName name="BathPts">BTH!$G$48</definedName>
    <definedName name="bathscorers">BTH!#REF!</definedName>
    <definedName name="BathTries">BTH!$B$48</definedName>
    <definedName name="Batleybripts">BRI!#REF!</definedName>
    <definedName name="Batleybriptscorrect">BRI!$G$7</definedName>
    <definedName name="Batleybritries">BRI!#REF!</definedName>
    <definedName name="Batleybritriescorrect">BRI!$B$7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HAR!$G$6</definedName>
    <definedName name="Baxterhartries">HAR!$B$6</definedName>
    <definedName name="Baylissbthpts">BTH!$G$6</definedName>
    <definedName name="Baylissbthtries">BTH!$B$6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HAR!$G$7</definedName>
    <definedName name="Beardhartries">HAR!$B$7</definedName>
    <definedName name="Beatonsarpts">SAR!$G$5</definedName>
    <definedName name="Beatonsartries">SAR!$B$5</definedName>
    <definedName name="Beaumontsalpts">SAL!$H$4</definedName>
    <definedName name="Beaumontsaltries">SAL!$B$4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briatt">BRI!#REF!</definedName>
    <definedName name="Bedlowbrigls">BRI!#REF!</definedName>
    <definedName name="Bedlowbripts">BRI!$G$8</definedName>
    <definedName name="bedlowbritries">BRI!$B$8</definedName>
    <definedName name="BedlowSAL_pts">SAL!$H$5</definedName>
    <definedName name="BedlowSAL_tries">SAL!$B$5</definedName>
    <definedName name="bedlowsalatt">SAL!#REF!</definedName>
    <definedName name="bedlowsalattcorrect">SAL!$O$4</definedName>
    <definedName name="Bedlowsalgls">SAL!#REF!</definedName>
    <definedName name="bedlowsalglscorrect">SAL!$N$4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#REF!</definedName>
    <definedName name="Bellchrispts">#REF!</definedName>
    <definedName name="Bellchristries">#REF!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NEW!$G$4</definedName>
    <definedName name="Bellonewtries">NEW!$B$4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HAR!$M$5</definedName>
    <definedName name="bensonhargls">HAR!$L$5</definedName>
    <definedName name="Bensonharpts">HAR!$G$8</definedName>
    <definedName name="Bensonhartries">HAR!$B$8</definedName>
    <definedName name="Bentleyjonnypts">GLO!#REF!</definedName>
    <definedName name="Benz_Salomon_Jbripts">BRI!$G$9</definedName>
    <definedName name="Benz_Salomon_Jbritri">BRI!$B$9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ingtonbstpts">BRI!$G$5</definedName>
    <definedName name="Bevingtonbsttries">BRI!$B$5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SAL!$H$6</definedName>
    <definedName name="Birchsaltries">SAL!$B$6</definedName>
    <definedName name="blackettnewatt">NEW!#REF!</definedName>
    <definedName name="blackettnewgls">NEW!#REF!</definedName>
    <definedName name="Blackettnewpts">NEW!$G$5</definedName>
    <definedName name="Blackettnewtries">NEW!$B$5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GLO!$G$10</definedName>
    <definedName name="Blakeglotries">GLO!$B$10</definedName>
    <definedName name="Blamirenewpts">#REF!</definedName>
    <definedName name="Blamirenewtries">#REF!</definedName>
    <definedName name="Blommetjiesleicpts">LEI!$G$8</definedName>
    <definedName name="Blommetjiesleictries">LEI!$B$8</definedName>
    <definedName name="Bodillyexepts">EXE!#REF!</definedName>
    <definedName name="Bodillyexetries">EXE!#REF!</definedName>
    <definedName name="boschatt">NEW!#REF!</definedName>
    <definedName name="Boschgoals">NEW!#REF!</definedName>
    <definedName name="Boschmarcelopts">NEW!$G$7</definedName>
    <definedName name="Boschmarcelotries">NEW!$B$7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NEW!#REF!</definedName>
    <definedName name="Bothamouritztries">NEW!#REF!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BTH!$G$7</definedName>
    <definedName name="Boycebthtries">BTH!$B$7</definedName>
    <definedName name="Boyceharpts">HAR!#REF!</definedName>
    <definedName name="Boycehartries">HAR!#REF!</definedName>
    <definedName name="Bradburybripts">BRI!$G$10</definedName>
    <definedName name="Bradburybritries">BRI!$B$10</definedName>
    <definedName name="Bradleyharpts">HAR!$G$9</definedName>
    <definedName name="Bradleyhartries">HAR!$B$9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NOR!$G$4</definedName>
    <definedName name="Braleynortries">NOR!#REF!</definedName>
    <definedName name="Braleynortriescorrect">NOR!$B$4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BRI!$G$66</definedName>
    <definedName name="BristolTries">BRI!$B$66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NEW!#REF!</definedName>
    <definedName name="britstris">NEW!#REF!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2">HAR!#REF!</definedName>
    <definedName name="Brownedanielpts">#REF!</definedName>
    <definedName name="Brownedanieltries">#REF!</definedName>
    <definedName name="BrowneHARpts">HAR!$G$10</definedName>
    <definedName name="BrowneHARtries">HAR!$B$10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NEW!#REF!</definedName>
    <definedName name="brownkellytries">NEW!#REF!</definedName>
    <definedName name="brownleipts">LEI!$G$5</definedName>
    <definedName name="brownleitries">LEI!$B$5</definedName>
    <definedName name="brownmikepts2">HAR!#REF!</definedName>
    <definedName name="Brownmiketries">HAR!#REF!</definedName>
    <definedName name="brownmiketriescorrect">HAR!#REF!</definedName>
    <definedName name="brownnewpts">NEW!$G$8</definedName>
    <definedName name="brownnewtries">NEW!$B$8</definedName>
    <definedName name="brownsarpts">NEW!#REF!</definedName>
    <definedName name="brownsartries">NEW!#REF!</definedName>
    <definedName name="Brussownorpts">NOR!#REF!</definedName>
    <definedName name="Brussownortries">NOR!#REF!</definedName>
    <definedName name="Bryansarpts">SAR!$G$6</definedName>
    <definedName name="Bryansartries">SAR!$B$6</definedName>
    <definedName name="bryantleiatt">LEI!$M$5</definedName>
    <definedName name="Bryantleigoals">LEI!$L$5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NEW!$G$11</definedName>
    <definedName name="Burgerjacquestries">NEW!$B$11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NEW!$G$9</definedName>
    <definedName name="Burrellnewtries">NEW!$B$9</definedName>
    <definedName name="Burrellpts">NOR!#REF!</definedName>
    <definedName name="Burrelltries">NOR!#REF!</definedName>
    <definedName name="Burrelltriescorrect">NOR!#REF!</definedName>
    <definedName name="BurrowsEXEpts">EXE!$G$5</definedName>
    <definedName name="BurrowsEXEtries">EXE!$B$5</definedName>
    <definedName name="Burrowsnewpts">#REF!</definedName>
    <definedName name="Burrowsnewtries">#REF!</definedName>
    <definedName name="Buttbthpts">BTH!$G$8</definedName>
    <definedName name="Buttbthtries">BTH!$B$8</definedName>
    <definedName name="Byrnebripts">BRI!$G$11</definedName>
    <definedName name="Byrnebritries">BRI!$B$11</definedName>
    <definedName name="Cahillshanepts">#REF!</definedName>
    <definedName name="Cahillshanetries">#REF!</definedName>
    <definedName name="Cainesalpts">SAL!$H$7</definedName>
    <definedName name="Cainesaltries">SAL!$B$7</definedName>
    <definedName name="Cairnsexepts">EXE!$G$6</definedName>
    <definedName name="Cairnsexetries">EXE!$B$6</definedName>
    <definedName name="Caldwellexepts">EXE!$G$7</definedName>
    <definedName name="Caldwellexetries">EXE!$B$7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BRI!$G$12</definedName>
    <definedName name="Caponbritries">BRI!$B$12</definedName>
    <definedName name="Capstickexepts">EXE!$G$7</definedName>
    <definedName name="Capstickexetries">EXE!$B$7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HAR!$B$11</definedName>
    <definedName name="Carepts">HAR!$G$11</definedName>
    <definedName name="caretries" comment="constant">HAR!$B$11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SAL!$H$8</definedName>
    <definedName name="Carpentersaltries">SAL!$B$8</definedName>
    <definedName name="carrerasgloatt">GLO!$M$6</definedName>
    <definedName name="Carrerasglogls">GLO!$L$6</definedName>
    <definedName name="Carrerasglopts">GLO!$G$11</definedName>
    <definedName name="Carrerasglotries">GLO!$B$11</definedName>
    <definedName name="Carrerasnewpts">NEW!$G$10</definedName>
    <definedName name="Carrerasnewtries">NEW!$B$10</definedName>
    <definedName name="Carrharpts">HAR!$G$12</definedName>
    <definedName name="Carrhartries">HAR!$B$12</definedName>
    <definedName name="Carrick_Smithexepts">EXE!#REF!</definedName>
    <definedName name="Carrick_Smithexetries">EXE!#REF!</definedName>
    <definedName name="Carrnwaspts">#REF!</definedName>
    <definedName name="Carrnwastries">#REF!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BRI!$G$13</definedName>
    <definedName name="CaulfieldBRItries">BRI!$B$13</definedName>
    <definedName name="Challengerbripts">BRI!$G$14</definedName>
    <definedName name="Challengerbritries">BRI!$B$14</definedName>
    <definedName name="chapmangloatt">GLO!$M$7</definedName>
    <definedName name="chapmanglogls">GLO!$L$7</definedName>
    <definedName name="Chapmanglopts">GLO!$G$12</definedName>
    <definedName name="Chapmanglotries">GLO!$B$12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LEI!$G$6</definedName>
    <definedName name="Chessum_Lleitries">LEI!$B$6</definedName>
    <definedName name="Chessumleicpts">LEI!$G$7</definedName>
    <definedName name="Chessumleictries">LEI!$B$7</definedName>
    <definedName name="Chicknewpts">#REF!</definedName>
    <definedName name="Chicknewtries">#REF!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HAR!$G$13</definedName>
    <definedName name="Chisholmjameshartries">HAR!$B$13</definedName>
    <definedName name="Christiesarptscorrect">SAR!$G$7</definedName>
    <definedName name="Christiesartriescorrect">SAR!$B$7</definedName>
    <definedName name="Chudleybthpts">BTH!$G$8</definedName>
    <definedName name="Chudleybthtries">BTH!$B$8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SAR!$G$8</definedName>
    <definedName name="Cintisartries">SAR!$B$8</definedName>
    <definedName name="ciprianiatt">SAL!#REF!</definedName>
    <definedName name="ciprianibthatt">BTH!#REF!</definedName>
    <definedName name="ciprianibthgls">BTH!#REF!</definedName>
    <definedName name="ciprianibthpts">BTH!$G$9</definedName>
    <definedName name="Ciprianibthtries">BTH!$B$9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NOR!#REF!</definedName>
    <definedName name="Clarenortries">NOR!#REF!</definedName>
    <definedName name="Clareysarptscorrect">SAR!$G$9</definedName>
    <definedName name="Clareysartriescorrect">SAR!$B$9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glopts">GLO!$G$13</definedName>
    <definedName name="Clarkglotries">GLO!$B$13</definedName>
    <definedName name="Cleavesharpts">HAR!$G$14</definedName>
    <definedName name="Cleaveshartries">HAR!$B$14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SAL!$H$10</definedName>
    <definedName name="Cliffwillsaltries">SAL!$B$10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tzeebthpts">BTH!$G$10</definedName>
    <definedName name="Coetzeebthtries">BTH!$B$10</definedName>
    <definedName name="Coetzerglopts">GLO!$G$15</definedName>
    <definedName name="Coetzerglotries">GLO!$B$15</definedName>
    <definedName name="Cokanasigabthpts">BTH!$G$11</definedName>
    <definedName name="Cokanasigabthtries">BTH!$B$11</definedName>
    <definedName name="CokanasigaLEIpts">LEI!$G$9</definedName>
    <definedName name="CokanasigaLEItries">LEI!$B$9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LEI!$G$10</definedName>
    <definedName name="Coleleitries">LEI!$B$10</definedName>
    <definedName name="Colesnorpts">NOR!$G$5</definedName>
    <definedName name="Colesnortries">NOR!$B$5</definedName>
    <definedName name="Collettnewpts">#REF!</definedName>
    <definedName name="Collettnewtries">#REF!</definedName>
    <definedName name="Collierharpts">HAR!$G$15</definedName>
    <definedName name="Collierhartries">HAR!$B$15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NEW!#REF!</definedName>
    <definedName name="Conlonsartries">NEW!#REF!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NEW!$G$13</definedName>
    <definedName name="Connonnewtries">#REF!</definedName>
    <definedName name="Connonnewtriescorrect">#REF!</definedName>
    <definedName name="Connonnewtriescorrectthsione">NEW!$B$13</definedName>
    <definedName name="cookatt">GLO!#REF!</definedName>
    <definedName name="Cookbthpts">BTH!$G$12</definedName>
    <definedName name="Cookbthtries">BTH!$B$12</definedName>
    <definedName name="Cookchrispts">BTH!$G$12</definedName>
    <definedName name="Cookchristries">BTH!$B$12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urtlipts">BRI!$G$16</definedName>
    <definedName name="Courtlitries">BRI!$B$16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SAL!$H$9</definedName>
    <definedName name="Cowan_Dickiesaltries">SAL!$B$9</definedName>
    <definedName name="Cowanblairtries">BRI!#REF!</definedName>
    <definedName name="Cowanjimmypts">GLO!$G$52</definedName>
    <definedName name="Cowanjimmytries">GLO!$B$52</definedName>
    <definedName name="Cowanlipts">BRI!#REF!</definedName>
    <definedName name="Cowanpts">BRI!#REF!</definedName>
    <definedName name="Cowansarpts">NEW!#REF!</definedName>
    <definedName name="Cowansartries">NEW!#REF!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LEI!$G$11</definedName>
    <definedName name="Cracknellleitries">LEI!$B$11</definedName>
    <definedName name="Craignorpts">NOR!#REF!</definedName>
    <definedName name="Craignortries">NOR!#REF!</definedName>
    <definedName name="cranebripts">BRI!$G$16</definedName>
    <definedName name="Cranebritries">BRI!$B$16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evyagustinpts">#REF!</definedName>
    <definedName name="Creevyagustintries">#REF!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LEI!$G$12</definedName>
    <definedName name="Croninleitrie">LEI!$B$12</definedName>
    <definedName name="Crossdalesarpts">NEW!$G$16</definedName>
    <definedName name="Crossdalesarptscorrect">NEW!$G$14</definedName>
    <definedName name="Crossdalesartries">NEW!$B$16</definedName>
    <definedName name="Crossdalesartriescorrect">NEW!$B$14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HAR!#REF!</definedName>
    <definedName name="Crumptonhartries">HAR!#REF!</definedName>
    <definedName name="CruseNORpts">NOR!$G$6</definedName>
    <definedName name="CruseNORtries">NOR!$B$6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HAR!$G$16</definedName>
    <definedName name="Cunningham_Sthhartries">HAR!$B$16</definedName>
    <definedName name="Curry_Bsalpts">SAL!$H$11</definedName>
    <definedName name="Curry_Bsaltries">SAL!$B$11</definedName>
    <definedName name="Curry_Tsalpts">SAL!$H$12</definedName>
    <definedName name="Curry_Tsaltries">SAL!$B$12</definedName>
    <definedName name="Curtis_Harrislirpts">#REF!</definedName>
    <definedName name="Curtis_Harrislirtries">#REF!</definedName>
    <definedName name="Curtissalpts">SAL!$H$13</definedName>
    <definedName name="Curtissaltries">SAL!$B$13</definedName>
    <definedName name="Curtiswaspts">#REF!</definedName>
    <definedName name="Curtiswastries">#REF!</definedName>
    <definedName name="Cusitersalpts">SAL!#REF!</definedName>
    <definedName name="Cusitersaltries">SAL!#REF!</definedName>
    <definedName name="Daltonnewpts">NEW!$G$15</definedName>
    <definedName name="Daltonnewtries">NEW!$B$15</definedName>
    <definedName name="Dalyelliotpts">#REF!</definedName>
    <definedName name="Dalyelliottries">#REF!</definedName>
    <definedName name="dalysarattcorrect">SAR!$M$9</definedName>
    <definedName name="dalysarglscorrect">SAR!$L$9</definedName>
    <definedName name="Dalysarptscorrect">SAR!$G$10</definedName>
    <definedName name="Dalysartriescorrect">SAR!$B$10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BRI!$G$17</definedName>
    <definedName name="Danielsbritries">BRI!$B$17</definedName>
    <definedName name="Dansarpts">SAR!$G$11</definedName>
    <definedName name="Dansartries">SAR!$B$11</definedName>
    <definedName name="dasdsa">NEW!#REF!</definedName>
    <definedName name="Davidharpts">HAR!$G$17</definedName>
    <definedName name="Davidhartries">HAR!$B$17</definedName>
    <definedName name="Davidsonglopts">GLO!$G$17</definedName>
    <definedName name="Davidsonglotries">GLO!$B$17</definedName>
    <definedName name="Davidsonnewpts">#REF!</definedName>
    <definedName name="Davidsonnewtries">#REF!</definedName>
    <definedName name="DavidsonNORpts">NOR!$G$7</definedName>
    <definedName name="DavidsonNORtries">NOR!$B$7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BRI!$G$15</definedName>
    <definedName name="Daviesbritries">BRI!$B$15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rptscorrect">SAR!$G$12</definedName>
    <definedName name="Daviessartriescorrect">SAR!$B$12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GLO!$G$14</definedName>
    <definedName name="Dawidiukglotries">GLO!$B$14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LEI!#REF!</definedName>
    <definedName name="De_Chavesleitries">LEI!#REF!</definedName>
    <definedName name="de_ChavesNEWpts">NEW!$G$18</definedName>
    <definedName name="de_ChavesNEWtries">NEW!$B$18</definedName>
    <definedName name="de_Glanvillebthgls">BTH!$L$5</definedName>
    <definedName name="de_Haassarptscorrect">SAR!$G$13</definedName>
    <definedName name="de_Haassartriescorrect">SAR!$B$13</definedName>
    <definedName name="de_Jagersalpts">SAL!$H$14</definedName>
    <definedName name="de_Jagersaltries">SAL!$B$14</definedName>
    <definedName name="de_Jagersarpts">NEW!#REF!</definedName>
    <definedName name="de_Jagersartries">NEW!#REF!</definedName>
    <definedName name="de_Jonghwaspts">#REF!</definedName>
    <definedName name="de_Jonghwastries">#REF!</definedName>
    <definedName name="de_Klerksalgls">SAL!#REF!</definedName>
    <definedName name="de_Kockneilpts">NEW!$G$12</definedName>
    <definedName name="de_Kockneiltries">NEW!$B$12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BTH!$M$5</definedName>
    <definedName name="dehaassaratt">SAR!#REF!</definedName>
    <definedName name="dehaassargls">SAR!#REF!</definedName>
    <definedName name="deklerksalatt">SAL!#REF!</definedName>
    <definedName name="Delmasbthpts">BTH!$G$13</definedName>
    <definedName name="Delmasbthtries">BTH!$B$13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GLO!$G$16</definedName>
    <definedName name="Dentonglotries">GLO!$B$16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EXE!$G$9</definedName>
    <definedName name="Devotoexetries">EXE!$B$9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LEI!$G$13</definedName>
    <definedName name="Diaz_Bonilla_Jleictries">LEI!$B$13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NOR!$G$8</definedName>
    <definedName name="Dingwallnortries">NOR!$B$8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HAR!$G$18</definedName>
    <definedName name="Dombrandthartries">HAR!$B$18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BRI!$G$19</definedName>
    <definedName name="Dorrianlitries">BRI!$B$19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NEW!$G$17</definedName>
    <definedName name="DouglasNEWtries">NEW!$B$17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NEW!$G$19</definedName>
    <definedName name="du_Plessissartries">NEW!$B$19</definedName>
    <definedName name="du_Preez__JPsalpts">SAL!#REF!</definedName>
    <definedName name="du_Preez__JPsaltries">SAL!#REF!</definedName>
    <definedName name="du_Preez_Dsalpts">SAL!$H$15</definedName>
    <definedName name="du_Preez_Dsaltries">SAL!$B$15</definedName>
    <definedName name="du_Preez_J_Lsalpts">SAL!$H$16</definedName>
    <definedName name="du_Preez_J_Lsaltries">SAL!$B$16</definedName>
    <definedName name="du_Preez_Rsalpts">SAL!$H$17</definedName>
    <definedName name="du_Preez_Rsaltries">SAL!$B$17</definedName>
    <definedName name="du_Preezworpts">#REF!</definedName>
    <definedName name="du_Preezwortries">#REF!</definedName>
    <definedName name="du_Toitbthpts">BTH!$G$15</definedName>
    <definedName name="du_Toitbthtries">BTH!$B$15</definedName>
    <definedName name="Dugdalesalpts">SAL!$H$18</definedName>
    <definedName name="Dugdalesaltries">SAL!$B$18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GLO!$G$18</definedName>
    <definedName name="DunnGLOtries">GLO!$B$18</definedName>
    <definedName name="Dunntompts">BTH!$G$14</definedName>
    <definedName name="dupreezsalatt">SAL!$O$5</definedName>
    <definedName name="dupreezsalgls">SAL!$N$5</definedName>
    <definedName name="dupreezsalpts">SAL!$O$5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NEW!#REF!</definedName>
    <definedName name="Earlenathantries">NEW!#REF!</definedName>
    <definedName name="Earlsarpts">NEW!$G$20</definedName>
    <definedName name="Earlsarptscorrect">SAR!$G$14</definedName>
    <definedName name="Earlsartries">NEW!$B$20</definedName>
    <definedName name="Earlsartriescorrect">SAR!$B$14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BRI!$G$18</definedName>
    <definedName name="Edenbritries">BRI!$B$18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HAR!$M$6</definedName>
    <definedName name="edwardshargls">HAR!$L$6</definedName>
    <definedName name="Edwardsharpts">HAR!$G$19</definedName>
    <definedName name="Edwardshartries">HAR!$B$19</definedName>
    <definedName name="Edwardsleicpts">LEI!$G$14</definedName>
    <definedName name="Edwardsleictries">LEI!$B$14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lderchrispts">#REF!</definedName>
    <definedName name="Elderchristries">#REF!</definedName>
    <definedName name="Eliaharpts">HAR!#REF!</definedName>
    <definedName name="Eliahartries">HAR!#REF!</definedName>
    <definedName name="Ellerysarpts">NEW!#REF!</definedName>
    <definedName name="Ellerysartries">NEW!#REF!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SAR!$G$15</definedName>
    <definedName name="Elliottsartries">SAR!$B$15</definedName>
    <definedName name="Ellisgerardpts">BRI!#REF!</definedName>
    <definedName name="Ellisgerardtries">BRI!#REF!</definedName>
    <definedName name="Elringtonglopts">GLO!$G$19</definedName>
    <definedName name="Elringtonglotries">GLO!$B$19</definedName>
    <definedName name="EneSALpts">SAL!$H$19</definedName>
    <definedName name="EneSALtries">SAL!$B$19</definedName>
    <definedName name="englefieldgloatt">GLO!$M$8</definedName>
    <definedName name="englefieldglogls">GLO!$L$8</definedName>
    <definedName name="Englefieldglopts">GLO!$G$20</definedName>
    <definedName name="Englefieldglotries">GLO!$B$20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HAR!$M$7</definedName>
    <definedName name="Esterhuizenhargls">HAR!$L$7</definedName>
    <definedName name="Esterhuizenharpts">HAR!$G$21</definedName>
    <definedName name="Esterhuizenhartries">HAR!$B$21</definedName>
    <definedName name="Evans_Jharpts">HAR!$B$22</definedName>
    <definedName name="Evans_Jharptscorrect">HAR!$G$22</definedName>
    <definedName name="Evans_Jhartries">HAR!$G$22</definedName>
    <definedName name="Evans_Jhartriescorrect">HAR!$B$22</definedName>
    <definedName name="Evans_Lglopts">GLO!$G$21</definedName>
    <definedName name="Evans_Lglotries">GLO!$B$21</definedName>
    <definedName name="Evans_Oharpts">HAR!$G$20</definedName>
    <definedName name="Evans_Ohartries">HAR!$B$20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HAR!$B$23</definedName>
    <definedName name="Evansleipts">LEI!#REF!</definedName>
    <definedName name="Evansleitries">LEI!#REF!</definedName>
    <definedName name="evanslgloatt">GLO!$M$9</definedName>
    <definedName name="evanslglogoals">GLO!$L$9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HAR!$G$23</definedName>
    <definedName name="Evanswillharpts">HAR!$G$23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BTH!$G$16</definedName>
    <definedName name="ewelsbthtries">BTH!$B$16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EXE!$G$49</definedName>
    <definedName name="ExeterTries">EXE!$B$49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NEW!#REF!</definedName>
    <definedName name="farrellgoals">NEW!#REF!</definedName>
    <definedName name="Farrellowentries">NEW!$B$23</definedName>
    <definedName name="Farrellpts">NEW!#REF!</definedName>
    <definedName name="farrellsarattcorrect">SAR!$M$5</definedName>
    <definedName name="farrellsarglscorrect">SAR!$L$5</definedName>
    <definedName name="Farrellsarpts">NEW!$G$23</definedName>
    <definedName name="Farrellsarptscorrect">SAR!$G$16</definedName>
    <definedName name="farrellsartriescorrect">SAR!$B$16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NEW!$G$21</definedName>
    <definedName name="Fearnsnewtries">NEW!$B$21</definedName>
    <definedName name="Fenbylipts">BRI!$G$22</definedName>
    <definedName name="Fenbylitries">BRI!$B$22</definedName>
    <definedName name="Fenbypts">BRI!#REF!</definedName>
    <definedName name="Fenbysarpts">NEW!#REF!</definedName>
    <definedName name="Fenbysartries">NEW!#REF!</definedName>
    <definedName name="Fenbytries">BRI!#REF!</definedName>
    <definedName name="Fenton_Wellsbripts">BRI!$G$19</definedName>
    <definedName name="Fenton_Wellsbritries">BRI!$B$19</definedName>
    <definedName name="Fercusarpts">NEW!#REF!</definedName>
    <definedName name="Fercusarptscorrect">NEW!#REF!</definedName>
    <definedName name="Fercusartries">NEW!#REF!</definedName>
    <definedName name="Fercusartriescorrect">NEW!#REF!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NEW!#REF!</definedName>
    <definedName name="Figallosartries">NEW!#REF!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NEW!#REF!</definedName>
    <definedName name="Flanagansartries">NEW!#REF!</definedName>
    <definedName name="floodatt">LEI!#REF!</definedName>
    <definedName name="floodgoals">LEI!#REF!</definedName>
    <definedName name="Floodnewpts">#REF!</definedName>
    <definedName name="Floodnewptscorrect">NEW!#REF!</definedName>
    <definedName name="Floodnewtries">#REF!</definedName>
    <definedName name="Floodnewtriescorrect">NEW!#REF!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GLO!$G$22</definedName>
    <definedName name="Ford_Robinsonglotries">GLO!$B$22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SAL!$H$20</definedName>
    <definedName name="Fordgeorgesaltries">SAL!$B$20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SAL!$O$7</definedName>
    <definedName name="fordsalgls">SAL!$N$7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BTH!$G$17</definedName>
    <definedName name="Fotuali_ibthtries">BTH!$B$17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BRI!$G$23</definedName>
    <definedName name="Fowlietompts">BRI!#REF!</definedName>
    <definedName name="Fowlietomtries">BRI!$B$23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BRI!$G$25</definedName>
    <definedName name="Frankslirtries">BRI!$B$25</definedName>
    <definedName name="Franksnorpts">NOR!#REF!</definedName>
    <definedName name="Franksnortries">NOR!#REF!</definedName>
    <definedName name="Frasersarpts">NEW!#REF!</definedName>
    <definedName name="Frasersartries">NEW!#REF!</definedName>
    <definedName name="Fraserwillpts">NEW!#REF!</definedName>
    <definedName name="Fraserwilltries">NEW!#REF!</definedName>
    <definedName name="Freemanexepts">EXE!#REF!</definedName>
    <definedName name="Freemanexetries">EXE!#REF!</definedName>
    <definedName name="Freemannorpts">NOR!$G$9</definedName>
    <definedName name="Freemannortries">NOR!$B$9</definedName>
    <definedName name="Frischbripts">BRI!$G$20</definedName>
    <definedName name="Frischbritries">BRI!$B$20</definedName>
    <definedName name="Frostexepts">EXE!$G$13</definedName>
    <definedName name="Frostexetries">EXE!$B$13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NOR!$M$4</definedName>
    <definedName name="furbanknorgls">NOR!$L$4</definedName>
    <definedName name="Furbanknorpts">NOR!#REF!</definedName>
    <definedName name="Furbanknorptscorrect">NOR!$G$10</definedName>
    <definedName name="Furbanknortries">NOR!#REF!</definedName>
    <definedName name="Furbanknortriescorrect">NOR!$B$10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NEW!$G$22</definedName>
    <definedName name="Fusernewtries">NEW!$B$22</definedName>
    <definedName name="Galarzaglopts">GLO!$G$22</definedName>
    <definedName name="Galarzaglotries">GLO!$B$22</definedName>
    <definedName name="Galarzamarianopts">#REF!</definedName>
    <definedName name="Galarzamarianotries">#REF!</definedName>
    <definedName name="Gallaghersarpts">NEW!#REF!</definedName>
    <definedName name="Gallaghersartries">NEW!#REF!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NOR!$G$11</definedName>
    <definedName name="Garsidenortries">NOR!$B$11</definedName>
    <definedName name="Garveyglopts">GLO!#REF!</definedName>
    <definedName name="Garveyglotries">GLO!#REF!</definedName>
    <definedName name="Garveymattpts">BTH!$G$19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NEW!#REF!</definedName>
    <definedName name="Georgejamietriescorrect">NEW!#REF!</definedName>
    <definedName name="Georgepts">NEW!#REF!</definedName>
    <definedName name="Georgesarpts">NEW!$G$26</definedName>
    <definedName name="Georgesarptscorrect">SAR!$G$17</definedName>
    <definedName name="Georgesartries">NEW!$B$26</definedName>
    <definedName name="Georgesartriescorrect">SAR!$B$17</definedName>
    <definedName name="georgetries">NEW!#REF!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BRI!$G$43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NOR!$G$13</definedName>
    <definedName name="Gillespienortries">NOR!$B$13</definedName>
    <definedName name="Gillsarpts">NEW!#REF!</definedName>
    <definedName name="Gillsartries">NEW!#REF!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HAR!$G$24</definedName>
    <definedName name="Gjaltemahartries">HAR!$B$24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NOR!$G$12</definedName>
    <definedName name="GlisterNORtries">NOR!$B$12</definedName>
    <definedName name="gloucesterpentriespts">GLO!#REF!</definedName>
    <definedName name="GloucesterPenTriestries">GLO!#REF!</definedName>
    <definedName name="GloucesterPts">GLO!$G$55</definedName>
    <definedName name="GloucesterTries">GLO!$B$55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SAR!$G$18</definedName>
    <definedName name="Gonzalezsartries">SAR!$B$18</definedName>
    <definedName name="goodealexatt">NEW!#REF!</definedName>
    <definedName name="goodealexgoals">NEW!#REF!</definedName>
    <definedName name="Goodealexpts">NEW!$G$29</definedName>
    <definedName name="goodealextries">NEW!$B$29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SAR!$M$7</definedName>
    <definedName name="goodesarglscorrect">SAR!$L$7</definedName>
    <definedName name="Goodesarptscorrect">SAR!$G$19</definedName>
    <definedName name="Goodesartriescorrect">SAR!$B$19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BTH!$G$18</definedName>
    <definedName name="Grahambthtres">BTH!$B$18</definedName>
    <definedName name="Grahamnewpts">#REF!</definedName>
    <definedName name="Grahamnewtries">#REF!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EXE!$C$14</definedName>
    <definedName name="Grayexepts">EXE!$G$14</definedName>
    <definedName name="Grayexetries">EXE!$B$14</definedName>
    <definedName name="Grayharpts">HAR!#REF!</definedName>
    <definedName name="Grayhartries">HAR!#REF!</definedName>
    <definedName name="Grayjoeharpts">HAR!$G$25</definedName>
    <definedName name="Grayjoehartries">HAR!$B$25</definedName>
    <definedName name="Grayjoshglopts">GLO!#REF!</definedName>
    <definedName name="Grayjoshglotries">GLO!#REF!</definedName>
    <definedName name="Graypts">#REF!</definedName>
    <definedName name="graysonnoratt">NOR!#REF!</definedName>
    <definedName name="graysonnorgls">NOR!#REF!</definedName>
    <definedName name="Graysonnorpts">NOR!$G$14</definedName>
    <definedName name="Graysonnortries">NOR!$B$14</definedName>
    <definedName name="Greenbthpts">BTH!#REF!</definedName>
    <definedName name="Greenbthtries">BTH!#REF!</definedName>
    <definedName name="Greenharpts">HAR!$G$26</definedName>
    <definedName name="Greenhartries">HAR!$B$26</definedName>
    <definedName name="Griffinlipts">BRI!#REF!</definedName>
    <definedName name="Griffinlitries">BRI!#REF!</definedName>
    <definedName name="Griffithssarpts">NEW!#REF!</definedName>
    <definedName name="Griffithssartries">NEW!#REF!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dfieldsarpts">SAR!$G$20</definedName>
    <definedName name="Hadfieldsartries">SAR!$B$20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BRI!$G$22</definedName>
    <definedName name="Hainingbritries">BRI!$B$22</definedName>
    <definedName name="Hala_ufiachrispts">BRI!#REF!</definedName>
    <definedName name="Hala_ufiachristries">BRI!#REF!</definedName>
    <definedName name="Halaifonuaglopts">GLO!$G$23</definedName>
    <definedName name="Halaifonuaglotries">GLO!$B$23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LEI!#REF!</definedName>
    <definedName name="Hamiltonleitries">LEI!#REF!</definedName>
    <definedName name="Hamiltonsarpts">NEW!#REF!</definedName>
    <definedName name="Hamiltonsartries">NEW!#REF!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SAL!$H$21</definedName>
    <definedName name="Hammersleysaltries">SAL!$B$21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NEW!#REF!</definedName>
    <definedName name="Hankinmatttries">NEW!#REF!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rdingbripts">BRI!$G$21</definedName>
    <definedName name="Hardingbritries">BRI!$B$21</definedName>
    <definedName name="Hardingwaspts">#REF!</definedName>
    <definedName name="Hardingwastries">#REF!</definedName>
    <definedName name="hardwickleicatt">LEI!$M$5</definedName>
    <definedName name="hardwickleicgls">LEI!$L$5</definedName>
    <definedName name="Hardwickleipts">LEI!$G$15</definedName>
    <definedName name="Hardwickleitries">LEI!$B$15</definedName>
    <definedName name="Hargreavessarpts">NEW!#REF!</definedName>
    <definedName name="Hargreavessartries">NEW!#REF!</definedName>
    <definedName name="harisbthatt">BTH!$M$6</definedName>
    <definedName name="HarlequinsPts">HAR!$G$56</definedName>
    <definedName name="HarlequinsTries">HAR!$B$56</definedName>
    <definedName name="Harpersalpts">SAL!$H$23</definedName>
    <definedName name="Harpersaltries">SAL!$B$23</definedName>
    <definedName name="Harris_Bwaspts">#REF!</definedName>
    <definedName name="Harris_Bwastries">#REF!</definedName>
    <definedName name="Harrisbthgls">BTH!$L$6</definedName>
    <definedName name="Harrisbthpts">BTH!$G$20</definedName>
    <definedName name="Harrisbthtries">BTH!$B$20</definedName>
    <definedName name="Harrisglopts">GLO!$G$24</definedName>
    <definedName name="Harrisglotries">GLO!$B$24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SAL!$H$22</definedName>
    <definedName name="Harrisonsaltris">SAL!$B$22</definedName>
    <definedName name="Harrisonsampts">LEI!$G$18</definedName>
    <definedName name="Harrisonsamtries">LEI!$B$18</definedName>
    <definedName name="Harrissarpts">SAR!$G$21</definedName>
    <definedName name="Harrissarptscorrect">SAR!$G$22</definedName>
    <definedName name="Harrissartries">SAR!$B$21</definedName>
    <definedName name="Harrissartriescorrect">SAR!$B$22</definedName>
    <definedName name="Hartleypts">NOR!#REF!</definedName>
    <definedName name="Hartleyptscorrect">NOR!#REF!</definedName>
    <definedName name="Hartleysarpts">SAR!$G$23</definedName>
    <definedName name="Hartleysartries">SAR!$B$23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HAR!$A$2:$E$56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LEI!$G$16</definedName>
    <definedName name="Hassell_CollinsLEItries">LEI!$B$16</definedName>
    <definedName name="Hassell_Collinslirpts">#REF!</definedName>
    <definedName name="Hassell_Collinslirtries">#REF!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GLO!$M$10</definedName>
    <definedName name="Hastingsglogls">GLO!$L$10</definedName>
    <definedName name="HathawayGLOpts">GLO!$G$26</definedName>
    <definedName name="HathawayGLOtries">GLO!$B$26</definedName>
    <definedName name="HatherellLEIpts">LEI!$G$17</definedName>
    <definedName name="HatherellLEItries">LEI!$B$17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EXEtries">EXE!$B$16</definedName>
    <definedName name="Haydon_Woodnewgls">NEW!#REF!</definedName>
    <definedName name="Haydon_Woodnewpts">NEW!$G$24</definedName>
    <definedName name="Haydon_Woodnewtries">NEW!$B$24</definedName>
    <definedName name="haydonwoodnewatt">NEW!#REF!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neyworpts">#REF!</definedName>
    <definedName name="Heaneywortries">#REF!</definedName>
    <definedName name="HearleGLOpts">GLO!$G$27</definedName>
    <definedName name="HearleGLOtries">GLO!$B$27</definedName>
    <definedName name="Hearleworpts">#REF!</definedName>
    <definedName name="Hearlewortries">#REF!</definedName>
    <definedName name="Hearnlirpts">BRI!$G$29</definedName>
    <definedName name="Hearnlirtries">BRI!$B$29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EXE!$G$17</definedName>
    <definedName name="Hendricksonexetries">EXE!$B$17</definedName>
    <definedName name="Hendriksonexetries">EXE!$B$17</definedName>
    <definedName name="Hendynorpts">NOR!$G$15</definedName>
    <definedName name="Hendynortries">NOR!$B$15</definedName>
    <definedName name="HennesseyBTHpts">BTH!$G$21</definedName>
    <definedName name="HennesseyBTHtries">BTH!$B$21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EXE!$G$18</definedName>
    <definedName name="Hepburnexetries">EXE!$B$18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HAR!$G$29</definedName>
    <definedName name="Herbsthartries">HAR!$B$29</definedName>
    <definedName name="herronharatt">HAR!#REF!</definedName>
    <definedName name="Herronhargls">HAR!#REF!</definedName>
    <definedName name="Herronharpts">HAR!$G$27</definedName>
    <definedName name="Herronhartries">HAR!$B$27</definedName>
    <definedName name="Hewardbripts">BRI!$G$24</definedName>
    <definedName name="Hewardbritries">BRI!$B$24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SAL!$H$24</definedName>
    <definedName name="Hill_Jsaltries">SAL!$B$24</definedName>
    <definedName name="Hill_Samexetries">EXE!#REF!</definedName>
    <definedName name="Hill_Sexepts">EXE!#REF!</definedName>
    <definedName name="Hill_Ssamexepts">EXE!#REF!</definedName>
    <definedName name="Hillbthpts">BTH!$G$22</definedName>
    <definedName name="Hillbthtries">BTH!$B$22</definedName>
    <definedName name="Hillman_Cooperglopts">GLO!$G$28</definedName>
    <definedName name="Hillman_Cooperglotries">GLO!$B$28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dgeexeatt">EXE!$M$5</definedName>
    <definedName name="Hodgeexegls">EXE!$L$5</definedName>
    <definedName name="Hodgeexepts">EXE!$G$19</definedName>
    <definedName name="Hodgeexetries">EXE!$B$19</definedName>
    <definedName name="hodgsoncharlieatt">NEW!$M$4</definedName>
    <definedName name="Hodgsoncharliegoals">NEW!$L$4</definedName>
    <definedName name="Hodgsoncharliepts">NEW!#REF!</definedName>
    <definedName name="Hodgsoncharlietries">NEW!#REF!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NEW!$G$25</definedName>
    <definedName name="Hodgsonnewtriescorrect">NEW!$B$25</definedName>
    <definedName name="hodgsonnoratt">NOR!#REF!</definedName>
    <definedName name="hodgsonnorgoals">NOR!#REF!</definedName>
    <definedName name="Hodgsonnorpts">NOR!$G$16</definedName>
    <definedName name="Hodgsonnortries">NOR!$B$16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EXE!$G$20</definedName>
    <definedName name="holmesexetries">EXE!$B$20</definedName>
    <definedName name="Holmesjonahpts">#REF!</definedName>
    <definedName name="Holmesjonahtries">#REF!</definedName>
    <definedName name="Holmesleicpts">LEI!$G$19</definedName>
    <definedName name="Holmesleictries">LEI!$B$19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LEI!$G$20</definedName>
    <definedName name="Hortonleitries">LEI!$B$20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GLO!$G$25</definedName>
    <definedName name="Hudsonglotries">GLO!$B$25</definedName>
    <definedName name="Hudsonjamespts">GLO!#REF!</definedName>
    <definedName name="hudsonjamestries">GLO!#REF!</definedName>
    <definedName name="Hughesbripts">BRI!$G$26</definedName>
    <definedName name="Hughesbritries">BRI!$B$26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SAR!$G$24</definedName>
    <definedName name="Hunter_Hillsartriescorrect">SAR!$B$24</definedName>
    <definedName name="Hurdleicpts">LEI!$G$21</definedName>
    <definedName name="Hurdleictries">LEI!$B$21</definedName>
    <definedName name="Hurrellbstpts">BRI!#REF!</definedName>
    <definedName name="Hurrellbsttries">BRI!#REF!</definedName>
    <definedName name="hutchinsonnoratt">NOR!$M$5</definedName>
    <definedName name="hutchinsonnorgls">NOR!$L$5</definedName>
    <definedName name="Hutchinsonnorpts">NOR!$G$17</definedName>
    <definedName name="Hutchinsonnortries">NOR!$B$17</definedName>
    <definedName name="ibitoyebriatt">BRI!$M$4</definedName>
    <definedName name="Ibitoyebrigls">BRI!$L$4</definedName>
    <definedName name="Ibitoyeharpts">HAR!$G$34</definedName>
    <definedName name="Ibitoyehartries">HAR!$B$34</definedName>
    <definedName name="Ibuanokpeharpts">HAR!#REF!</definedName>
    <definedName name="Ibuanokpehartries">HAR!#REF!</definedName>
    <definedName name="Ilioneleipts">LEI!$G$22</definedName>
    <definedName name="Ilioneleitries">LEI!$B$22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osefa_Scottexepts">EXE!$G$21</definedName>
    <definedName name="Iosefa_Scottexetries">EXE!$B$21</definedName>
    <definedName name="Irvinenorpts">NOR!$G$18</definedName>
    <definedName name="Irvinenortries">NOR!$B$18</definedName>
    <definedName name="Isaacsglopts">GLO!#REF!</definedName>
    <definedName name="Isaacsglotries">GLO!#REF!</definedName>
    <definedName name="isiekwenorpts">NOR!#REF!</definedName>
    <definedName name="Isiekwenortries">NOR!#REF!</definedName>
    <definedName name="Isiekwesarpts">NEW!$G$35</definedName>
    <definedName name="Isiekwesarptscorrect">SAR!$G$25</definedName>
    <definedName name="Isiekwesartries">NEW!$B$35</definedName>
    <definedName name="Isiekwesartriescorrect">SAR!$B$25</definedName>
    <definedName name="Itojesarpts">NEW!$G$38</definedName>
    <definedName name="Itojesarptscorrect">SAR!$G$26</definedName>
    <definedName name="Itojesartries">NEW!$B$38</definedName>
    <definedName name="Itojesartriescorrect">SAR!$B$26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SAR!$G$27</definedName>
    <definedName name="Jacksonsartries">SAR!$B$27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SAL!$H$25</definedName>
    <definedName name="James_Lsaltries">SAL!$B$25</definedName>
    <definedName name="Jamesnorpts">NOR!$G$19</definedName>
    <definedName name="Jamesnortries">NOR!$B$19</definedName>
    <definedName name="Jamespaulpts">BTH!#REF!</definedName>
    <definedName name="Jamespaultries">BTH!#REF!</definedName>
    <definedName name="Jamespts">EXE!#REF!</definedName>
    <definedName name="Jamessalatt">SAL!$O$8</definedName>
    <definedName name="Jamessalgls">SAL!$N$8</definedName>
    <definedName name="Jamessalpts">SAL!$H$26</definedName>
    <definedName name="Jamessaltries">SAL!$B$26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LEI!$G$23</definedName>
    <definedName name="Jansenleitries">LEI!$B$23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BRI!$G$27</definedName>
    <definedName name="Jeffriesbritries">BRI!#REF!</definedName>
    <definedName name="Jeffriesbritriescorrect">BRI!$B$27</definedName>
    <definedName name="Jeffriesbstpts">BRI!#REF!</definedName>
    <definedName name="Jeffriesbsttries">BRI!#REF!</definedName>
    <definedName name="Jenkins_Dexepts">EXE!$G$22</definedName>
    <definedName name="Jenkins_Dexetries">EXE!$B$22</definedName>
    <definedName name="Jenkins_Iexepts">EXE!$G$23</definedName>
    <definedName name="Jenkins_Iexetries">EXE!$B$23</definedName>
    <definedName name="Jenkinsbripts">BRI!$G$28</definedName>
    <definedName name="Jenkinsbritries">BRI!$B$28</definedName>
    <definedName name="jenkinsiexeatt">EXE!$M$6</definedName>
    <definedName name="jenkinsiexegls">EXE!$L$6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NEW!$M$5</definedName>
    <definedName name="Jenningsnewgls">NEW!$L$5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HAR!$G$30</definedName>
    <definedName name="Jibuluhartries">HAR!$B$30</definedName>
    <definedName name="Johnexepts">EXE!$G$24</definedName>
    <definedName name="Johnexetries">EXE!$B$24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NEW!#REF!</definedName>
    <definedName name="Johnstonjamestries">NEW!#REF!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GLO!$G$29</definedName>
    <definedName name="Jones_MGLOtries">GLO!$B$29</definedName>
    <definedName name="Jonesadamharpts">HAR!$G$35</definedName>
    <definedName name="Jonesadamhartries">HAR!$B$35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HAR!$G$28</definedName>
    <definedName name="JonesHhartries">HAR!$B$28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BTH!$G$23</definedName>
    <definedName name="Jonkerbthtries">BTH!$B$23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HARPTS">HAR!$G$31</definedName>
    <definedName name="JosephHARtries">HAR!$B$31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NEW!$G$45</definedName>
    <definedName name="Jouberternsttries">NEW!$B$45</definedName>
    <definedName name="Jubbtompts">NEW!#REF!</definedName>
    <definedName name="Jubbtomtries">NEW!#REF!</definedName>
    <definedName name="Judgebthpts">BTH!#REF!</definedName>
    <definedName name="Judgebthtries">BTH!#REF!</definedName>
    <definedName name="Judgesarpts">NEW!#REF!</definedName>
    <definedName name="Judgesartries">NEW!#REF!</definedName>
    <definedName name="Jureviciusharpts">HAR!$G$32</definedName>
    <definedName name="Jureviciushartries">HAR!$B$32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#REF!</definedName>
    <definedName name="Kearlwetries">#REF!</definedName>
    <definedName name="Keastexepts">EXE!$G$25</definedName>
    <definedName name="Keastexetries">EXE!$B$25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nninghamharpts">HAR!$G$33</definedName>
    <definedName name="Kenninghamhartries">HAR!$B$33</definedName>
    <definedName name="Kennyexepts">EXE!$G$26</definedName>
    <definedName name="Kennyexetries">EXE!$B$26</definedName>
    <definedName name="Kerrbripts">BRI!$G$30</definedName>
    <definedName name="Kerrbritries">BRI!$B$30</definedName>
    <definedName name="Kerrleicpts">LEI!$G$24</definedName>
    <definedName name="Kerrleictries">LEI!$B$24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LEI!$G$25</definedName>
    <definedName name="Kitchenergrahamtriescorrect">LEI!$B$25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glopts">BTH!#REF!</definedName>
    <definedName name="Knightgloptscorrect">GLO!$G$31</definedName>
    <definedName name="Knightglotries">BTH!#REF!</definedName>
    <definedName name="Knightglotriescorrect">GLO!$B$31</definedName>
    <definedName name="Knightpts">GLO!#REF!</definedName>
    <definedName name="KnightSARpts">SAR!$G$28</definedName>
    <definedName name="KnightSARtries">SAR!$B$28</definedName>
    <definedName name="Knighttries">GLO!#REF!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poku__Jonathansarpts">NEW!$G$50</definedName>
    <definedName name="Kpoku__Jonathansartries">NEW!$B$50</definedName>
    <definedName name="Kpokusarpts">NEW!$G$48</definedName>
    <definedName name="Kpokusartries">NEW!$B$48</definedName>
    <definedName name="Krielglopts">GLO!$G$30</definedName>
    <definedName name="Krielglotries">GLO!$B$30</definedName>
    <definedName name="Kruisgeorgepts">NEW!$G$53</definedName>
    <definedName name="Kruisgeorgetries">NEW!$B$53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NEW!$G$54</definedName>
    <definedName name="Lamositelesartries">NEW!$B$54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pts">BRI!$G$33</definedName>
    <definedName name="Lanebritries">BRI!$B$33</definedName>
    <definedName name="Lanerichardpts">BTH!#REF!</definedName>
    <definedName name="Lanerichardtries">BTH!#REF!</definedName>
    <definedName name="Lanerichardtriescorrect">BTH!#REF!</definedName>
    <definedName name="LangdonNORpts">NOR!$G$20</definedName>
    <definedName name="LangdonNORtries">NOR!$B$20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NOR!$G$21</definedName>
    <definedName name="Lawesnortries">NOR!$B$21</definedName>
    <definedName name="Lawrencebthpts">BTH!$G$24</definedName>
    <definedName name="Lawrencebthtries">BTH!$B$24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BRI!$G$31</definedName>
    <definedName name="Laybritries">BRI!$B$31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e_Warnerbthpts">BTH!$G$25</definedName>
    <definedName name="Lee_Warnerbthtries">BTH!$B$25</definedName>
    <definedName name="Leesexepts">EXE!#REF!</definedName>
    <definedName name="Leesexetries">EXE!#REF!</definedName>
    <definedName name="LeicesterPts">LEI!$G$63</definedName>
    <definedName name="LeicesterTries">LEI!$B$63</definedName>
    <definedName name="leicspentriespts">LEI!$G$37</definedName>
    <definedName name="leicspentriestries">LEI!$B$37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NEW!#REF!</definedName>
    <definedName name="Lewingtonsarptscorrect">SAR!$G$29</definedName>
    <definedName name="Lewingtonsartries">NEW!#REF!</definedName>
    <definedName name="Lewingtonsartriescorrect">SAR!$B$29</definedName>
    <definedName name="Lewingtontries">BRI!$B$31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HAR!$G$36</definedName>
    <definedName name="Lewisdavehartries">HAR!$B$36</definedName>
    <definedName name="Lewisdavepts">EXE!#REF!</definedName>
    <definedName name="Lewisdavetries">EXE!#REF!</definedName>
    <definedName name="Lewisharpts">HAR!$G$38</definedName>
    <definedName name="Lewishartries">HAR!$B$38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LEI!$G$26</definedName>
    <definedName name="Liebenbergleictries">LEI!$B$26</definedName>
    <definedName name="Lindsay_Haguenewpts">NEW!$G$27</definedName>
    <definedName name="Lindsay_Haguenewtries">NEW!$B$27</definedName>
    <definedName name="Lindsay_Hagueolliepts">HAR!#REF!</definedName>
    <definedName name="Lindsay_Hagueollietries">HAR!#REF!</definedName>
    <definedName name="Lindsaysarpts">NEW!#REF!</definedName>
    <definedName name="Lindsaysartries">NEW!#REF!</definedName>
    <definedName name="Lindsaywaspts">#REF!</definedName>
    <definedName name="Lindsaywastries">#REF!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NOR!$G$22</definedName>
    <definedName name="Litchfieldnortries">NOR!$B$22</definedName>
    <definedName name="Lloyd_Jbripts">BRI!$G$36</definedName>
    <definedName name="Lloyd_Jbritries">BRI!$B$36</definedName>
    <definedName name="LloydBriAtt">BRI!$M$5</definedName>
    <definedName name="LloydBriGls">BRI!$L$5</definedName>
    <definedName name="LloydBriPts">BRI!$G$35</definedName>
    <definedName name="LloydBriTries">BRI!$B$35</definedName>
    <definedName name="lloydjbriatt">BRI!$M$6</definedName>
    <definedName name="lloydjbrigls">BRI!$L$6</definedName>
    <definedName name="Lloydlirpts">BRI!$G$32</definedName>
    <definedName name="Lloydlirtries">BRI!$B$32</definedName>
    <definedName name="Loaderlirpts">BRI!$G$34</definedName>
    <definedName name="Loaderlirtries">BRI!$B$34</definedName>
    <definedName name="Loamanuleipts">LEI!#REF!</definedName>
    <definedName name="Loamanuleitries">LEI!#REF!</definedName>
    <definedName name="Lockettnorpts">NOR!$G$23</definedName>
    <definedName name="Lockettnortries">NOR!$B$23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BRI!$G$54</definedName>
    <definedName name="londonirishpentriestries">BRI!$B$54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NEW!$G$55</definedName>
    <definedName name="LongbottomsarptsCORRECT">NEW!#REF!</definedName>
    <definedName name="Longbottomsartries">NEW!$B$55</definedName>
    <definedName name="LongbottomsartriesCORRECT">NEW!#REF!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BRI!$B$31</definedName>
    <definedName name="Lowlipts">BRI!$G$31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SAR!$M$6</definedName>
    <definedName name="lozowskisarattcorrect">SAR!$M$7</definedName>
    <definedName name="lozowskisarglscorrect">SAR!$L$6</definedName>
    <definedName name="Lozowskisarptscorrect">SAR!$G$30</definedName>
    <definedName name="Lozowskisartriescorrect">SAR!$B$30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NEW!$G$28</definedName>
    <definedName name="Lucocknewtries">NEW!$B$28</definedName>
    <definedName name="Ludlamnorpts">NOR!$G$24</definedName>
    <definedName name="Ludlamnortries">NOR!$B$24</definedName>
    <definedName name="Ludlowglopts">GLO!$G$32</definedName>
    <definedName name="Ludlowglotries">GLO!$B$32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HAR!$G$39</definedName>
    <definedName name="Lynaghhartries">HAR!$B$39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NOR!$G$24</definedName>
    <definedName name="Ma_afusalesitries">NOR!$B$24</definedName>
    <definedName name="Maafunorpts">NOR!#REF!</definedName>
    <definedName name="Maafunortries">NOR!#REF!</definedName>
    <definedName name="macgintybriatt">BRI!$M$7</definedName>
    <definedName name="MacGintybrigls">BRI!$L$7</definedName>
    <definedName name="MacGintybripts">BRI!$G$38</definedName>
    <definedName name="MacGintybritries">BRI!$B$38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pts">LEI!$G$62</definedName>
    <definedName name="Mafistevepts">LEI!#REF!</definedName>
    <definedName name="Mafistevetriescorrect">LEI!#REF!</definedName>
    <definedName name="mafitries">LEI!#REF!</definedName>
    <definedName name="Maitlandsarpts">NEW!$G$56</definedName>
    <definedName name="Maitlandsarptscorrect">SAR!$G$31</definedName>
    <definedName name="Maitlandsartries">NEW!$B$56</definedName>
    <definedName name="Maitlandsartriescorrect">SAR!$B$31</definedName>
    <definedName name="malinsbriatt">BRI!#REF!</definedName>
    <definedName name="Malinsbrigls">BRI!#REF!</definedName>
    <definedName name="Malinsbripts">BRI!$G$39</definedName>
    <definedName name="Malinsbritries">BRI!$B$39</definedName>
    <definedName name="malinssaratt">NEW!#REF!</definedName>
    <definedName name="malinssarattcorrect">SAR!#REF!</definedName>
    <definedName name="malinssargls">NEW!#REF!</definedName>
    <definedName name="malinssarglscorrect">SAR!#REF!</definedName>
    <definedName name="Malinssarpts">NEW!$G$60</definedName>
    <definedName name="Malinssarptscorrect">SAR!#REF!</definedName>
    <definedName name="Malinssartries">NEW!$B$60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leicpts">LEI!$G$27</definedName>
    <definedName name="Manzleictries">LEI!$B$27</definedName>
    <definedName name="Maraisglopts">GLO!$G$33</definedName>
    <definedName name="Maraisglotries">GLO!$B$33</definedName>
    <definedName name="marchantharatt">HAR!$M$8</definedName>
    <definedName name="Marchanthargls">HAR!$L$8</definedName>
    <definedName name="Marchantharpts">HAR!#REF!</definedName>
    <definedName name="Marchanthartries">HAR!#REF!</definedName>
    <definedName name="Marfoharpts">HAR!$G$37</definedName>
    <definedName name="Marfohartries">HAR!$B$37</definedName>
    <definedName name="Marlerharpts">HAR!$G$40</definedName>
    <definedName name="Marlerpts">HAR!#REF!</definedName>
    <definedName name="marlertries">HAR!$B$40</definedName>
    <definedName name="MarmionBRIpts">BRI!$G$40</definedName>
    <definedName name="MarmionBRItries">BRI!$B$40</definedName>
    <definedName name="Marshallglopts">GLO!#REF!</definedName>
    <definedName name="marshallliratt">BRI!#REF!</definedName>
    <definedName name="marshalllirgls">BRI!#REF!</definedName>
    <definedName name="Marshalllirpts">BRI!$G$37</definedName>
    <definedName name="Marshalllirtries">BRI!$B$37</definedName>
    <definedName name="Marshallnorpts">NOR!$G$25</definedName>
    <definedName name="Marshallnortries">NOR!$B$25</definedName>
    <definedName name="Marshalltomglo">GLO!#REF!</definedName>
    <definedName name="Martinleicpts">LEI!$G$28</definedName>
    <definedName name="Martinleictries">LEI!$B$28</definedName>
    <definedName name="Masiwaspts">#REF!</definedName>
    <definedName name="Masiwastries">#REF!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NEW!$G$30</definedName>
    <definedName name="Matavesinewtriescorrect">NEW!$B$30</definedName>
    <definedName name="matavesinoratt">NOR!$M$6</definedName>
    <definedName name="matavesinorgls">NOR!$L$6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NOR!$G$26</definedName>
    <definedName name="Matthewsnortries">NOR!$B$26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EXE!$G$27</definedName>
    <definedName name="Maunder_Sexetries">EXE!$B$27</definedName>
    <definedName name="Maunderexepts">EXE!#REF!</definedName>
    <definedName name="Maunderexetries">EXE!#REF!</definedName>
    <definedName name="Mawisarptscorrect">SAR!$G$32</definedName>
    <definedName name="Mawisartriescorrect">SAR!$B$32</definedName>
    <definedName name="Mayglopts">GLO!#REF!</definedName>
    <definedName name="Mayhewlipts">BRI!$G$42</definedName>
    <definedName name="Mayhewlitries">BRI!$B$42</definedName>
    <definedName name="Mayhewrichardpts">#REF!</definedName>
    <definedName name="Mayhewrichardtries">#REF!</definedName>
    <definedName name="Mayleicpts">LEI!$G$30</definedName>
    <definedName name="Mayleictries">LEI!$B$30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GLO!$G$34</definedName>
    <definedName name="McBurneyglotries">GLO!$B$34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NEW!$G$31</definedName>
    <definedName name="McCallumnewtries">NEW!$B$31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BTH!$G$26</definedName>
    <definedName name="McConnochiebthtries">BTH!$B$26</definedName>
    <definedName name="McCuskerlirpts">BRI!#REF!</definedName>
    <definedName name="McCuskerlirtries">BRI!#REF!</definedName>
    <definedName name="McDonaldNEWpts">NEW!$G$32</definedName>
    <definedName name="McDonaldNEWtries">NEW!$B$32</definedName>
    <definedName name="McFarlandsarptscorrect">SAR!$G$33</definedName>
    <definedName name="McFarlandsartriescorrect">SAR!$B$33</definedName>
    <definedName name="McGuiganexepts">EXE!#REF!</definedName>
    <definedName name="McGuiganexetries">EXE!#REF!</definedName>
    <definedName name="McGuiganglopts">GLO!$G$35</definedName>
    <definedName name="McGuiganglotries">GLO!$B$35</definedName>
    <definedName name="McGuigannewpts">#REF!</definedName>
    <definedName name="McGuigannewtries">#REF!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SAL!$H$27</definedName>
    <definedName name="McIntyresaltries">SAL!$B$27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BTH!$G$27</definedName>
    <definedName name="McNallybthtries">BTH!$B$27</definedName>
    <definedName name="McNallyjoshpts">#REF!</definedName>
    <definedName name="McNallyjoshtries">#REF!</definedName>
    <definedName name="McNallylirpts">BRI!$G$41</definedName>
    <definedName name="McNallylirtries">BRI!$B$41</definedName>
    <definedName name="McNultyharpts">HAR!#REF!</definedName>
    <definedName name="McNultyhartries">HAR!#REF!</definedName>
    <definedName name="McParlandNORpts">NOR!$G$27</definedName>
    <definedName name="McParlandNORtries">NOR!$B$27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GLO!$G$36</definedName>
    <definedName name="Meehanglotries">GLO!$B$36</definedName>
    <definedName name="Mehsonwaspts">#REF!</definedName>
    <definedName name="Mehsonwastries">#REF!</definedName>
    <definedName name="Melcksarpts">NEW!#REF!</definedName>
    <definedName name="Melcksartries">NEW!#REF!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LEI!$M$5</definedName>
    <definedName name="meredithleigls">LEI!$L$5</definedName>
    <definedName name="Meredithleipts">LEI!$G$29</definedName>
    <definedName name="Meredithleitries">LEI!$B$29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NEW!$G$33</definedName>
    <definedName name="Merricknewtries">NEW!$B$33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NOR!$G$28</definedName>
    <definedName name="Mitchellnortries">NOR!$B$28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NEW!$G$34</definedName>
    <definedName name="Montgomerynewtries">NEW!$B$34</definedName>
    <definedName name="Montgomeryworpts">#REF!</definedName>
    <definedName name="Montgomerywortries">#REF!</definedName>
    <definedName name="Montoyaleicpts">LEI!$G$31</definedName>
    <definedName name="Montoyaleictries">LEI!$B$31</definedName>
    <definedName name="Monyeugopts">HAR!#REF!</definedName>
    <definedName name="Monyeugotries">HAR!#REF!</definedName>
    <definedName name="Moon_Anortries">NOR!$B$29</definedName>
    <definedName name="Moonnorpts">NOR!$G$29</definedName>
    <definedName name="Mooresalpts">SAL!$H$28</definedName>
    <definedName name="Mooresaltries">SAL!$B$28</definedName>
    <definedName name="Mooresarpts">SAR!$G$34</definedName>
    <definedName name="Mooresartries">SAR!$B$34</definedName>
    <definedName name="Moorewaspts">#REF!</definedName>
    <definedName name="Moorewastries">#REF!</definedName>
    <definedName name="Mordtnilspts">NEW!#REF!</definedName>
    <definedName name="mordtsaratt">NEW!#REF!</definedName>
    <definedName name="mordtsargoals">NEW!#REF!</definedName>
    <definedName name="Mordtsartries">NEW!#REF!</definedName>
    <definedName name="Morgan_Aglopts">GLO!$G$37</definedName>
    <definedName name="Morgan_Aglotries">GLO!$B$37</definedName>
    <definedName name="Morganbenpts">GLO!$G$38</definedName>
    <definedName name="Morganbentries">GLO!$B$38</definedName>
    <definedName name="Moriartyglopts">GLO!$G$41</definedName>
    <definedName name="Moriartyglotries">GLO!$B$41</definedName>
    <definedName name="morleyexeatt">EXE!#REF!</definedName>
    <definedName name="Morleyexegls">EXE!#REF!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GLO!$G$40</definedName>
    <definedName name="Morrisglotries">GLO!$B$40</definedName>
    <definedName name="Morrisharpts">HAR!#REF!</definedName>
    <definedName name="Morrishartries">HAR!#REF!</definedName>
    <definedName name="morrisjgloatt">GLO!$M$11</definedName>
    <definedName name="Morrisjglogls">GLO!$L$11</definedName>
    <definedName name="Morrisjglopts">GLO!$G$39</definedName>
    <definedName name="Morrisjglotries">GLO!$B$39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SAR!$G$35</definedName>
    <definedName name="Morrissartriescorrect">SAR!$B$35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ts">BTH!$G$28</definedName>
    <definedName name="Muirbthtries">BTH!$B$28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BRI!$G$43</definedName>
    <definedName name="MulchronelirtriesCORRECT">BRI!$B$43</definedName>
    <definedName name="Mulchronelitries">BRI!$B$43</definedName>
    <definedName name="Mulchronepts">BRI!#REF!</definedName>
    <definedName name="Mulchronetries">BRI!#REF!</definedName>
    <definedName name="Muldowneybripts">BRI!$G$42</definedName>
    <definedName name="Muldowneybritries">BRI!$B$42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ts">NOR!$G$30</definedName>
    <definedName name="MungaNORtries">NOR!$B$30</definedName>
    <definedName name="MunsterPts">[1]MUN!$F$55</definedName>
    <definedName name="MunsterTries">[1]MUN!$B$55</definedName>
    <definedName name="Murleyharpts">HAR!$G$41</definedName>
    <definedName name="Murleyhartries">HAR!$B$41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ts">HAR!$G$42</definedName>
    <definedName name="Murrayhartries">HAR!$B$42</definedName>
    <definedName name="Muskharpts">HAR!$G$43</definedName>
    <definedName name="Muskhartries">HAR!$B$43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BRI!$AG$40</definedName>
    <definedName name="Naysarpts">NEW!#REF!</definedName>
    <definedName name="Naysartries">NEW!#REF!</definedName>
    <definedName name="Nealwaspts">#REF!</definedName>
    <definedName name="Nealwastries">#REF!</definedName>
    <definedName name="Neildsalpts">SAL!$H$29</definedName>
    <definedName name="Neildsaltries">SAL!$B$29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BRI!$G$47</definedName>
    <definedName name="Noakeslitries">BRI!$B$47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ts">EXE!$G$28</definedName>
    <definedName name="Noreyexetries">EXE!$B$28</definedName>
    <definedName name="NorthamptonPts">NOR!$G$46</definedName>
    <definedName name="NorthamptonTries">NOR!$B$46</definedName>
    <definedName name="Northcote_Greenbthpts">BTH!#REF!</definedName>
    <definedName name="Northcote_Greenbthtries">BTH!#REF!</definedName>
    <definedName name="Northmoreharpts">HAR!$G$44</definedName>
    <definedName name="Northmorehartries">HAR!$B$44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BTH!$G$29</definedName>
    <definedName name="Obanobthtries">BTH!$B$29</definedName>
    <definedName name="Obatoyinbonewpts">NEW!$G$37</definedName>
    <definedName name="Obatoyinbonewtries">NEW!$B$37</definedName>
    <definedName name="Obatoyinbosarptscorrect">SAR!#REF!</definedName>
    <definedName name="Obatoyinbosartriescorrect">SAR!#REF!</definedName>
    <definedName name="Obatoysarpts">NEW!$G$63</definedName>
    <definedName name="Obatoysartries">NEW!$B$63</definedName>
    <definedName name="Obonnanewpts">NEW!$G$36</definedName>
    <definedName name="Obonnanewtries">NEW!$B$36</definedName>
    <definedName name="oconnoratt">BRI!#REF!</definedName>
    <definedName name="oconnorgoals">BRI!#REF!</definedName>
    <definedName name="OConnorjamestries">BRI!#REF!</definedName>
    <definedName name="Odendaalnorpts">NOR!$G$31</definedName>
    <definedName name="Odendaalnortries">NOR!$B$31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ghrebripts">BRI!$G$44</definedName>
    <definedName name="Oghrebritries">BRI!$B$44</definedName>
    <definedName name="OjomohBTHPTS">BTH!$G$30</definedName>
    <definedName name="OjomohBTHTRIES">BTH!$B$30</definedName>
    <definedName name="Ojotopsypts">BRI!#REF!</definedName>
    <definedName name="Ojotopsytries">BRI!#REF!</definedName>
    <definedName name="OLE_LINK1" localSheetId="0">BTH!#REF!</definedName>
    <definedName name="Olowofela_Jleicpts">LEI!$G$33</definedName>
    <definedName name="Olowofela_Jleictries">LEI!$B$33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SAL!$H$31</definedName>
    <definedName name="OosthuizenSALtries">SAL!$B$31</definedName>
    <definedName name="Oresanyaharpts">HAR!$G$45</definedName>
    <definedName name="Oresanyahartries">HAR!$B$45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HAR!$G$46</definedName>
    <definedName name="Osbornehartries">HAR!$B$46</definedName>
    <definedName name="OspreysPts">[1]OSP!$F$50</definedName>
    <definedName name="OspreysTries">[1]OSP!$B$50</definedName>
    <definedName name="Ostrikovandreipts">SAL!#REF!</definedName>
    <definedName name="Ostrikovandreitries">SAL!$B$31</definedName>
    <definedName name="OStrikovsalpts">SAL!$H$31</definedName>
    <definedName name="Ovensjoshpts">BTH!#REF!</definedName>
    <definedName name="Ovensjoshtries">BTH!#REF!</definedName>
    <definedName name="OwenBRIpts">BRI!$G$45</definedName>
    <definedName name="OwenBRItries">BRI!$B$45</definedName>
    <definedName name="Owenleicpts">LEI!$G$35</definedName>
    <definedName name="Owenleictries">LEI!$B$35</definedName>
    <definedName name="Owennewptscorrect">NEW!$G$39</definedName>
    <definedName name="Owennewtriescorrect">NEW!$B$39</definedName>
    <definedName name="Packmanhowardpts">NOR!#REF!</definedName>
    <definedName name="Packmanhowardtries">NOR!#REF!</definedName>
    <definedName name="PaiceDavidpts">BRI!$AE$50</definedName>
    <definedName name="PaiceDavidptts">BRI!$AH$45</definedName>
    <definedName name="Painterexepts">EXE!$G$29</definedName>
    <definedName name="Painterexetries">EXE!$B$29</definedName>
    <definedName name="Painternorpts">NOR!#REF!</definedName>
    <definedName name="Painternortries">NOR!#REF!</definedName>
    <definedName name="Palamobrispts">BRI!$G$51</definedName>
    <definedName name="Palamobristries">BRI!$B$51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LEI!$G$32</definedName>
    <definedName name="Parlingleitries">LEI!$B$32</definedName>
    <definedName name="Parrmattpts">BRI!#REF!</definedName>
    <definedName name="Parrmatttries">BRI!#REF!</definedName>
    <definedName name="PartonSARpts">SAR!$G$36</definedName>
    <definedName name="PartonSARtries">SAR!$B$36</definedName>
    <definedName name="Pasqualileipts">LEI!#REF!</definedName>
    <definedName name="Pasqualileitries">LEI!#REF!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BRI!$G$53</definedName>
    <definedName name="paulolirtries">BRI!$B$53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ts">EXE!$G$30</definedName>
    <definedName name="Pearsonexetries">EXE!$B$30</definedName>
    <definedName name="Pearsonlirpts">#REF!</definedName>
    <definedName name="Pearsonlirtries">#REF!</definedName>
    <definedName name="PearsonNOR_pts">NOR!$G$32</definedName>
    <definedName name="PearsonNOR_tries">NOR!$B$32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BTH!$G$31</definedName>
    <definedName name="Penalty_Triesbripts">BRI!$G$46</definedName>
    <definedName name="Penalty_Triesbritries">BRI!$B$46</definedName>
    <definedName name="Penalty_Triesexepts">EXE!$G$31</definedName>
    <definedName name="Penalty_Triesexetries">EXE!$B$31</definedName>
    <definedName name="Penalty_Triesglopts">GLO!$G$42</definedName>
    <definedName name="Penalty_Triesglotries">GLO!$B$42</definedName>
    <definedName name="Penalty_Triesharpts">HAR!$G$47</definedName>
    <definedName name="Penalty_Trieshartries">HAR!$B$47</definedName>
    <definedName name="Penalty_Triesnewpts">#REF!</definedName>
    <definedName name="Penalty_Triesnewptscorrect">NEW!$G$40</definedName>
    <definedName name="Penalty_Triesnewtries">#REF!</definedName>
    <definedName name="Penalty_Triesnewtriescorrect">NEW!$B$40</definedName>
    <definedName name="Penalty_Triessaintspts">NOR!$G$33</definedName>
    <definedName name="Penalty_Triessaintstries">NOR!$B$33</definedName>
    <definedName name="Penalty_Triessalpts">SAL!$H$32</definedName>
    <definedName name="Penalty_Triessaltries">SAL!$B$32</definedName>
    <definedName name="Penalty_Triessarpts">NEW!#REF!</definedName>
    <definedName name="Penalty_Triessarptscorrect">SAR!$G$37</definedName>
    <definedName name="Penalty_Triessartries">NEW!#REF!</definedName>
    <definedName name="Penalty_Triessartriescorrect">SAR!$B$37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NEW!$G$41</definedName>
    <definedName name="Pennytnewtries">NEW!$B$41</definedName>
    <definedName name="Pepper_MNEWpts">NEW!$G$43</definedName>
    <definedName name="Pepper_MNEWtries">NEW!$B$43</definedName>
    <definedName name="Peppernewpts">NEW!$G$42</definedName>
    <definedName name="Peppernewtries">NEW!$B$42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NEW!#REF!</definedName>
    <definedName name="Perkinssartries">NEW!#REF!</definedName>
    <definedName name="Petersnewpts">NEW!$G$44</definedName>
    <definedName name="Petersnewtries">NEW!$B$44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SAR!$G$38</definedName>
    <definedName name="Pifeletisartriescorrect">SAR!$B$38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BRI!$B$47</definedName>
    <definedName name="Piutau_Swaspts">#REF!</definedName>
    <definedName name="Piutau_Swastries">#REF!</definedName>
    <definedName name="Piutaubripts">BRI!$G$60</definedName>
    <definedName name="Piutaubritries">BRI!$B$60</definedName>
    <definedName name="Piutauwaspts">#REF!</definedName>
    <definedName name="Piutauwastries">#REF!</definedName>
    <definedName name="pollardleicatt">LEI!$M$6</definedName>
    <definedName name="Pollardleicgls">LEI!$L$6</definedName>
    <definedName name="Polledriglopts">GLO!#REF!</definedName>
    <definedName name="Polledriglotries">GLO!#REF!</definedName>
    <definedName name="Pollocknorpts">NOR!$G$34</definedName>
    <definedName name="Pollocknortries">NOR!$B$34</definedName>
    <definedName name="Poreckilirpts">BRI!$G$56</definedName>
    <definedName name="Poreckilirptscorrect">#REF!</definedName>
    <definedName name="Poreckilirtries">BRI!$B$56</definedName>
    <definedName name="Poreckilirtriescorrect">#REF!</definedName>
    <definedName name="Porterharpts">HAR!$G$48</definedName>
    <definedName name="Porterhartries">HAR!$B$48</definedName>
    <definedName name="Porterleicpts">LEI!$G$34</definedName>
    <definedName name="Porterleictries">LEI!$B$34</definedName>
    <definedName name="PostlethwaiteEXEpts">EXE!$G$32</definedName>
    <definedName name="PostlethwaiteEXEtries">EXE!$B$32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BRI!$G$48</definedName>
    <definedName name="Powellbritries">BRI!$B$48</definedName>
    <definedName name="PowellLEIpts">LEI!$G$36</definedName>
    <definedName name="PowellLEItries">LEI!$B$36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HAR!$AD$44</definedName>
    <definedName name="Puafisiglopts">GLO!#REF!</definedName>
    <definedName name="Puafisiglotries">GLO!#REF!</definedName>
    <definedName name="Purdybripts">BRI!$G$49</definedName>
    <definedName name="Purdybritries">BRI!$B$49</definedName>
    <definedName name="Purdyglospts">GLO!#REF!</definedName>
    <definedName name="Purdyglotries">GLO!#REF!</definedName>
    <definedName name="Qorowalenewpts">NEW!$G$46</definedName>
    <definedName name="Qorowalenewtries">NEW!$B$46</definedName>
    <definedName name="quinspentriespts">HAR!$G$47</definedName>
    <definedName name="quinspentriestries">HAR!$B$47</definedName>
    <definedName name="Quirkesalpts">SAL!$H$33</definedName>
    <definedName name="Quirkesaltries">SAL!$B$33</definedName>
    <definedName name="Radradrabripts">BRI!$G$50</definedName>
    <definedName name="Radradrabritries">BRI!$B$50</definedName>
    <definedName name="Radwannewpts">#REF!</definedName>
    <definedName name="Radwannewptscorrect">NEW!$G$47</definedName>
    <definedName name="Radwannewtries">#REF!</definedName>
    <definedName name="Radwannewtriescorrect">NEW!$B$47</definedName>
    <definedName name="Ramageleicpts">LEI!$G$38</definedName>
    <definedName name="Ramageleictries">LEI!$B$38</definedName>
    <definedName name="Randallbripts">BRI!$G$51</definedName>
    <definedName name="Randallbritries">BRI!$B$51</definedName>
    <definedName name="Ransombenpts">NEW!#REF!</definedName>
    <definedName name="Ransombentries">NEW!#REF!</definedName>
    <definedName name="Ransomlirpts">BRI!#REF!</definedName>
    <definedName name="Ransomlirtries">BRI!#REF!</definedName>
    <definedName name="Rapava_Ruskinglopts">GLO!$G$43</definedName>
    <definedName name="Rapava_Ruskinglotries">GLO!$B$43</definedName>
    <definedName name="Rapava_Ruskinworpts">#REF!</definedName>
    <definedName name="Rapava_Ruskinwortries">#REF!</definedName>
    <definedName name="Ratuniyarawanorpts">NOR!$G$35</definedName>
    <definedName name="Ratuniyarawanortries">NOR!$B$35</definedName>
    <definedName name="Rawacasarpts">NEW!#REF!</definedName>
    <definedName name="Rawacasartries">NEW!#REF!</definedName>
    <definedName name="Readsalpts">SAL!$H$34</definedName>
    <definedName name="Readsaltries">SAL!$B$34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BTH!$M$7</definedName>
    <definedName name="Redpathbthpts">BTH!$G$32</definedName>
    <definedName name="Redpathbthtries">BTH!$B$32</definedName>
    <definedName name="redpathsalatt">SAL!$O$6</definedName>
    <definedName name="redpathsalegls">SAL!$N$6</definedName>
    <definedName name="Redpathsalpts">SAL!#REF!</definedName>
    <definedName name="Redpathsaltries">SAL!#REF!</definedName>
    <definedName name="Rees_Zammitglopts">GLO!$G$44</definedName>
    <definedName name="Rees_Zammitglotries">GLO!$B$44</definedName>
    <definedName name="Reevesglopts">GLO!$G$45</definedName>
    <definedName name="Reevesglotries">GLO!$B$45</definedName>
    <definedName name="Reevesrickypts">#REF!</definedName>
    <definedName name="Reevesrickytries">#REF!</definedName>
    <definedName name="Reffellsarpts">NEW!#REF!</definedName>
    <definedName name="Reffellsarptscorrect">SAR!$G$39</definedName>
    <definedName name="Reffellsartries">NEW!#REF!</definedName>
    <definedName name="Reffellsartriescorrect">SAR!$B$39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EXE!$G$33</definedName>
    <definedName name="Reltonexetries">EXE!$B$33</definedName>
    <definedName name="repathbthgls">BTH!$L$7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NEW!$G$65</definedName>
    <definedName name="Rhodessartries">NEW!$B$65</definedName>
    <definedName name="Ribbansnorpts">NOR!#REF!</definedName>
    <definedName name="Ribbansnortries">NOR!#REF!</definedName>
    <definedName name="Riccionisarptscorrect">SAR!$G$40</definedName>
    <definedName name="Riccionisartriescorrect">SAR!$B$40</definedName>
    <definedName name="Richardsbthpts">BTH!$G$34</definedName>
    <definedName name="Richardsbthtries">BTH!$B$34</definedName>
    <definedName name="Richardsonleicpts">LEI!$G$40</definedName>
    <definedName name="Richardsonleictries">LEI!$B$40</definedName>
    <definedName name="Riederwaspts">#REF!</definedName>
    <definedName name="Riederwastries">#REF!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BTH!$G$33</definedName>
    <definedName name="Robertsbthtries">BTH!$B$33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SAL!$H$35</definedName>
    <definedName name="Roddsaltries">SAL!$B$35</definedName>
    <definedName name="Roebucksalpts">SAL!$H$36</definedName>
    <definedName name="Roebucksaltries">SAL!$B$36</definedName>
    <definedName name="Rogersnewpts">#REF!</definedName>
    <definedName name="Rogersnewtries">#REF!</definedName>
    <definedName name="RogersonLEIpts">LEI!$G$41</definedName>
    <definedName name="RogersonLEItries">LEI!$B$41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NEW!$G$49</definedName>
    <definedName name="Rubiolonewtries">NEW!$B$49</definedName>
    <definedName name="Ruizlirpts">#REF!</definedName>
    <definedName name="Ruizlirtries">#REF!</definedName>
    <definedName name="Russellbthpts">BTH!$G$35</definedName>
    <definedName name="Russellbthtries">BTH!$B$35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SAL!$H$44</definedName>
    <definedName name="Saletries">SAL!$B$44</definedName>
    <definedName name="Salmonexepts">EXE!#REF!</definedName>
    <definedName name="Salmonexetries">EXE!#REF!</definedName>
    <definedName name="Salomonbripts">BRI!$G$52</definedName>
    <definedName name="Salomonbritries">BRI!$B$52</definedName>
    <definedName name="Salvijulianpts">LEI!$G$39</definedName>
    <definedName name="Salvijuliantries">LEI!$B$39</definedName>
    <definedName name="Sandfordjamespts">#REF!</definedName>
    <definedName name="Sandfordjamestries">#REF!</definedName>
    <definedName name="saracenspenaltytriespts">NEW!#REF!</definedName>
    <definedName name="saracenspenaltytriestries">NEW!#REF!</definedName>
    <definedName name="SaracensPts">NEW!$G$66</definedName>
    <definedName name="SaracensTries">NEW!$B$66</definedName>
    <definedName name="Saullandypts">#REF!</definedName>
    <definedName name="Saullandytries">#REF!</definedName>
    <definedName name="Saulolirpts">BRI!$G$58</definedName>
    <definedName name="Saulolirtries">BRI!$B$58</definedName>
    <definedName name="Saumakileicpts">LEI!$G$42</definedName>
    <definedName name="Saumakileictries">LEI!$B$42</definedName>
    <definedName name="Saunderssarpts">NEW!#REF!</definedName>
    <definedName name="Saunderssartries">NEW!#REF!</definedName>
    <definedName name="Savageglopts">GLO!#REF!</definedName>
    <definedName name="Savageglotries">GLO!#REF!</definedName>
    <definedName name="savalanoratt">NOR!$M$7</definedName>
    <definedName name="Savalanorgls">NOR!$L$7</definedName>
    <definedName name="Savalanorpts">NOR!$G$36</definedName>
    <definedName name="Savalanortries">NOR!$B$36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EXE!$G$34</definedName>
    <definedName name="Schickerlingexetries">EXE!$B$34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BTH!$G$36</definedName>
    <definedName name="Schoemanbthtries">BTH!$B$36</definedName>
    <definedName name="Schofieldwelpts">#REF!</definedName>
    <definedName name="Schofieldweltries">#REF!</definedName>
    <definedName name="Schreuderbthpts">BTH!$G$37</definedName>
    <definedName name="Schreuderbthtries">BTH!$B$37</definedName>
    <definedName name="Scotland_W_sonharpts">HAR!$G$49</definedName>
    <definedName name="Scotland_W_sonhartries">HAR!$B$49</definedName>
    <definedName name="ScotlandWilliamsonchristianpts">#REF!</definedName>
    <definedName name="ScotlandWilliamsonchristiantries">#REF!</definedName>
    <definedName name="Scott_Youngnorpts">NOR!$G$37</definedName>
    <definedName name="Scott_Youngnortries">NOR!$B$37</definedName>
    <definedName name="Scottglopts">GLO!#REF!</definedName>
    <definedName name="Scottglotries">GLO!#REF!</definedName>
    <definedName name="Scottleicpts">LEI!$G$43</definedName>
    <definedName name="Scottleictries">LEI!$B$43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LEI!$G$25</definedName>
    <definedName name="scullytries">LEI!#REF!</definedName>
    <definedName name="Seabrookglopts">GLO!#REF!</definedName>
    <definedName name="Seabrookglotries">GLO!#REF!</definedName>
    <definedName name="SeabrookNORpts">NOR!$G$38</definedName>
    <definedName name="SeabrookNORtries">NOR!$B$38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BTH!$M$8</definedName>
    <definedName name="Searlebthgls">BTH!$L$8</definedName>
    <definedName name="Searlebthpts">BTH!#REF!</definedName>
    <definedName name="Searlebthtries">BTH!#REF!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NEW!#REF!</definedName>
    <definedName name="Segunsarptscorrect">SAR!$G$41</definedName>
    <definedName name="Segunsartries">NEW!#REF!</definedName>
    <definedName name="Segunsartriescorrect">SAR!$B$41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BRI!$G$57</definedName>
    <definedName name="Sheridaneamonntries">BRI!$B$57</definedName>
    <definedName name="Sheriffsarpts">NEW!#REF!</definedName>
    <definedName name="Sheriffsartries">NEW!#REF!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LEI!$M$7</definedName>
    <definedName name="Shillcockleicgls">LEI!$L$7</definedName>
    <definedName name="ShillcockLEIpts">LEI!$G$44</definedName>
    <definedName name="ShillcockLEItries">LEI!$B$44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LEI!$G$45</definedName>
    <definedName name="Simmonsleictries">LEI!$B$45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SAR!$G$42</definedName>
    <definedName name="Simpson_Gsartries">SAR!$B$42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BRI!$G$59</definedName>
    <definedName name="Sinclairjebbtries">BRI!$B$59</definedName>
    <definedName name="Singletonsarpts">NEW!#REF!</definedName>
    <definedName name="Singletonsartries">NEW!#REF!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EXE!$G$35</definedName>
    <definedName name="Sioexetries">EXE!$B$35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NEW!#REF!</definedName>
    <definedName name="Skeltonsartries">NEW!#REF!</definedName>
    <definedName name="Skinner_Hexepts">EXE!$G$36</definedName>
    <definedName name="Skinner_Hexetries">EXE!$B$36</definedName>
    <definedName name="Skinnerexeatt">EXE!$M$8</definedName>
    <definedName name="Skinnerexegls">EXE!$L$8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EXE!$M$7</definedName>
    <definedName name="Sladeexepts">EXE!$G$37</definedName>
    <definedName name="Sladeexetries">EXE!$B$37</definedName>
    <definedName name="sladegoals">EXE!$L$7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ts">NOR!$G$39</definedName>
    <definedName name="Sleightholmenortries">NOR!$B$39</definedName>
    <definedName name="SlevinHARatt">HAR!$M$9</definedName>
    <definedName name="SlevinHARgls">HAR!$L$9</definedName>
    <definedName name="SlevinHARglsPERCENT">HAR!$N$9</definedName>
    <definedName name="Slevinharpts">HAR!$G$50</definedName>
    <definedName name="Slevinhartries">HAR!$B$50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NOR!$G$41</definedName>
    <definedName name="Smith_Rnortries">NOR!$B$41</definedName>
    <definedName name="Smithbripts">BRI!#REF!</definedName>
    <definedName name="Smithbritries">BRI!#REF!</definedName>
    <definedName name="smithharatt">HAR!$M$10</definedName>
    <definedName name="Smithhargls">HAR!$L$10</definedName>
    <definedName name="Smithharpts">HAR!$G$51</definedName>
    <definedName name="Smithhartries">HAR!$B$51</definedName>
    <definedName name="smithleeatt">#REF!</definedName>
    <definedName name="Smithleegoals">#REF!</definedName>
    <definedName name="Smithleepts">#REF!</definedName>
    <definedName name="Smithleicpts">LEI!$G$46</definedName>
    <definedName name="Smithleictries">LEI!$B$46</definedName>
    <definedName name="Smithleipts">LEI!#REF!</definedName>
    <definedName name="Smithleitries">LEI!#REF!</definedName>
    <definedName name="Smithnewtries">#REF!</definedName>
    <definedName name="smithnoratt">NOR!$M$8</definedName>
    <definedName name="Smithnorgls">NOR!$L$8</definedName>
    <definedName name="Smithrnewpts">NEW!$G$52</definedName>
    <definedName name="Smithrnewtries">NEW!$B$52</definedName>
    <definedName name="Smithrobbienewpts">NEW!$G$51</definedName>
    <definedName name="Smithrobbienewtries">NEW!$B$51</definedName>
    <definedName name="Smithsampts">HAR!#REF!</definedName>
    <definedName name="Smithsamtries">HAR!#REF!</definedName>
    <definedName name="Smithsarpts">NEW!#REF!</definedName>
    <definedName name="Smithsartries">NEW!#REF!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LEI!$G$47</definedName>
    <definedName name="Snymanleictries">LEI!$B$47</definedName>
    <definedName name="Socino_Snewpts">#REF!</definedName>
    <definedName name="Socino_Snewtries">#REF!</definedName>
    <definedName name="socinogloatt">GLO!$M$12</definedName>
    <definedName name="Socinoglogls">GLO!$L$12</definedName>
    <definedName name="Socinoglopts">GLO!$G$47</definedName>
    <definedName name="Socinoglotries">GLO!$B$47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EXE!$G$38</definedName>
    <definedName name="Southworthexetries">EXE!$B$38</definedName>
    <definedName name="Sowreynewpts">#REF!</definedName>
    <definedName name="Sowreynewtries">#REF!</definedName>
    <definedName name="spcncerbthgls">BTH!$L$9</definedName>
    <definedName name="Spencer_Bbthpts">BTH!$G$38</definedName>
    <definedName name="Spencer_Bbthtries">BTH!$B$38</definedName>
    <definedName name="Spencer_Wbthpts">BTH!#REF!</definedName>
    <definedName name="Spencer_Wbthtries">BTH!#REF!</definedName>
    <definedName name="spencerbenatt">NEW!$M$6</definedName>
    <definedName name="spencerbengoals">NEW!$L$6</definedName>
    <definedName name="Spencerbenpts">NEW!#REF!</definedName>
    <definedName name="Spencerbentries">NEW!#REF!</definedName>
    <definedName name="spencerbthatt">BTH!$M$9</definedName>
    <definedName name="Spencerleicpts">LEI!#REF!</definedName>
    <definedName name="Spencerleictries">LEI!#REF!</definedName>
    <definedName name="Spencersarpts">NEW!#REF!</definedName>
    <definedName name="Spencerwillpts">BTH!#REF!</definedName>
    <definedName name="Spencerwilltries">BTH!#REF!</definedName>
    <definedName name="Spurlingsarpts">NEW!#REF!</definedName>
    <definedName name="Spurlingsartries">NEW!#REF!</definedName>
    <definedName name="Stanleyglopts">GLO!$G$48</definedName>
    <definedName name="Stanleyglotries">GLO!$B$48</definedName>
    <definedName name="Stedmanolliepts">#REF!</definedName>
    <definedName name="Stedmanollietrie">#REF!</definedName>
    <definedName name="Steelelipts">BRI!$G$64</definedName>
    <definedName name="Steelelirpts">#REF!</definedName>
    <definedName name="Steelelirtries">#REF!</definedName>
    <definedName name="Steelelitries">BRI!$B$64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LEI!$G$48</definedName>
    <definedName name="Stevensleictries">LEI!$B$48</definedName>
    <definedName name="Stevenslipts">BRI!#REF!</definedName>
    <definedName name="Stevenslitries">BRI!#REF!</definedName>
    <definedName name="Stevensmattpts">NEW!#REF!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NEW!#REF!</definedName>
    <definedName name="stewardleicatt">LEI!$M$8</definedName>
    <definedName name="Stewardleicgls">LEI!$L$8</definedName>
    <definedName name="Stewartbthpts">BTH!$G$39</definedName>
    <definedName name="Stewartbthtries">BTH!$B$39</definedName>
    <definedName name="Stirzakerbripts">BRI!$G$54</definedName>
    <definedName name="Stirzakerbritries">BRI!$B$54</definedName>
    <definedName name="Stokeslirpts">#REF!</definedName>
    <definedName name="Stokeslirtries">#REF!</definedName>
    <definedName name="Stookebthpts">BTH!$G$40</definedName>
    <definedName name="Stookebthtries">BTH!$B$40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BRI!$G$55</definedName>
    <definedName name="Strangbritries">BRI!$B$55</definedName>
    <definedName name="Streathertimpts">NEW!#REF!</definedName>
    <definedName name="Streathertimtries">NEW!#REF!</definedName>
    <definedName name="Streetexepts">EXE!$G$39</definedName>
    <definedName name="Streetexetries">EXE!$B$39</definedName>
    <definedName name="Strettlepts">NEW!#REF!</definedName>
    <definedName name="Strettlesarpts">NEW!#REF!</definedName>
    <definedName name="Strettlesarptscorrect">NEW!#REF!</definedName>
    <definedName name="Strettlesartries">NEW!#REF!</definedName>
    <definedName name="strettletries">NEW!#REF!</definedName>
    <definedName name="Strettllesartries">NEW!#REF!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BTH!$G$41</definedName>
    <definedName name="Stuartbthtries">BTH!$B$41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SAR!$G$43</definedName>
    <definedName name="Swinsonsartriescorrect">SAR!$B$43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NEW!#REF!</definedName>
    <definedName name="Tagicakibausartries">NEW!#REF!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HAR!$G$54</definedName>
    <definedName name="Tapuaihartries">HAR!$B$54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duncanpts">NEW!#REF!</definedName>
    <definedName name="Taylorduncantries">NEW!#REF!</definedName>
    <definedName name="Taylorglopts">GLO!$G$49</definedName>
    <definedName name="Taylorglotries">GLO!$B$49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NEW!#REF!</definedName>
    <definedName name="Taylorsarptscorrect">SAR!#REF!</definedName>
    <definedName name="Taylorsartries">NEW!#REF!</definedName>
    <definedName name="Taylorsartriescorrect">SAR!#REF!</definedName>
    <definedName name="Taylortommywaspts">#REF!</definedName>
    <definedName name="Taylortommywastries">#REF!</definedName>
    <definedName name="Taylortsalpts">SAL!$H$37</definedName>
    <definedName name="Taylortsaltries">SAL!$B$37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GLO!$G$46</definedName>
    <definedName name="Terryglotries">GLO!$B$46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ts">NOR!$G$43</definedName>
    <definedName name="ThameNORtries">NOR!$B$43</definedName>
    <definedName name="Theobald_Thomasleipts">LEI!$G$49</definedName>
    <definedName name="Theobold_Thomasleitries">LEI!$B$49</definedName>
    <definedName name="Thielsarpts">NEW!#REF!</definedName>
    <definedName name="Thielsartries">NEW!#REF!</definedName>
    <definedName name="Thomas_Dbripts">BRI!$G$57</definedName>
    <definedName name="Thomas_Dbritries">BRI!$B$57</definedName>
    <definedName name="Thomas_DBRITRIESCORRECT">BRI!$B$57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GLO!$G$50</definedName>
    <definedName name="Thomasglotries">GLO!$B$50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NEW!$M$9</definedName>
    <definedName name="thomasnewgls">NEW!$L$9</definedName>
    <definedName name="Thomasnewpts">NEW!$G$57</definedName>
    <definedName name="Thomasnewtries">NEW!$B$57</definedName>
    <definedName name="ThomasSALpts">SAL!$H$38</definedName>
    <definedName name="ThomasSALtries">SAL!$B$38</definedName>
    <definedName name="Thompson_Stringersarpts">NEW!#REF!</definedName>
    <definedName name="Thompson_Stringersartries">NEW!#REF!</definedName>
    <definedName name="Thompsonleicpts">LEI!#REF!</definedName>
    <definedName name="Thompsonleictries">LEI!#REF!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LEI!$B$25</definedName>
    <definedName name="Thorleyglopts">GLO!#REF!</definedName>
    <definedName name="Thorleygloptscorrect">GLO!$G$51</definedName>
    <definedName name="Thorleyglotries">GLO!#REF!</definedName>
    <definedName name="Thorleyglotriescorrect">GLO!$B$51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iesinewpts">#REF!</definedName>
    <definedName name="Tiesinewtries">#REF!</definedName>
    <definedName name="Tiffennewpts">NEW!$G$58</definedName>
    <definedName name="Tiffennewtries">NEW!$B$58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NEW!#REF!</definedName>
    <definedName name="Tolofuasartries">NEW!#REF!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NEW!#REF!</definedName>
    <definedName name="tomkinstries">NEW!#REF!</definedName>
    <definedName name="Tompkinsnickpts">NEW!#REF!</definedName>
    <definedName name="Tompkinsnicktries">NEW!#REF!</definedName>
    <definedName name="Tompkinssarpts">NEW!#REF!</definedName>
    <definedName name="Tompkinssarptscorrect">NEW!#REF!</definedName>
    <definedName name="Tompkinssarptscorrect2">SAR!$G$44</definedName>
    <definedName name="Tompkinssartries">NEW!#REF!</definedName>
    <definedName name="Tompkinssartriescorrect">SAR!$B$44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NOR!$G$40</definedName>
    <definedName name="Tonksnortries">NOR!$B$40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EXE!$G$40</definedName>
    <definedName name="Townsendexetries">EXE!$B$40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GLO!$G$52</definedName>
    <definedName name="Trinderhenrypts">GLO!#REF!</definedName>
    <definedName name="Trinderpts">GLO!#REF!</definedName>
    <definedName name="trindertries">GLO!#REF!</definedName>
    <definedName name="Trindertriestries">GLO!$B$52</definedName>
    <definedName name="Tshiunzaexepts">EXE!$G$41</definedName>
    <definedName name="Tshiunzaexetries">EXE!$B$41</definedName>
    <definedName name="Tualanorpts">NOR!$G$42</definedName>
    <definedName name="TualaNORTRIES">NOR!$B$42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ts">EXE!$G$42</definedName>
    <definedName name="Tuimaexetries">EXE!$B$42</definedName>
    <definedName name="Tuitavakenorpts">NOR!#REF!</definedName>
    <definedName name="Tuitavakenortries">NOR!#REF!</definedName>
    <definedName name="Tuitupousampts">SAL!$H$39</definedName>
    <definedName name="Tuitupousamtries">SAL!$B$39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BTH!$G$42</definedName>
    <definedName name="Underhillbthtries">BTH!$B$42</definedName>
    <definedName name="UrenBRITRIES">BRI!$B$59</definedName>
    <definedName name="Uzokwenewpts">#REF!</definedName>
    <definedName name="Uzokwenewtries">#REF!</definedName>
    <definedName name="Vailanusarpts">NEW!#REF!</definedName>
    <definedName name="Vailanusartries">NEW!#REF!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EXE!$G$43</definedName>
    <definedName name="van_der_Sluysexetries">EXE!$B$43</definedName>
    <definedName name="van_Heerdenexepts">EXE!#REF!</definedName>
    <definedName name="van_Heerdenexetries">EXE!#REF!</definedName>
    <definedName name="van_Poortvlietleicpts">LEI!$G$51</definedName>
    <definedName name="van_Poortvlietleictries">LEI!$B$51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BTH!$G$43</definedName>
    <definedName name="van_Velzebthtries">BTH!$B$43</definedName>
    <definedName name="van_Velzegjpts">NOR!#REF!</definedName>
    <definedName name="van_Velzegjtries">NOR!#REF!</definedName>
    <definedName name="van_Vuurenbthpts">BTH!$G$44</definedName>
    <definedName name="van_Vuurenbthtries">BTH!$B$44</definedName>
    <definedName name="van_VuurenNEWpts">NEW!$G$59</definedName>
    <definedName name="van_VuurenNEWtries">NEW!$B$59</definedName>
    <definedName name="van_Wyk_Fleicpts">LEI!$G$52</definedName>
    <definedName name="van_Wyk_Fleictries">LEI!$B$52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SAR!$G$45</definedName>
    <definedName name="van_Zylsartriescorrect">SAR!$B$45</definedName>
    <definedName name="vanbredaworatt">#REF!</definedName>
    <definedName name="vanbredaworgls">#REF!</definedName>
    <definedName name="Vanesleicpts">LEI!$G$50</definedName>
    <definedName name="Vanesleictries">LEI!$B$50</definedName>
    <definedName name="Varndelltompts">#REF!</definedName>
    <definedName name="Varndelltomtries">#REF!</definedName>
    <definedName name="varneygloatt">GLO!$M$13</definedName>
    <definedName name="Varneyglogls">GLO!$L$13</definedName>
    <definedName name="Veainuleipts">LEI!#REF!</definedName>
    <definedName name="Veainuleitries">LEI!#REF!</definedName>
    <definedName name="Veainusalpts">SAL!$H$40</definedName>
    <definedName name="Veainusaltries">SAL!$B$40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GLO!$G$53</definedName>
    <definedName name="Vellacottglotries">GLO!$B$53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sagieglopts">GLO!$G$54</definedName>
    <definedName name="Visagieglotries">GLO!$B$54</definedName>
    <definedName name="Vossleicpts">LEI!#REF!</definedName>
    <definedName name="Vossleictries">LEI!#REF!</definedName>
    <definedName name="Vuibripts">BRI!$G$60</definedName>
    <definedName name="Vuibritries">BRI!$B$60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NEW!#REF!</definedName>
    <definedName name="Vunipola__Makosarptscorrect">SAR!$G$47</definedName>
    <definedName name="Vunipola__Makosartries">NEW!#REF!</definedName>
    <definedName name="Vunipola__Makosartriescorrect">SAR!$B$47</definedName>
    <definedName name="Vunipola__Manusarptscorrect">SAR!$G$48</definedName>
    <definedName name="Vunipola__Manusartriescorrect">SAR!$B$48</definedName>
    <definedName name="Vunipola_Bsarpts">NEW!#REF!</definedName>
    <definedName name="Vunipola_Bsarptscorrect">SAR!$G$46</definedName>
    <definedName name="Vunipola_Bsartries">NEW!#REF!</definedName>
    <definedName name="Vunipola_Bsartriescorrect">SAR!$B$46</definedName>
    <definedName name="Vunipola_Msaratt">NEW!$M$8</definedName>
    <definedName name="Vunipola_Msargls">NEW!$L$8</definedName>
    <definedName name="Vunipola_Msarpts">NEW!#REF!</definedName>
    <definedName name="Vunipola_Msartries">NEW!#REF!</definedName>
    <definedName name="Vunipolabillypts">NEW!#REF!</definedName>
    <definedName name="vunipolabillytries">NEW!#REF!</definedName>
    <definedName name="Vunipolamakopts">NEW!#REF!</definedName>
    <definedName name="vunipolamakotries">NEW!#REF!</definedName>
    <definedName name="vunipolasarattcorrect">SAR!$M$8</definedName>
    <definedName name="vunipolasarglscorrect">SAR!$L$8</definedName>
    <definedName name="Vunisasarpts">NEW!#REF!</definedName>
    <definedName name="Vunisasartries">NEW!#REF!</definedName>
    <definedName name="Wacokecokenewpts">NEW!$G$61</definedName>
    <definedName name="Wacokecokenewtries">NEW!$B$61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BTH!$G$45</definedName>
    <definedName name="Walkerbthtries">BTH!$B$45</definedName>
    <definedName name="Walkercharliehqtries">HAR!#REF!</definedName>
    <definedName name="Walkercharliepts">HAR!#REF!</definedName>
    <definedName name="Walkerharpts">HAR!$G$53</definedName>
    <definedName name="Walkerhartries">HAR!$B$53</definedName>
    <definedName name="Walkernewpts">NEW!$G$62</definedName>
    <definedName name="Walkernewtries">NEW!$B$62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LEI!$G$53</definedName>
    <definedName name="Walshleitries">LEI!$B$53</definedName>
    <definedName name="Warddavepts">HAR!#REF!</definedName>
    <definedName name="warddavetries">HAR!#REF!</definedName>
    <definedName name="WarrSALatt">SAL!$O$9</definedName>
    <definedName name="WarrSALgls">SAL!$N$9</definedName>
    <definedName name="Warrsalpts">SAL!$H$41</definedName>
    <definedName name="Warrsaltries">SAL!$B$41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HAR!$G$55</definedName>
    <definedName name="Watershartries">HAR!$B$55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LEI!$G$54</definedName>
    <definedName name="Watsonleictries">LEI!$B$54</definedName>
    <definedName name="Watsonnewpts">#REF!</definedName>
    <definedName name="Watsonnewtriwes">#REF!</definedName>
    <definedName name="Watsonsarpts">NEW!#REF!</definedName>
    <definedName name="Watsonsartries">NEW!#REF!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SAL!$H$42</definedName>
    <definedName name="Webbersaltries">SAL!$B$42</definedName>
    <definedName name="Webbertries">BTH!#REF!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LEI!$G$55</definedName>
    <definedName name="Wellsleictries">LEI!$B$55</definedName>
    <definedName name="Welshnewpts">#REF!</definedName>
    <definedName name="Welshnewtries">#REF!</definedName>
    <definedName name="Westbenpts">#REF!</definedName>
    <definedName name="Westbentries">#REF!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LEI!$G$57</definedName>
    <definedName name="Whiteleictries">LEI!$B$57</definedName>
    <definedName name="whiteleybriatt">BRI!#REF!</definedName>
    <definedName name="Whiteleybrigls">BRI!#REF!</definedName>
    <definedName name="Whiteleybripts">BRI!$G$61</definedName>
    <definedName name="Whiteleybritries">BRI!$B$61</definedName>
    <definedName name="WhiteleyLEIpts">LEI!$G$56</definedName>
    <definedName name="WhiteleyLEItries">LEI!$B$56</definedName>
    <definedName name="whiteleysaratt">NEW!$M$7</definedName>
    <definedName name="Whiteleysargls">NEW!$L$7</definedName>
    <definedName name="Whiteleysarpts">NEW!#REF!</definedName>
    <definedName name="Whiteleysartries">NEW!#REF!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EXE!$G$44</definedName>
    <definedName name="Whittentries">EXE!$B$44</definedName>
    <definedName name="Wieseleicpts">LEI!$G$58</definedName>
    <definedName name="Wieseleictries">LEI!$B$58</definedName>
    <definedName name="Wigglesworthleictries">LEI!#REF!</definedName>
    <definedName name="Wigglesworthlicpts">LEI!#REF!</definedName>
    <definedName name="Wigglesworthrichardpts">NEW!#REF!</definedName>
    <definedName name="Wigglesworthrichardtries">NEW!#REF!</definedName>
    <definedName name="wigglesworthsaratt">NEW!#REF!</definedName>
    <definedName name="Wigglesworthsargoals">NEW!#REF!</definedName>
    <definedName name="Wiliamsnewtries">#REF!</definedName>
    <definedName name="Wilkinsnorpts">NOR!$G$45</definedName>
    <definedName name="Wilkinsnortries">NOR!$B$45</definedName>
    <definedName name="wilkinsonleicatt">LEI!$M$9</definedName>
    <definedName name="Wilkinsonleicgls">LEI!$L$9</definedName>
    <definedName name="WilkinsonLEIpts">LEI!$G$59</definedName>
    <definedName name="WilkinsonLEItrie">LEI!$B$59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NEW!#REF!</definedName>
    <definedName name="Willemsesartries">NEW!#REF!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BRI!$M$9</definedName>
    <definedName name="williamsbrigls">BRI!$L$9</definedName>
    <definedName name="Williamsbripts">BRI!$G$62</definedName>
    <definedName name="Williamsbritries">BRI!$B$62</definedName>
    <definedName name="Williamsexepts">EXE!$G$45</definedName>
    <definedName name="Williamsexetries">EXE!$B$45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LEI!#REF!</definedName>
    <definedName name="Williamsleitries">LEI!#REF!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SAL!$H$43</definedName>
    <definedName name="Williamssaltries">SAL!$B$43</definedName>
    <definedName name="Williamssarpts">NEW!#REF!</definedName>
    <definedName name="Williamssartries">NEW!#REF!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son__Jamesbthgls">BTH!#REF!</definedName>
    <definedName name="Wilson__Jamesbthpts">BTH!$G$47</definedName>
    <definedName name="Wilson__Jamesbthptscorrect">BTH!#REF!</definedName>
    <definedName name="Wilson__Jamesbthtries">BTH!$B$47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NEW!#REF!</definedName>
    <definedName name="Wilsonjacktries">NEW!#REF!</definedName>
    <definedName name="Wilsonjacktriescorr">NEW!#REF!</definedName>
    <definedName name="Wilsonjacktriescorrect">NEW!#REF!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NEW!#REF!</definedName>
    <definedName name="Wilsonnewtries">NEW!#REF!</definedName>
    <definedName name="Wilsonsarpts">SAR!$G$49</definedName>
    <definedName name="Wilsonsartries">SAR!$B$49</definedName>
    <definedName name="wilsteadbriatt">BRI!$M$10</definedName>
    <definedName name="wilsteadbrigls">BRI!$L$10</definedName>
    <definedName name="Wilsteadbripts">BRI!$G$63</definedName>
    <definedName name="Wilsteadbritries">BRI!$B$63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EXE!$G$46</definedName>
    <definedName name="Woodburnexetries">EXE!$B$46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ts">LEI!$G$60</definedName>
    <definedName name="WoodwardLEItries">LEI!$B$60</definedName>
    <definedName name="Woolfordnorpts">NOR!#REF!</definedName>
    <definedName name="Woolfordnortries">NOR!#REF!</definedName>
    <definedName name="WoollettLEIpts">LEI!$G$61</definedName>
    <definedName name="WoollettLEItries">LEI!$B$61</definedName>
    <definedName name="Woolmoreexepts">EXE!#REF!</definedName>
    <definedName name="Woolmoreexetries">EXE!#REF!</definedName>
    <definedName name="WoolstencroftEurTries">SAR!$C$50</definedName>
    <definedName name="Woolstencroftsarpts">NEW!#REF!</definedName>
    <definedName name="Woolstencroftsarptscorrect">SAR!$G$50</definedName>
    <definedName name="Woolstencroftsartries">NEW!#REF!</definedName>
    <definedName name="Woolstencroftsartriescorrect">SAR!$B$50</definedName>
    <definedName name="Woolstencroftwaspts">#REF!</definedName>
    <definedName name="Woolstencroftwastries">#REF!</definedName>
    <definedName name="woratt">#REF!</definedName>
    <definedName name="worboysbthatt">BTH!$M$10</definedName>
    <definedName name="worboysbthgls">BTH!$L$10</definedName>
    <definedName name="Worboysbthpts">BTH!$G$46</definedName>
    <definedName name="WorboysBTHTRIES">BTH!$B$46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BRI!$M$11</definedName>
    <definedName name="worsleybrigls">BRI!$L$11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NEW!#REF!</definedName>
    <definedName name="Wrayjacksontries">NEW!#REF!</definedName>
    <definedName name="Wraysarptscorrect">SAR!#REF!</definedName>
    <definedName name="Wraysartriescorrect">SAR!#REF!</definedName>
    <definedName name="Wrightnewpts">NEW!$G$64</definedName>
    <definedName name="Wrightnewtries">NEW!$B$64</definedName>
    <definedName name="Wyattexepts">EXE!$G$47</definedName>
    <definedName name="Wyattexetries">EXE!$B$47</definedName>
    <definedName name="Wylespts">NEW!#REF!</definedName>
    <definedName name="wylestries">NEW!#REF!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EXE!$G$48</definedName>
    <definedName name="Yeandlejacktries">EXE!$B$48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LEI!$M$10</definedName>
    <definedName name="Youngsbenpts">LEI!#REF!</definedName>
    <definedName name="Youngsbenptscorrect">LEI!$G$62</definedName>
    <definedName name="youngsbentries">LEI!$B$62</definedName>
    <definedName name="youngsbgoals">LEI!$L$10</definedName>
    <definedName name="youngstompts">LEI!#REF!</definedName>
    <definedName name="youngstomtries">LEI!#REF!</definedName>
    <definedName name="Youngwaspts">#REF!</definedName>
    <definedName name="Youngwastries">#REF!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7" i="1" l="1"/>
  <c r="H97" i="1"/>
  <c r="G97" i="1"/>
  <c r="J97" i="1" s="1"/>
  <c r="D97" i="1"/>
  <c r="C97" i="1"/>
  <c r="B97" i="1"/>
  <c r="E97" i="1" s="1"/>
  <c r="J96" i="1"/>
  <c r="E96" i="1"/>
  <c r="J71" i="1"/>
  <c r="E82" i="1"/>
  <c r="J95" i="1"/>
  <c r="E95" i="1"/>
  <c r="J94" i="1"/>
  <c r="E94" i="1"/>
  <c r="J93" i="1"/>
  <c r="E93" i="1"/>
  <c r="J84" i="1"/>
  <c r="E81" i="1"/>
  <c r="J92" i="1"/>
  <c r="E92" i="1"/>
  <c r="J78" i="1"/>
  <c r="E74" i="1"/>
  <c r="J83" i="1"/>
  <c r="E80" i="1"/>
  <c r="J53" i="1"/>
  <c r="E57" i="1"/>
  <c r="J77" i="1"/>
  <c r="E73" i="1"/>
  <c r="J91" i="1"/>
  <c r="E91" i="1"/>
  <c r="J52" i="1"/>
  <c r="E90" i="1"/>
  <c r="J76" i="1"/>
  <c r="E72" i="1"/>
  <c r="J70" i="1"/>
  <c r="E68" i="1"/>
  <c r="J69" i="1"/>
  <c r="E67" i="1"/>
  <c r="J62" i="1"/>
  <c r="E66" i="1"/>
  <c r="J68" i="1"/>
  <c r="E65" i="1"/>
  <c r="J67" i="1"/>
  <c r="E64" i="1"/>
  <c r="J56" i="1"/>
  <c r="E54" i="1"/>
  <c r="J90" i="1"/>
  <c r="E89" i="1"/>
  <c r="J75" i="1"/>
  <c r="E71" i="1"/>
  <c r="J82" i="1"/>
  <c r="E79" i="1"/>
  <c r="J60" i="1"/>
  <c r="E59" i="1"/>
  <c r="J89" i="1"/>
  <c r="E88" i="1"/>
  <c r="J66" i="1"/>
  <c r="E63" i="1"/>
  <c r="J74" i="1"/>
  <c r="E70" i="1"/>
  <c r="J73" i="1"/>
  <c r="E69" i="1"/>
  <c r="J65" i="1"/>
  <c r="E62" i="1"/>
  <c r="J61" i="1"/>
  <c r="E78" i="1"/>
  <c r="J88" i="1"/>
  <c r="E87" i="1"/>
  <c r="J87" i="1"/>
  <c r="E86" i="1"/>
  <c r="J54" i="1"/>
  <c r="E52" i="1"/>
  <c r="J59" i="1"/>
  <c r="E58" i="1"/>
  <c r="J57" i="1"/>
  <c r="E55" i="1"/>
  <c r="J64" i="1"/>
  <c r="E61" i="1"/>
  <c r="J55" i="1"/>
  <c r="E53" i="1"/>
  <c r="J81" i="1"/>
  <c r="E77" i="1"/>
  <c r="J86" i="1"/>
  <c r="E85" i="1"/>
  <c r="J80" i="1"/>
  <c r="E76" i="1"/>
  <c r="J85" i="1"/>
  <c r="E84" i="1"/>
  <c r="J79" i="1"/>
  <c r="E75" i="1"/>
  <c r="J58" i="1"/>
  <c r="E56" i="1"/>
  <c r="J72" i="1"/>
  <c r="E83" i="1"/>
  <c r="J63" i="1"/>
  <c r="E60" i="1"/>
  <c r="Q4" i="9" l="1"/>
  <c r="I93" i="9"/>
  <c r="H93" i="9"/>
  <c r="G93" i="9"/>
  <c r="D93" i="9"/>
  <c r="C93" i="9"/>
  <c r="B93" i="9"/>
  <c r="J92" i="9"/>
  <c r="E92" i="9"/>
  <c r="J67" i="9"/>
  <c r="E64" i="9"/>
  <c r="J70" i="9"/>
  <c r="E68" i="9"/>
  <c r="J91" i="9"/>
  <c r="E91" i="9"/>
  <c r="J87" i="9"/>
  <c r="E85" i="9"/>
  <c r="J50" i="9"/>
  <c r="E84" i="9"/>
  <c r="J51" i="9"/>
  <c r="E50" i="9"/>
  <c r="J57" i="9"/>
  <c r="E55" i="9"/>
  <c r="J90" i="9"/>
  <c r="E90" i="9"/>
  <c r="J76" i="9"/>
  <c r="E89" i="9"/>
  <c r="J55" i="9"/>
  <c r="E53" i="9"/>
  <c r="J74" i="9"/>
  <c r="E72" i="9"/>
  <c r="J63" i="9"/>
  <c r="E67" i="9"/>
  <c r="J59" i="9"/>
  <c r="E58" i="9"/>
  <c r="J86" i="9"/>
  <c r="E83" i="9"/>
  <c r="J85" i="9"/>
  <c r="E82" i="9"/>
  <c r="J84" i="9"/>
  <c r="E81" i="9"/>
  <c r="J54" i="9"/>
  <c r="E52" i="9"/>
  <c r="J66" i="9"/>
  <c r="E63" i="9"/>
  <c r="J65" i="9"/>
  <c r="E62" i="9"/>
  <c r="J89" i="9"/>
  <c r="E88" i="9"/>
  <c r="J83" i="9"/>
  <c r="E80" i="9"/>
  <c r="J82" i="9"/>
  <c r="E79" i="9"/>
  <c r="J73" i="9"/>
  <c r="E71" i="9"/>
  <c r="J61" i="9"/>
  <c r="E60" i="9"/>
  <c r="J56" i="9"/>
  <c r="E54" i="9"/>
  <c r="J64" i="9"/>
  <c r="E61" i="9"/>
  <c r="J81" i="9"/>
  <c r="E78" i="9"/>
  <c r="J75" i="9"/>
  <c r="E77" i="9"/>
  <c r="J88" i="9"/>
  <c r="E87" i="9"/>
  <c r="J58" i="9"/>
  <c r="E56" i="9"/>
  <c r="J62" i="9"/>
  <c r="E86" i="9"/>
  <c r="J72" i="9"/>
  <c r="E70" i="9"/>
  <c r="J69" i="9"/>
  <c r="E66" i="9"/>
  <c r="J80" i="9"/>
  <c r="E76" i="9"/>
  <c r="J52" i="9"/>
  <c r="E57" i="9"/>
  <c r="J53" i="9"/>
  <c r="E51" i="9"/>
  <c r="J68" i="9"/>
  <c r="E65" i="9"/>
  <c r="J79" i="9"/>
  <c r="E75" i="9"/>
  <c r="J78" i="9"/>
  <c r="E74" i="9"/>
  <c r="J60" i="9"/>
  <c r="E59" i="9"/>
  <c r="J77" i="9"/>
  <c r="E73" i="9"/>
  <c r="J71" i="9"/>
  <c r="E69" i="9"/>
  <c r="K89" i="10"/>
  <c r="J89" i="10"/>
  <c r="I89" i="10"/>
  <c r="H89" i="10"/>
  <c r="E89" i="10"/>
  <c r="D89" i="10"/>
  <c r="C89" i="10"/>
  <c r="B89" i="10"/>
  <c r="L88" i="10"/>
  <c r="F88" i="10"/>
  <c r="L87" i="10"/>
  <c r="F87" i="10"/>
  <c r="L57" i="10"/>
  <c r="F62" i="10"/>
  <c r="L75" i="10"/>
  <c r="F74" i="10"/>
  <c r="L74" i="10"/>
  <c r="F73" i="10"/>
  <c r="L68" i="10"/>
  <c r="F66" i="10"/>
  <c r="L56" i="10"/>
  <c r="F54" i="10"/>
  <c r="L50" i="10"/>
  <c r="F48" i="10"/>
  <c r="L86" i="10"/>
  <c r="F86" i="10"/>
  <c r="L52" i="10"/>
  <c r="F50" i="10"/>
  <c r="L67" i="10"/>
  <c r="F65" i="10"/>
  <c r="L85" i="10"/>
  <c r="F85" i="10"/>
  <c r="L84" i="10"/>
  <c r="F84" i="10"/>
  <c r="L66" i="10"/>
  <c r="F64" i="10"/>
  <c r="L63" i="10"/>
  <c r="F60" i="10"/>
  <c r="L83" i="10"/>
  <c r="F83" i="10"/>
  <c r="L82" i="10"/>
  <c r="F82" i="10"/>
  <c r="L62" i="10"/>
  <c r="F59" i="10"/>
  <c r="L81" i="10"/>
  <c r="F81" i="10"/>
  <c r="L61" i="10"/>
  <c r="F58" i="10"/>
  <c r="L80" i="10"/>
  <c r="F80" i="10"/>
  <c r="L79" i="10"/>
  <c r="F79" i="10"/>
  <c r="L78" i="10"/>
  <c r="F78" i="10"/>
  <c r="L48" i="10"/>
  <c r="F77" i="10"/>
  <c r="L73" i="10"/>
  <c r="F72" i="10"/>
  <c r="L51" i="10"/>
  <c r="F49" i="10"/>
  <c r="L49" i="10"/>
  <c r="F53" i="10"/>
  <c r="L65" i="10"/>
  <c r="F63" i="10"/>
  <c r="L72" i="10"/>
  <c r="F71" i="10"/>
  <c r="L71" i="10"/>
  <c r="F70" i="10"/>
  <c r="L54" i="10"/>
  <c r="F69" i="10"/>
  <c r="L77" i="10"/>
  <c r="F76" i="10"/>
  <c r="L53" i="10"/>
  <c r="F51" i="10"/>
  <c r="L55" i="10"/>
  <c r="F52" i="10"/>
  <c r="L60" i="10"/>
  <c r="F57" i="10"/>
  <c r="L59" i="10"/>
  <c r="F56" i="10"/>
  <c r="L58" i="10"/>
  <c r="F55" i="10"/>
  <c r="L70" i="10"/>
  <c r="F68" i="10"/>
  <c r="L64" i="10"/>
  <c r="F61" i="10"/>
  <c r="L76" i="10"/>
  <c r="F75" i="10"/>
  <c r="L69" i="10"/>
  <c r="F67" i="10"/>
  <c r="I103" i="14"/>
  <c r="H103" i="14"/>
  <c r="G103" i="14"/>
  <c r="J103" i="14" s="1"/>
  <c r="D103" i="14"/>
  <c r="C103" i="14"/>
  <c r="B103" i="14"/>
  <c r="E103" i="14" s="1"/>
  <c r="J89" i="14"/>
  <c r="E89" i="14"/>
  <c r="J64" i="14"/>
  <c r="E60" i="14"/>
  <c r="J57" i="14"/>
  <c r="E88" i="14"/>
  <c r="J88" i="14"/>
  <c r="E87" i="14"/>
  <c r="J81" i="14"/>
  <c r="E77" i="14"/>
  <c r="J66" i="14"/>
  <c r="E62" i="14"/>
  <c r="J87" i="14"/>
  <c r="E86" i="14"/>
  <c r="J80" i="14"/>
  <c r="E76" i="14"/>
  <c r="J73" i="14"/>
  <c r="E75" i="14"/>
  <c r="J70" i="14"/>
  <c r="E66" i="14"/>
  <c r="J86" i="14"/>
  <c r="E85" i="14"/>
  <c r="J102" i="14"/>
  <c r="E102" i="14"/>
  <c r="J101" i="14"/>
  <c r="E101" i="14"/>
  <c r="J76" i="14"/>
  <c r="E74" i="14"/>
  <c r="J60" i="14"/>
  <c r="E57" i="14"/>
  <c r="J100" i="14"/>
  <c r="E100" i="14"/>
  <c r="J99" i="14"/>
  <c r="E99" i="14"/>
  <c r="J72" i="14"/>
  <c r="E68" i="14"/>
  <c r="J98" i="14"/>
  <c r="E98" i="14"/>
  <c r="J71" i="14"/>
  <c r="E67" i="14"/>
  <c r="J58" i="14"/>
  <c r="E84" i="14"/>
  <c r="J56" i="14"/>
  <c r="E55" i="14"/>
  <c r="J69" i="14"/>
  <c r="E65" i="14"/>
  <c r="J97" i="14"/>
  <c r="E97" i="14"/>
  <c r="J68" i="14"/>
  <c r="E64" i="14"/>
  <c r="J85" i="14"/>
  <c r="E83" i="14"/>
  <c r="J96" i="14"/>
  <c r="E96" i="14"/>
  <c r="J63" i="14"/>
  <c r="E59" i="14"/>
  <c r="J79" i="14"/>
  <c r="E73" i="14"/>
  <c r="J95" i="14"/>
  <c r="E95" i="14"/>
  <c r="J78" i="14"/>
  <c r="E72" i="14"/>
  <c r="J77" i="14"/>
  <c r="E82" i="14"/>
  <c r="J59" i="14"/>
  <c r="E56" i="14"/>
  <c r="J65" i="14"/>
  <c r="E61" i="14"/>
  <c r="J55" i="14"/>
  <c r="E81" i="14"/>
  <c r="J84" i="14"/>
  <c r="E80" i="14"/>
  <c r="J83" i="14"/>
  <c r="E79" i="14"/>
  <c r="J94" i="14"/>
  <c r="E94" i="14"/>
  <c r="J82" i="14"/>
  <c r="E78" i="14"/>
  <c r="J62" i="14"/>
  <c r="E58" i="14"/>
  <c r="J61" i="14"/>
  <c r="E71" i="14"/>
  <c r="J93" i="14"/>
  <c r="E93" i="14"/>
  <c r="J67" i="14"/>
  <c r="E63" i="14"/>
  <c r="J75" i="14"/>
  <c r="E70" i="14"/>
  <c r="J92" i="14"/>
  <c r="E92" i="14"/>
  <c r="J91" i="14"/>
  <c r="E91" i="14"/>
  <c r="J74" i="14"/>
  <c r="E69" i="14"/>
  <c r="J90" i="14"/>
  <c r="E90" i="14"/>
  <c r="J93" i="9" l="1"/>
  <c r="E93" i="9"/>
  <c r="L89" i="10"/>
  <c r="F89" i="10"/>
  <c r="Q8" i="9" l="1"/>
  <c r="F221" i="13"/>
  <c r="C201" i="13"/>
  <c r="J31" i="9"/>
  <c r="E31" i="9"/>
  <c r="Q11" i="13"/>
  <c r="Q10" i="13"/>
  <c r="Q9" i="13"/>
  <c r="Q8" i="13"/>
  <c r="Q7" i="13"/>
  <c r="Q6" i="13"/>
  <c r="Q5" i="13"/>
  <c r="Q4" i="13"/>
  <c r="Q3" i="13"/>
  <c r="Q2" i="13"/>
  <c r="Q6" i="3" l="1"/>
  <c r="Q10" i="3"/>
  <c r="I111" i="3"/>
  <c r="H111" i="3"/>
  <c r="G111" i="3"/>
  <c r="J111" i="3" s="1"/>
  <c r="D111" i="3"/>
  <c r="C111" i="3"/>
  <c r="B111" i="3"/>
  <c r="E111" i="3" s="1"/>
  <c r="J110" i="3"/>
  <c r="E110" i="3"/>
  <c r="J89" i="3"/>
  <c r="E91" i="3"/>
  <c r="J88" i="3"/>
  <c r="E84" i="3"/>
  <c r="J67" i="3"/>
  <c r="E63" i="3"/>
  <c r="J94" i="3"/>
  <c r="E90" i="3"/>
  <c r="J109" i="3"/>
  <c r="E109" i="3"/>
  <c r="J108" i="3"/>
  <c r="E108" i="3"/>
  <c r="J68" i="3"/>
  <c r="E70" i="3"/>
  <c r="J107" i="3"/>
  <c r="E107" i="3"/>
  <c r="J93" i="3"/>
  <c r="E89" i="3"/>
  <c r="J74" i="3"/>
  <c r="E69" i="3"/>
  <c r="J106" i="3"/>
  <c r="E106" i="3"/>
  <c r="J78" i="3"/>
  <c r="E83" i="3"/>
  <c r="J105" i="3"/>
  <c r="E105" i="3"/>
  <c r="J104" i="3"/>
  <c r="E104" i="3"/>
  <c r="J73" i="3"/>
  <c r="E68" i="3"/>
  <c r="J103" i="3"/>
  <c r="E103" i="3"/>
  <c r="J102" i="3"/>
  <c r="E102" i="3"/>
  <c r="J72" i="3"/>
  <c r="E67" i="3"/>
  <c r="J66" i="3"/>
  <c r="E62" i="3"/>
  <c r="J92" i="3"/>
  <c r="E88" i="3"/>
  <c r="J65" i="3"/>
  <c r="E61" i="3"/>
  <c r="J87" i="3"/>
  <c r="E82" i="3"/>
  <c r="J86" i="3"/>
  <c r="E81" i="3"/>
  <c r="J91" i="3"/>
  <c r="E87" i="3"/>
  <c r="J85" i="3"/>
  <c r="E80" i="3"/>
  <c r="J84" i="3"/>
  <c r="E79" i="3"/>
  <c r="J83" i="3"/>
  <c r="E78" i="3"/>
  <c r="J63" i="3"/>
  <c r="J61" i="3"/>
  <c r="E73" i="3"/>
  <c r="J71" i="3"/>
  <c r="E66" i="3"/>
  <c r="J101" i="3"/>
  <c r="E100" i="3"/>
  <c r="J70" i="3"/>
  <c r="E65" i="3"/>
  <c r="J79" i="3"/>
  <c r="E99" i="3"/>
  <c r="J76" i="3"/>
  <c r="E98" i="3"/>
  <c r="J100" i="3"/>
  <c r="E97" i="3"/>
  <c r="J90" i="3"/>
  <c r="E86" i="3"/>
  <c r="J99" i="3"/>
  <c r="E96" i="3"/>
  <c r="J98" i="3"/>
  <c r="E95" i="3"/>
  <c r="J62" i="3"/>
  <c r="E59" i="3"/>
  <c r="J69" i="3"/>
  <c r="E64" i="3"/>
  <c r="J82" i="3"/>
  <c r="E77" i="3"/>
  <c r="J97" i="3"/>
  <c r="E94" i="3"/>
  <c r="J60" i="3"/>
  <c r="E72" i="3"/>
  <c r="J64" i="3"/>
  <c r="E60" i="3"/>
  <c r="J59" i="3"/>
  <c r="E85" i="3"/>
  <c r="J96" i="3"/>
  <c r="E93" i="3"/>
  <c r="J95" i="3"/>
  <c r="E92" i="3"/>
  <c r="J77" i="3"/>
  <c r="E71" i="3"/>
  <c r="J75" i="3"/>
  <c r="E76" i="3"/>
  <c r="J81" i="3"/>
  <c r="E75" i="3"/>
  <c r="J80" i="3"/>
  <c r="E74" i="3"/>
  <c r="J39" i="13"/>
  <c r="I39" i="13"/>
  <c r="K39" i="13" s="1"/>
  <c r="I99" i="2"/>
  <c r="H99" i="2"/>
  <c r="G99" i="2"/>
  <c r="D99" i="2"/>
  <c r="C99" i="2"/>
  <c r="B99" i="2"/>
  <c r="J98" i="2"/>
  <c r="E98" i="2"/>
  <c r="J65" i="2"/>
  <c r="E64" i="2"/>
  <c r="J71" i="2"/>
  <c r="E70" i="2"/>
  <c r="J70" i="2"/>
  <c r="E69" i="2"/>
  <c r="J56" i="2"/>
  <c r="E55" i="2"/>
  <c r="J54" i="2"/>
  <c r="E53" i="2"/>
  <c r="J59" i="2"/>
  <c r="E57" i="2"/>
  <c r="J97" i="2"/>
  <c r="E97" i="2"/>
  <c r="J64" i="2"/>
  <c r="E63" i="2"/>
  <c r="J96" i="2"/>
  <c r="E96" i="2"/>
  <c r="J84" i="2"/>
  <c r="E83" i="2"/>
  <c r="J53" i="2"/>
  <c r="E58" i="2"/>
  <c r="J61" i="2"/>
  <c r="E68" i="2"/>
  <c r="J77" i="2"/>
  <c r="E76" i="2"/>
  <c r="J63" i="2"/>
  <c r="E62" i="2"/>
  <c r="J76" i="2"/>
  <c r="E75" i="2"/>
  <c r="J83" i="2"/>
  <c r="E82" i="2"/>
  <c r="J72" i="2"/>
  <c r="E74" i="2"/>
  <c r="J95" i="2"/>
  <c r="E95" i="2"/>
  <c r="J69" i="2"/>
  <c r="E67" i="2"/>
  <c r="J82" i="2"/>
  <c r="E81" i="2"/>
  <c r="J94" i="2"/>
  <c r="E94" i="2"/>
  <c r="J93" i="2"/>
  <c r="E93" i="2"/>
  <c r="J92" i="2"/>
  <c r="E92" i="2"/>
  <c r="J75" i="2"/>
  <c r="E73" i="2"/>
  <c r="J91" i="2"/>
  <c r="E91" i="2"/>
  <c r="J68" i="2"/>
  <c r="E66" i="2"/>
  <c r="J62" i="2"/>
  <c r="E61" i="2"/>
  <c r="J90" i="2"/>
  <c r="E90" i="2"/>
  <c r="J57" i="2"/>
  <c r="E60" i="2"/>
  <c r="J89" i="2"/>
  <c r="E89" i="2"/>
  <c r="J81" i="2"/>
  <c r="E80" i="2"/>
  <c r="J66" i="2"/>
  <c r="E88" i="2"/>
  <c r="J74" i="2"/>
  <c r="E72" i="2"/>
  <c r="J88" i="2"/>
  <c r="E87" i="2"/>
  <c r="J58" i="2"/>
  <c r="E56" i="2"/>
  <c r="J60" i="2"/>
  <c r="E59" i="2"/>
  <c r="J55" i="2"/>
  <c r="E54" i="2"/>
  <c r="J80" i="2"/>
  <c r="E79" i="2"/>
  <c r="J87" i="2"/>
  <c r="E86" i="2"/>
  <c r="J79" i="2"/>
  <c r="E78" i="2"/>
  <c r="J86" i="2"/>
  <c r="E85" i="2"/>
  <c r="J73" i="2"/>
  <c r="E71" i="2"/>
  <c r="J78" i="2"/>
  <c r="E77" i="2"/>
  <c r="J85" i="2"/>
  <c r="E84" i="2"/>
  <c r="J67" i="2"/>
  <c r="E65" i="2"/>
  <c r="J27" i="13"/>
  <c r="I27" i="13"/>
  <c r="K27" i="13" s="1"/>
  <c r="N9" i="5"/>
  <c r="Q9" i="5"/>
  <c r="I127" i="5"/>
  <c r="H127" i="5"/>
  <c r="G127" i="5"/>
  <c r="J127" i="5" s="1"/>
  <c r="D127" i="5"/>
  <c r="C127" i="5"/>
  <c r="B127" i="5"/>
  <c r="J126" i="5"/>
  <c r="E126" i="5"/>
  <c r="J102" i="5"/>
  <c r="E101" i="5"/>
  <c r="J97" i="5"/>
  <c r="E95" i="5"/>
  <c r="J90" i="5"/>
  <c r="E125" i="5"/>
  <c r="J79" i="5"/>
  <c r="E76" i="5"/>
  <c r="J125" i="5"/>
  <c r="E124" i="5"/>
  <c r="J78" i="5"/>
  <c r="E75" i="5"/>
  <c r="J124" i="5"/>
  <c r="E123" i="5"/>
  <c r="J101" i="5"/>
  <c r="E100" i="5"/>
  <c r="J123" i="5"/>
  <c r="E122" i="5"/>
  <c r="J74" i="5"/>
  <c r="E71" i="5"/>
  <c r="J96" i="5"/>
  <c r="E94" i="5"/>
  <c r="J77" i="5"/>
  <c r="E74" i="5"/>
  <c r="J100" i="5"/>
  <c r="E99" i="5"/>
  <c r="J88" i="5"/>
  <c r="E86" i="5"/>
  <c r="J122" i="5"/>
  <c r="E121" i="5"/>
  <c r="J121" i="5"/>
  <c r="E120" i="5"/>
  <c r="J95" i="5"/>
  <c r="E93" i="5"/>
  <c r="J68" i="5"/>
  <c r="E85" i="5"/>
  <c r="J87" i="5"/>
  <c r="E84" i="5"/>
  <c r="J120" i="5"/>
  <c r="E119" i="5"/>
  <c r="J86" i="5"/>
  <c r="E83" i="5"/>
  <c r="J119" i="5"/>
  <c r="E118" i="5"/>
  <c r="J73" i="5"/>
  <c r="E70" i="5"/>
  <c r="J118" i="5"/>
  <c r="E117" i="5"/>
  <c r="J89" i="5"/>
  <c r="E92" i="5"/>
  <c r="J94" i="5"/>
  <c r="E91" i="5"/>
  <c r="J117" i="5"/>
  <c r="E116" i="5"/>
  <c r="J93" i="5"/>
  <c r="E90" i="5"/>
  <c r="J67" i="5"/>
  <c r="E89" i="5"/>
  <c r="J116" i="5"/>
  <c r="E115" i="5"/>
  <c r="J115" i="5"/>
  <c r="E114" i="5"/>
  <c r="J85" i="5"/>
  <c r="E82" i="5"/>
  <c r="J114" i="5"/>
  <c r="E113" i="5"/>
  <c r="J84" i="5"/>
  <c r="E81" i="5"/>
  <c r="J113" i="5"/>
  <c r="E112" i="5"/>
  <c r="J70" i="5"/>
  <c r="E68" i="5"/>
  <c r="J112" i="5"/>
  <c r="E111" i="5"/>
  <c r="J83" i="5"/>
  <c r="E80" i="5"/>
  <c r="J76" i="5"/>
  <c r="E73" i="5"/>
  <c r="J82" i="5"/>
  <c r="E79" i="5"/>
  <c r="J111" i="5"/>
  <c r="E110" i="5"/>
  <c r="J110" i="5"/>
  <c r="E109" i="5"/>
  <c r="J109" i="5"/>
  <c r="E108" i="5"/>
  <c r="J108" i="5"/>
  <c r="E107" i="5"/>
  <c r="J99" i="5"/>
  <c r="E98" i="5"/>
  <c r="J69" i="5"/>
  <c r="E67" i="5"/>
  <c r="J107" i="5"/>
  <c r="E106" i="5"/>
  <c r="J106" i="5"/>
  <c r="E105" i="5"/>
  <c r="J81" i="5"/>
  <c r="E78" i="5"/>
  <c r="J92" i="5"/>
  <c r="E88" i="5"/>
  <c r="J105" i="5"/>
  <c r="E104" i="5"/>
  <c r="J98" i="5"/>
  <c r="E97" i="5"/>
  <c r="J80" i="5"/>
  <c r="E77" i="5"/>
  <c r="J75" i="5"/>
  <c r="E72" i="5"/>
  <c r="J104" i="5"/>
  <c r="E103" i="5"/>
  <c r="J103" i="5"/>
  <c r="E102" i="5"/>
  <c r="J72" i="5"/>
  <c r="E69" i="5"/>
  <c r="J91" i="5"/>
  <c r="E87" i="5"/>
  <c r="J71" i="5"/>
  <c r="E96" i="5"/>
  <c r="I133" i="11"/>
  <c r="H133" i="11"/>
  <c r="G133" i="11"/>
  <c r="J133" i="11" s="1"/>
  <c r="D133" i="11"/>
  <c r="C133" i="11"/>
  <c r="B133" i="11"/>
  <c r="J132" i="11"/>
  <c r="E132" i="11"/>
  <c r="J131" i="11"/>
  <c r="E131" i="11"/>
  <c r="J130" i="11"/>
  <c r="E130" i="11"/>
  <c r="J129" i="11"/>
  <c r="E129" i="11"/>
  <c r="J98" i="11"/>
  <c r="E97" i="11"/>
  <c r="J128" i="11"/>
  <c r="E128" i="11"/>
  <c r="J97" i="11"/>
  <c r="E96" i="11"/>
  <c r="J127" i="11"/>
  <c r="E127" i="11"/>
  <c r="J99" i="11"/>
  <c r="E126" i="11"/>
  <c r="J126" i="11"/>
  <c r="E125" i="11"/>
  <c r="J125" i="11"/>
  <c r="E124" i="11"/>
  <c r="J96" i="11"/>
  <c r="E95" i="11"/>
  <c r="J78" i="11"/>
  <c r="E75" i="11"/>
  <c r="J73" i="11"/>
  <c r="E71" i="11"/>
  <c r="J124" i="11"/>
  <c r="E123" i="11"/>
  <c r="J123" i="11"/>
  <c r="E122" i="11"/>
  <c r="J122" i="11"/>
  <c r="E121" i="11"/>
  <c r="J87" i="11"/>
  <c r="E84" i="11"/>
  <c r="J74" i="11"/>
  <c r="E72" i="11"/>
  <c r="J121" i="11"/>
  <c r="E120" i="11"/>
  <c r="J120" i="11"/>
  <c r="E119" i="11"/>
  <c r="J119" i="11"/>
  <c r="E118" i="11"/>
  <c r="J95" i="11"/>
  <c r="E94" i="11"/>
  <c r="J86" i="11"/>
  <c r="E83" i="11"/>
  <c r="J118" i="11"/>
  <c r="E117" i="11"/>
  <c r="J76" i="11"/>
  <c r="E74" i="11"/>
  <c r="J94" i="11"/>
  <c r="E93" i="11"/>
  <c r="J93" i="11"/>
  <c r="E92" i="11"/>
  <c r="J117" i="11"/>
  <c r="E116" i="11"/>
  <c r="J116" i="11"/>
  <c r="E115" i="11"/>
  <c r="J115" i="11"/>
  <c r="E114" i="11"/>
  <c r="J85" i="11"/>
  <c r="E82" i="11"/>
  <c r="J114" i="11"/>
  <c r="E113" i="11"/>
  <c r="J84" i="11"/>
  <c r="E81" i="11"/>
  <c r="J92" i="11"/>
  <c r="E91" i="11"/>
  <c r="J113" i="11"/>
  <c r="E112" i="11"/>
  <c r="J112" i="11"/>
  <c r="E111" i="11"/>
  <c r="J111" i="11"/>
  <c r="E110" i="11"/>
  <c r="J83" i="11"/>
  <c r="E80" i="11"/>
  <c r="J91" i="11"/>
  <c r="E90" i="11"/>
  <c r="J71" i="11"/>
  <c r="E89" i="11"/>
  <c r="J75" i="11"/>
  <c r="E109" i="11"/>
  <c r="J110" i="11"/>
  <c r="E108" i="11"/>
  <c r="J82" i="11"/>
  <c r="E79" i="11"/>
  <c r="J109" i="11"/>
  <c r="E107" i="11"/>
  <c r="J108" i="11"/>
  <c r="E106" i="11"/>
  <c r="J107" i="11"/>
  <c r="E105" i="11"/>
  <c r="J81" i="11"/>
  <c r="E78" i="11"/>
  <c r="J90" i="11"/>
  <c r="E88" i="11"/>
  <c r="J106" i="11"/>
  <c r="E104" i="11"/>
  <c r="J105" i="11"/>
  <c r="E103" i="11"/>
  <c r="J104" i="11"/>
  <c r="E102" i="11"/>
  <c r="J70" i="11"/>
  <c r="E87" i="11"/>
  <c r="J103" i="11"/>
  <c r="E101" i="11"/>
  <c r="J80" i="11"/>
  <c r="E77" i="11"/>
  <c r="J89" i="11"/>
  <c r="E86" i="11"/>
  <c r="J79" i="11"/>
  <c r="E76" i="11"/>
  <c r="J77" i="11"/>
  <c r="E73" i="11"/>
  <c r="J102" i="11"/>
  <c r="E100" i="11"/>
  <c r="J72" i="11"/>
  <c r="E70" i="11"/>
  <c r="J101" i="11"/>
  <c r="E99" i="11"/>
  <c r="J88" i="11"/>
  <c r="E85" i="11"/>
  <c r="J100" i="11"/>
  <c r="E98" i="11"/>
  <c r="J29" i="13"/>
  <c r="I29" i="13"/>
  <c r="J28" i="13"/>
  <c r="I28" i="13"/>
  <c r="K28" i="13" s="1"/>
  <c r="N8" i="3"/>
  <c r="N13" i="3"/>
  <c r="N12" i="3"/>
  <c r="Q8" i="3"/>
  <c r="N5" i="9"/>
  <c r="Q8" i="6"/>
  <c r="I133" i="6"/>
  <c r="H133" i="6"/>
  <c r="G133" i="6"/>
  <c r="D133" i="6"/>
  <c r="C133" i="6"/>
  <c r="B133" i="6"/>
  <c r="J82" i="6"/>
  <c r="E132" i="6"/>
  <c r="J132" i="6"/>
  <c r="E131" i="6"/>
  <c r="J131" i="6"/>
  <c r="E130" i="6"/>
  <c r="J73" i="6"/>
  <c r="E84" i="6"/>
  <c r="J87" i="6"/>
  <c r="E83" i="6"/>
  <c r="J130" i="6"/>
  <c r="E129" i="6"/>
  <c r="J129" i="6"/>
  <c r="E128" i="6"/>
  <c r="J128" i="6"/>
  <c r="E127" i="6"/>
  <c r="J86" i="6"/>
  <c r="E82" i="6"/>
  <c r="J72" i="6"/>
  <c r="E70" i="6"/>
  <c r="J127" i="6"/>
  <c r="E126" i="6"/>
  <c r="J105" i="6"/>
  <c r="E103" i="6"/>
  <c r="J70" i="6"/>
  <c r="E125" i="6"/>
  <c r="J104" i="6"/>
  <c r="E102" i="6"/>
  <c r="J79" i="6"/>
  <c r="E76" i="6"/>
  <c r="J126" i="6"/>
  <c r="E124" i="6"/>
  <c r="J125" i="6"/>
  <c r="E123" i="6"/>
  <c r="J124" i="6"/>
  <c r="E122" i="6"/>
  <c r="J123" i="6"/>
  <c r="E121" i="6"/>
  <c r="J94" i="6"/>
  <c r="E101" i="6"/>
  <c r="J93" i="6"/>
  <c r="E90" i="6"/>
  <c r="J78" i="6"/>
  <c r="E75" i="6"/>
  <c r="J103" i="6"/>
  <c r="E100" i="6"/>
  <c r="J102" i="6"/>
  <c r="E99" i="6"/>
  <c r="J122" i="6"/>
  <c r="E120" i="6"/>
  <c r="J77" i="6"/>
  <c r="E74" i="6"/>
  <c r="J81" i="6"/>
  <c r="E78" i="6"/>
  <c r="J71" i="6"/>
  <c r="E98" i="6"/>
  <c r="J101" i="6"/>
  <c r="E97" i="6"/>
  <c r="J121" i="6"/>
  <c r="E119" i="6"/>
  <c r="J100" i="6"/>
  <c r="E96" i="6"/>
  <c r="J120" i="6"/>
  <c r="E118" i="6"/>
  <c r="J76" i="6"/>
  <c r="E73" i="6"/>
  <c r="J85" i="6"/>
  <c r="E81" i="6"/>
  <c r="J99" i="6"/>
  <c r="E95" i="6"/>
  <c r="J119" i="6"/>
  <c r="E117" i="6"/>
  <c r="J118" i="6"/>
  <c r="E116" i="6"/>
  <c r="J117" i="6"/>
  <c r="E115" i="6"/>
  <c r="J88" i="6"/>
  <c r="E88" i="6"/>
  <c r="J75" i="6"/>
  <c r="E72" i="6"/>
  <c r="J98" i="6"/>
  <c r="E94" i="6"/>
  <c r="J91" i="6"/>
  <c r="E87" i="6"/>
  <c r="J97" i="6"/>
  <c r="E93" i="6"/>
  <c r="J116" i="6"/>
  <c r="E114" i="6"/>
  <c r="J84" i="6"/>
  <c r="E80" i="6"/>
  <c r="J83" i="6"/>
  <c r="E79" i="6"/>
  <c r="J115" i="6"/>
  <c r="E113" i="6"/>
  <c r="J114" i="6"/>
  <c r="E112" i="6"/>
  <c r="J113" i="6"/>
  <c r="E111" i="6"/>
  <c r="J90" i="6"/>
  <c r="E86" i="6"/>
  <c r="J96" i="6"/>
  <c r="E92" i="6"/>
  <c r="J112" i="6"/>
  <c r="E110" i="6"/>
  <c r="J89" i="6"/>
  <c r="E85" i="6"/>
  <c r="J92" i="6"/>
  <c r="E89" i="6"/>
  <c r="J111" i="6"/>
  <c r="E109" i="6"/>
  <c r="J74" i="6"/>
  <c r="E71" i="6"/>
  <c r="J110" i="6"/>
  <c r="E108" i="6"/>
  <c r="J109" i="6"/>
  <c r="E107" i="6"/>
  <c r="J80" i="6"/>
  <c r="E77" i="6"/>
  <c r="J95" i="6"/>
  <c r="E91" i="6"/>
  <c r="J108" i="6"/>
  <c r="E106" i="6"/>
  <c r="J107" i="6"/>
  <c r="E105" i="6"/>
  <c r="J106" i="6"/>
  <c r="E104" i="6"/>
  <c r="K29" i="13" l="1"/>
  <c r="J99" i="2"/>
  <c r="E99" i="2"/>
  <c r="E127" i="5"/>
  <c r="E133" i="11"/>
  <c r="J133" i="6"/>
  <c r="E133" i="6"/>
  <c r="I113" i="4" l="1"/>
  <c r="H113" i="4"/>
  <c r="G113" i="4"/>
  <c r="J113" i="4" s="1"/>
  <c r="D113" i="4"/>
  <c r="C113" i="4"/>
  <c r="B113" i="4"/>
  <c r="E113" i="4" s="1"/>
  <c r="J100" i="4"/>
  <c r="E99" i="4"/>
  <c r="J99" i="4"/>
  <c r="E98" i="4"/>
  <c r="J71" i="4"/>
  <c r="E68" i="4"/>
  <c r="J85" i="4"/>
  <c r="E82" i="4"/>
  <c r="J60" i="4"/>
  <c r="E66" i="4"/>
  <c r="J69" i="4"/>
  <c r="E97" i="4"/>
  <c r="J77" i="4"/>
  <c r="E74" i="4"/>
  <c r="J74" i="4"/>
  <c r="E71" i="4"/>
  <c r="J86" i="4"/>
  <c r="E96" i="4"/>
  <c r="J112" i="4"/>
  <c r="E112" i="4"/>
  <c r="J111" i="4"/>
  <c r="E111" i="4"/>
  <c r="J73" i="4"/>
  <c r="E70" i="4"/>
  <c r="J98" i="4"/>
  <c r="E95" i="4"/>
  <c r="J110" i="4"/>
  <c r="E110" i="4"/>
  <c r="J70" i="4"/>
  <c r="E67" i="4"/>
  <c r="J109" i="4"/>
  <c r="E109" i="4"/>
  <c r="J64" i="4"/>
  <c r="E62" i="4"/>
  <c r="J97" i="4"/>
  <c r="E94" i="4"/>
  <c r="J96" i="4"/>
  <c r="E93" i="4"/>
  <c r="J108" i="4"/>
  <c r="E108" i="4"/>
  <c r="J76" i="4"/>
  <c r="E73" i="4"/>
  <c r="J107" i="4"/>
  <c r="E107" i="4"/>
  <c r="J95" i="4"/>
  <c r="E92" i="4"/>
  <c r="J94" i="4"/>
  <c r="E91" i="4"/>
  <c r="J72" i="4"/>
  <c r="E69" i="4"/>
  <c r="J84" i="4"/>
  <c r="E81" i="4"/>
  <c r="J83" i="4"/>
  <c r="E80" i="4"/>
  <c r="J93" i="4"/>
  <c r="E90" i="4"/>
  <c r="J75" i="4"/>
  <c r="E72" i="4"/>
  <c r="J66" i="4"/>
  <c r="E64" i="4"/>
  <c r="J106" i="4"/>
  <c r="E106" i="4"/>
  <c r="J92" i="4"/>
  <c r="E89" i="4"/>
  <c r="J68" i="4"/>
  <c r="E65" i="4"/>
  <c r="J62" i="4"/>
  <c r="E105" i="4"/>
  <c r="J63" i="4"/>
  <c r="E61" i="4"/>
  <c r="J105" i="4"/>
  <c r="E104" i="4"/>
  <c r="J67" i="4"/>
  <c r="E88" i="4"/>
  <c r="J61" i="4"/>
  <c r="E60" i="4"/>
  <c r="J65" i="4"/>
  <c r="E63" i="4"/>
  <c r="J82" i="4"/>
  <c r="E79" i="4"/>
  <c r="J91" i="4"/>
  <c r="E87" i="4"/>
  <c r="J79" i="4"/>
  <c r="E76" i="4"/>
  <c r="J90" i="4"/>
  <c r="E86" i="4"/>
  <c r="J104" i="4"/>
  <c r="E103" i="4"/>
  <c r="J78" i="4"/>
  <c r="E75" i="4"/>
  <c r="J89" i="4"/>
  <c r="E85" i="4"/>
  <c r="J88" i="4"/>
  <c r="E84" i="4"/>
  <c r="J101" i="4"/>
  <c r="E102" i="4"/>
  <c r="J81" i="4"/>
  <c r="E78" i="4"/>
  <c r="J87" i="4"/>
  <c r="E83" i="4"/>
  <c r="J103" i="4"/>
  <c r="E101" i="4"/>
  <c r="J80" i="4"/>
  <c r="E77" i="4"/>
  <c r="J102" i="4"/>
  <c r="E100" i="4"/>
  <c r="F136" i="13"/>
  <c r="C113" i="13"/>
  <c r="J16" i="4"/>
  <c r="E16" i="4"/>
  <c r="N9" i="14"/>
  <c r="Q9" i="14"/>
  <c r="Q8" i="1"/>
  <c r="N31" i="3" l="1"/>
  <c r="J30" i="13"/>
  <c r="I30" i="13"/>
  <c r="K30" i="13" l="1"/>
  <c r="F140" i="13"/>
  <c r="C302" i="13"/>
  <c r="J20" i="3"/>
  <c r="E20" i="3"/>
  <c r="F146" i="13" l="1"/>
  <c r="C122" i="13"/>
  <c r="J24" i="2"/>
  <c r="E24" i="2"/>
  <c r="I66" i="6"/>
  <c r="H66" i="6"/>
  <c r="G66" i="6"/>
  <c r="D66" i="6"/>
  <c r="C66" i="6"/>
  <c r="B66" i="6"/>
  <c r="S7" i="10" l="1"/>
  <c r="Q9" i="6"/>
  <c r="N28" i="2" l="1"/>
  <c r="AQ22" i="4" l="1"/>
  <c r="AK22" i="4"/>
  <c r="AE22" i="4"/>
  <c r="W22" i="4"/>
  <c r="N16" i="4" l="1"/>
  <c r="P25" i="10" l="1"/>
  <c r="J44" i="10"/>
  <c r="D44" i="10"/>
  <c r="N18" i="14" l="1"/>
  <c r="Q7" i="2" l="1"/>
  <c r="F216" i="13" l="1"/>
  <c r="C195" i="13"/>
  <c r="J34" i="3"/>
  <c r="E34" i="3"/>
  <c r="Q6" i="5"/>
  <c r="Q10" i="4" l="1"/>
  <c r="Q4" i="11"/>
  <c r="F203" i="13"/>
  <c r="C180" i="13"/>
  <c r="J11" i="9"/>
  <c r="E11" i="9"/>
  <c r="F472" i="13" l="1"/>
  <c r="C470" i="13"/>
  <c r="J49" i="5"/>
  <c r="E49" i="5"/>
  <c r="N32" i="2"/>
  <c r="N31" i="2"/>
  <c r="N30" i="2"/>
  <c r="N43" i="3" l="1"/>
  <c r="N41" i="3"/>
  <c r="N40" i="3"/>
  <c r="N39" i="3"/>
  <c r="C107" i="13"/>
  <c r="F67" i="13"/>
  <c r="J5" i="3"/>
  <c r="E5" i="3"/>
  <c r="N5" i="2"/>
  <c r="F142" i="13"/>
  <c r="C118" i="13"/>
  <c r="J20" i="14"/>
  <c r="E20" i="14"/>
  <c r="J32" i="13"/>
  <c r="I32" i="13"/>
  <c r="N5" i="6"/>
  <c r="K32" i="13" l="1"/>
  <c r="N7" i="9" l="1"/>
  <c r="F174" i="13"/>
  <c r="C446" i="13"/>
  <c r="J36" i="9"/>
  <c r="E36" i="9"/>
  <c r="P15" i="10" l="1"/>
  <c r="J43" i="13"/>
  <c r="I43" i="13"/>
  <c r="AS4" i="10"/>
  <c r="F486" i="13"/>
  <c r="C485" i="13"/>
  <c r="L40" i="10"/>
  <c r="F40" i="10"/>
  <c r="N33" i="3"/>
  <c r="F393" i="13"/>
  <c r="C385" i="13"/>
  <c r="F56" i="13"/>
  <c r="C37" i="13"/>
  <c r="J31" i="11"/>
  <c r="E31" i="11"/>
  <c r="F264" i="13"/>
  <c r="C248" i="13"/>
  <c r="J4" i="11"/>
  <c r="E4" i="11"/>
  <c r="F379" i="13"/>
  <c r="C370" i="13"/>
  <c r="J38" i="4"/>
  <c r="E38" i="4"/>
  <c r="N16" i="6"/>
  <c r="F185" i="13" l="1"/>
  <c r="C159" i="13"/>
  <c r="J4" i="9"/>
  <c r="E4" i="9"/>
  <c r="J36" i="13" l="1"/>
  <c r="I36" i="13"/>
  <c r="F162" i="13"/>
  <c r="C141" i="13"/>
  <c r="N6" i="1"/>
  <c r="J37" i="1"/>
  <c r="E37" i="1"/>
  <c r="K36" i="13" l="1"/>
  <c r="J25" i="13"/>
  <c r="I25" i="13"/>
  <c r="T39" i="3"/>
  <c r="W18" i="3"/>
  <c r="T18" i="3"/>
  <c r="Y4" i="3"/>
  <c r="N4" i="3"/>
  <c r="F168" i="13" l="1"/>
  <c r="C149" i="13"/>
  <c r="J40" i="1"/>
  <c r="E40" i="1"/>
  <c r="N10" i="3"/>
  <c r="F308" i="13"/>
  <c r="C292" i="13"/>
  <c r="J10" i="2"/>
  <c r="E10" i="2"/>
  <c r="F69" i="13"/>
  <c r="C47" i="13"/>
  <c r="L9" i="10"/>
  <c r="F9" i="10"/>
  <c r="N16" i="11"/>
  <c r="N15" i="11"/>
  <c r="N14" i="11"/>
  <c r="N16" i="5"/>
  <c r="N30" i="3" l="1"/>
  <c r="F347" i="13"/>
  <c r="C336" i="13"/>
  <c r="J29" i="4"/>
  <c r="E29" i="4"/>
  <c r="F91" i="13" l="1"/>
  <c r="C69" i="13"/>
  <c r="J8" i="14"/>
  <c r="E8" i="14"/>
  <c r="F19" i="10"/>
  <c r="L19" i="10"/>
  <c r="P17" i="10"/>
  <c r="N18" i="6"/>
  <c r="N15" i="5"/>
  <c r="P18" i="10"/>
  <c r="P16" i="10"/>
  <c r="N17" i="4"/>
  <c r="N29" i="3"/>
  <c r="N13" i="2"/>
  <c r="AK16" i="1"/>
  <c r="AH16" i="1"/>
  <c r="AE16" i="1"/>
  <c r="T16" i="1"/>
  <c r="N16" i="1"/>
  <c r="AN8" i="1"/>
  <c r="AK8" i="1"/>
  <c r="AH8" i="1"/>
  <c r="AE8" i="1"/>
  <c r="N17" i="1" l="1"/>
  <c r="N15" i="1"/>
  <c r="N17" i="6"/>
  <c r="N15" i="14" l="1"/>
  <c r="N15" i="9" l="1"/>
  <c r="J19" i="13"/>
  <c r="I19" i="13"/>
  <c r="N8" i="14"/>
  <c r="K19" i="13" l="1"/>
  <c r="N6" i="11"/>
  <c r="F58" i="13"/>
  <c r="C39" i="13"/>
  <c r="J44" i="6"/>
  <c r="E44" i="6"/>
  <c r="J43" i="9" l="1"/>
  <c r="J42" i="9"/>
  <c r="J41" i="9"/>
  <c r="J40" i="9"/>
  <c r="J39" i="9"/>
  <c r="J38" i="9"/>
  <c r="J37" i="9"/>
  <c r="J35" i="9"/>
  <c r="J34" i="9"/>
  <c r="J33" i="9"/>
  <c r="J32" i="9"/>
  <c r="J30" i="9"/>
  <c r="J29" i="9"/>
  <c r="J28" i="9"/>
  <c r="J27" i="9"/>
  <c r="E43" i="9"/>
  <c r="E38" i="9"/>
  <c r="E37" i="9"/>
  <c r="E35" i="9"/>
  <c r="E34" i="9"/>
  <c r="E33" i="9"/>
  <c r="E32" i="9"/>
  <c r="E30" i="9"/>
  <c r="E29" i="9"/>
  <c r="E28" i="9"/>
  <c r="E27" i="9"/>
  <c r="J12" i="9"/>
  <c r="J9" i="9"/>
  <c r="J8" i="9"/>
  <c r="J7" i="9"/>
  <c r="E12" i="9"/>
  <c r="F86" i="13"/>
  <c r="C65" i="13"/>
  <c r="F497" i="13"/>
  <c r="F496" i="13"/>
  <c r="C496" i="13"/>
  <c r="C495" i="13"/>
  <c r="F237" i="13"/>
  <c r="C222" i="13"/>
  <c r="F484" i="13"/>
  <c r="C483" i="13"/>
  <c r="F169" i="13"/>
  <c r="C150" i="13"/>
  <c r="F460" i="13"/>
  <c r="F458" i="13"/>
  <c r="C457" i="13"/>
  <c r="C455" i="13"/>
  <c r="F228" i="13"/>
  <c r="F163" i="13"/>
  <c r="C211" i="13"/>
  <c r="F451" i="13"/>
  <c r="C142" i="13"/>
  <c r="C445" i="13"/>
  <c r="F447" i="13"/>
  <c r="C440" i="13"/>
  <c r="F442" i="13"/>
  <c r="C435" i="13"/>
  <c r="F436" i="13"/>
  <c r="F434" i="13"/>
  <c r="C429" i="13"/>
  <c r="C427" i="13"/>
  <c r="C425" i="13"/>
  <c r="F177" i="13"/>
  <c r="C206" i="13"/>
  <c r="F408" i="13"/>
  <c r="C400" i="13"/>
  <c r="F107" i="13"/>
  <c r="C86" i="13"/>
  <c r="F152" i="13"/>
  <c r="F387" i="13"/>
  <c r="C128" i="13"/>
  <c r="C379" i="13"/>
  <c r="F354" i="13"/>
  <c r="F348" i="13"/>
  <c r="C343" i="13"/>
  <c r="C337" i="13"/>
  <c r="F312" i="13"/>
  <c r="F304" i="13"/>
  <c r="C296" i="13"/>
  <c r="C288" i="13"/>
  <c r="F282" i="13"/>
  <c r="C266" i="13"/>
  <c r="F170" i="13"/>
  <c r="C151" i="13"/>
  <c r="F148" i="13"/>
  <c r="C124" i="13"/>
  <c r="F194" i="13"/>
  <c r="F116" i="13"/>
  <c r="C168" i="13"/>
  <c r="C97" i="13"/>
  <c r="F81" i="13"/>
  <c r="F6" i="13"/>
  <c r="J16" i="13"/>
  <c r="I16" i="13"/>
  <c r="C60" i="13"/>
  <c r="J3" i="13"/>
  <c r="I3" i="13"/>
  <c r="F186" i="13"/>
  <c r="C160" i="13"/>
  <c r="N4" i="9"/>
  <c r="J9" i="5"/>
  <c r="J56" i="5"/>
  <c r="J44" i="5"/>
  <c r="J43" i="5"/>
  <c r="J42" i="5"/>
  <c r="J41" i="5"/>
  <c r="J36" i="5"/>
  <c r="E9" i="5"/>
  <c r="E41" i="5"/>
  <c r="E36" i="5"/>
  <c r="N9" i="11"/>
  <c r="F55" i="13"/>
  <c r="C36" i="13"/>
  <c r="J39" i="6"/>
  <c r="E39" i="6"/>
  <c r="N7" i="14" l="1"/>
  <c r="F41" i="13"/>
  <c r="C22" i="13"/>
  <c r="J18" i="14"/>
  <c r="E18" i="14"/>
  <c r="F430" i="13"/>
  <c r="F111" i="13"/>
  <c r="C91" i="13"/>
  <c r="J48" i="4"/>
  <c r="E48" i="4"/>
  <c r="N6" i="5"/>
  <c r="N6" i="3" l="1"/>
  <c r="N5" i="14"/>
  <c r="N4" i="1"/>
  <c r="N5" i="11" l="1"/>
  <c r="N10" i="4"/>
  <c r="P7" i="10" l="1"/>
  <c r="F110" i="13" l="1"/>
  <c r="C89" i="13"/>
  <c r="J29" i="2"/>
  <c r="E29" i="2"/>
  <c r="F3" i="13"/>
  <c r="C444" i="13"/>
  <c r="J35" i="1"/>
  <c r="E35" i="1"/>
  <c r="N8" i="6"/>
  <c r="F188" i="13" l="1"/>
  <c r="C162" i="13"/>
  <c r="N8" i="9"/>
  <c r="P5" i="10" l="1"/>
  <c r="N8" i="4"/>
  <c r="N6" i="4"/>
  <c r="J23" i="13"/>
  <c r="I23" i="13"/>
  <c r="AN10" i="4"/>
  <c r="AK10" i="4"/>
  <c r="AH10" i="4"/>
  <c r="AE10" i="4"/>
  <c r="Y10" i="4"/>
  <c r="F23" i="13"/>
  <c r="C303" i="13"/>
  <c r="J22" i="4"/>
  <c r="E22" i="4"/>
  <c r="N5" i="3"/>
  <c r="N4" i="11"/>
  <c r="J12" i="13"/>
  <c r="I12" i="13"/>
  <c r="N9" i="1"/>
  <c r="N8" i="1"/>
  <c r="F39" i="13"/>
  <c r="C20" i="13"/>
  <c r="J5" i="1"/>
  <c r="E5" i="1"/>
  <c r="N6" i="14"/>
  <c r="N8" i="2"/>
  <c r="N7" i="2"/>
  <c r="I49" i="2"/>
  <c r="H49" i="2"/>
  <c r="G49" i="2"/>
  <c r="D49" i="2"/>
  <c r="C49" i="2"/>
  <c r="B49" i="2"/>
  <c r="N7" i="5"/>
  <c r="AG30" i="5"/>
  <c r="AD30" i="5"/>
  <c r="W30" i="5"/>
  <c r="AM22" i="5"/>
  <c r="AJ22" i="5"/>
  <c r="AG22" i="5"/>
  <c r="AD22" i="5"/>
  <c r="W22" i="5"/>
  <c r="K23" i="13" l="1"/>
  <c r="N9" i="6" l="1"/>
  <c r="N7" i="6"/>
  <c r="I51" i="14"/>
  <c r="F175" i="13"/>
  <c r="F32" i="13"/>
  <c r="C15" i="13"/>
  <c r="E36" i="14"/>
  <c r="J36" i="14"/>
  <c r="F373" i="13"/>
  <c r="C364" i="13"/>
  <c r="E28" i="14"/>
  <c r="J28" i="14"/>
  <c r="J45" i="13"/>
  <c r="I45" i="13"/>
  <c r="P35" i="10"/>
  <c r="L38" i="10"/>
  <c r="F38" i="10"/>
  <c r="F417" i="13"/>
  <c r="C409" i="13"/>
  <c r="L30" i="10"/>
  <c r="F30" i="10"/>
  <c r="F316" i="13"/>
  <c r="C301" i="13"/>
  <c r="F263" i="13"/>
  <c r="C247" i="13"/>
  <c r="L5" i="10"/>
  <c r="F5" i="10"/>
  <c r="F252" i="13"/>
  <c r="C235" i="13"/>
  <c r="L3" i="10"/>
  <c r="F3" i="10"/>
  <c r="N33" i="9"/>
  <c r="N29" i="9"/>
  <c r="N28" i="9"/>
  <c r="F471" i="13"/>
  <c r="C469" i="13"/>
  <c r="F115" i="13"/>
  <c r="C95" i="13"/>
  <c r="C133" i="13"/>
  <c r="F157" i="13"/>
  <c r="F407" i="13"/>
  <c r="C399" i="13"/>
  <c r="F396" i="13"/>
  <c r="C388" i="13"/>
  <c r="F30" i="13"/>
  <c r="C13" i="13"/>
  <c r="E20" i="9"/>
  <c r="J20" i="9"/>
  <c r="F327" i="13"/>
  <c r="C315" i="13"/>
  <c r="F296" i="13"/>
  <c r="C280" i="13"/>
  <c r="F292" i="13"/>
  <c r="C276" i="13"/>
  <c r="E7" i="9"/>
  <c r="J6" i="9"/>
  <c r="E6" i="9"/>
  <c r="N33" i="11"/>
  <c r="W31" i="11"/>
  <c r="F483" i="13"/>
  <c r="C482" i="13"/>
  <c r="J59" i="11"/>
  <c r="E59" i="11"/>
  <c r="F428" i="13"/>
  <c r="C420" i="13"/>
  <c r="E43" i="11"/>
  <c r="J43" i="11"/>
  <c r="F217" i="13"/>
  <c r="C196" i="13"/>
  <c r="J32" i="11"/>
  <c r="E32" i="11"/>
  <c r="F200" i="13"/>
  <c r="C176" i="13"/>
  <c r="F305" i="13"/>
  <c r="C289" i="13"/>
  <c r="J17" i="11"/>
  <c r="J18" i="11"/>
  <c r="E17" i="11"/>
  <c r="E18" i="11"/>
  <c r="F503" i="13"/>
  <c r="C503" i="13"/>
  <c r="F502" i="13"/>
  <c r="C502" i="13"/>
  <c r="F179" i="13"/>
  <c r="C499" i="13"/>
  <c r="J59" i="5"/>
  <c r="J60" i="5"/>
  <c r="J61" i="5"/>
  <c r="E59" i="5"/>
  <c r="E60" i="5"/>
  <c r="E61" i="5"/>
  <c r="F238" i="13"/>
  <c r="C223" i="13"/>
  <c r="E56" i="5"/>
  <c r="F16" i="13"/>
  <c r="C144" i="13"/>
  <c r="E44" i="5"/>
  <c r="F160" i="13"/>
  <c r="C139" i="13"/>
  <c r="F437" i="13"/>
  <c r="C430" i="13"/>
  <c r="F341" i="13"/>
  <c r="C330" i="13"/>
  <c r="J17" i="5"/>
  <c r="E17" i="5"/>
  <c r="F27" i="13"/>
  <c r="C9" i="13"/>
  <c r="J16" i="5"/>
  <c r="E16" i="5"/>
  <c r="F286" i="13"/>
  <c r="C270" i="13"/>
  <c r="F256" i="13"/>
  <c r="C240" i="13"/>
  <c r="J4" i="5"/>
  <c r="E4" i="5"/>
  <c r="J52" i="4"/>
  <c r="E52" i="4"/>
  <c r="F103" i="13"/>
  <c r="C82" i="13"/>
  <c r="J31" i="4"/>
  <c r="E31" i="4"/>
  <c r="F272" i="13"/>
  <c r="C256" i="13"/>
  <c r="E10" i="4"/>
  <c r="J10" i="4"/>
  <c r="I55" i="3"/>
  <c r="F362" i="13"/>
  <c r="C353" i="13"/>
  <c r="E29" i="3"/>
  <c r="J29" i="3"/>
  <c r="F204" i="13"/>
  <c r="C183" i="13"/>
  <c r="F52" i="13"/>
  <c r="C33" i="13"/>
  <c r="J26" i="3"/>
  <c r="E27" i="3"/>
  <c r="J27" i="3"/>
  <c r="F307" i="13"/>
  <c r="C291" i="13"/>
  <c r="J18" i="3"/>
  <c r="E18" i="3"/>
  <c r="F435" i="13"/>
  <c r="C428" i="13"/>
  <c r="J32" i="2"/>
  <c r="E32" i="2"/>
  <c r="F343" i="13"/>
  <c r="C332" i="13"/>
  <c r="J16" i="2"/>
  <c r="E16" i="2"/>
  <c r="F337" i="13"/>
  <c r="C325" i="13"/>
  <c r="E15" i="2"/>
  <c r="J15" i="2"/>
  <c r="F71" i="13"/>
  <c r="C49" i="13"/>
  <c r="J12" i="2"/>
  <c r="E12" i="2"/>
  <c r="F274" i="13"/>
  <c r="C258" i="13"/>
  <c r="J5" i="2"/>
  <c r="E5" i="2"/>
  <c r="F129" i="13"/>
  <c r="C106" i="13"/>
  <c r="E3" i="2"/>
  <c r="J3" i="2"/>
  <c r="J65" i="6"/>
  <c r="E65" i="6"/>
  <c r="F422" i="13"/>
  <c r="C414" i="13"/>
  <c r="J45" i="6"/>
  <c r="E45" i="6"/>
  <c r="F151" i="13"/>
  <c r="C127" i="13"/>
  <c r="J40" i="6"/>
  <c r="E40" i="6"/>
  <c r="F191" i="13"/>
  <c r="C165" i="13"/>
  <c r="J13" i="6"/>
  <c r="E13" i="6"/>
  <c r="F207" i="13"/>
  <c r="C186" i="13"/>
  <c r="J21" i="1"/>
  <c r="E21" i="1"/>
  <c r="T35" i="14"/>
  <c r="AE36" i="14"/>
  <c r="AE34" i="14"/>
  <c r="T28" i="14"/>
  <c r="T26" i="14"/>
  <c r="T24" i="14"/>
  <c r="AE28" i="14"/>
  <c r="AE27" i="14"/>
  <c r="AE26" i="14"/>
  <c r="AE19" i="14"/>
  <c r="AE18" i="14"/>
  <c r="AE17" i="14"/>
  <c r="AE15" i="14"/>
  <c r="Y9" i="14"/>
  <c r="Y8" i="14"/>
  <c r="Y7" i="14"/>
  <c r="Y6" i="14"/>
  <c r="Y5" i="14"/>
  <c r="AE5" i="14"/>
  <c r="V33" i="10"/>
  <c r="V32" i="10"/>
  <c r="Y36" i="10"/>
  <c r="Y33" i="10"/>
  <c r="Y32" i="10"/>
  <c r="AG33" i="10"/>
  <c r="Y26" i="10"/>
  <c r="AG26" i="10"/>
  <c r="AG25" i="10"/>
  <c r="V17" i="10"/>
  <c r="Y17" i="10"/>
  <c r="AA6" i="10"/>
  <c r="AA5" i="10"/>
  <c r="AG5" i="10"/>
  <c r="T28" i="9"/>
  <c r="W31" i="9"/>
  <c r="W28" i="9"/>
  <c r="AE32" i="9"/>
  <c r="AE28" i="9"/>
  <c r="T20" i="9"/>
  <c r="T13" i="9"/>
  <c r="W14" i="9"/>
  <c r="Y8" i="9"/>
  <c r="Y5" i="9"/>
  <c r="Y4" i="9"/>
  <c r="AE8" i="9"/>
  <c r="AE5" i="9"/>
  <c r="T14" i="11"/>
  <c r="W14" i="11"/>
  <c r="Y4" i="11"/>
  <c r="AE4" i="11"/>
  <c r="T27" i="5"/>
  <c r="Y8" i="5"/>
  <c r="Y4" i="5"/>
  <c r="T30" i="4"/>
  <c r="T29" i="4"/>
  <c r="T28" i="4"/>
  <c r="W32" i="4"/>
  <c r="AE32" i="4"/>
  <c r="T17" i="4"/>
  <c r="W17" i="4"/>
  <c r="AE17" i="4"/>
  <c r="Y7" i="4"/>
  <c r="Y6" i="4"/>
  <c r="AE6" i="4"/>
  <c r="T41" i="3"/>
  <c r="T40" i="3"/>
  <c r="W41" i="3"/>
  <c r="W40" i="3"/>
  <c r="AE42" i="3"/>
  <c r="AE40" i="3"/>
  <c r="T33" i="3"/>
  <c r="T32" i="3"/>
  <c r="T29" i="3"/>
  <c r="W23" i="3"/>
  <c r="W21" i="3"/>
  <c r="W19" i="3"/>
  <c r="AE21" i="3"/>
  <c r="Y10" i="3"/>
  <c r="Y9" i="3"/>
  <c r="Y7" i="3"/>
  <c r="Y5" i="3"/>
  <c r="T29" i="2"/>
  <c r="W31" i="2"/>
  <c r="AD31" i="2"/>
  <c r="T13" i="2"/>
  <c r="W15" i="2"/>
  <c r="AD15" i="2"/>
  <c r="Y8" i="2"/>
  <c r="Y7" i="2"/>
  <c r="AD8" i="2"/>
  <c r="C74" i="13"/>
  <c r="T34" i="6"/>
  <c r="T30" i="6"/>
  <c r="W32" i="6"/>
  <c r="AE32" i="6"/>
  <c r="AE23" i="6"/>
  <c r="T17" i="6"/>
  <c r="T16" i="6"/>
  <c r="W17" i="6"/>
  <c r="W16" i="6"/>
  <c r="AE16" i="6"/>
  <c r="Y8" i="6"/>
  <c r="AE8" i="6"/>
  <c r="F229" i="13" l="1"/>
  <c r="C212" i="13"/>
  <c r="F181" i="13"/>
  <c r="C155" i="13"/>
  <c r="F44" i="13"/>
  <c r="C24" i="13"/>
  <c r="F80" i="13"/>
  <c r="C59" i="13"/>
  <c r="F2" i="13"/>
  <c r="T33" i="1"/>
  <c r="T28" i="1"/>
  <c r="K25" i="13" l="1"/>
  <c r="T23" i="1"/>
  <c r="T22" i="1"/>
  <c r="W23" i="1"/>
  <c r="T17" i="1"/>
  <c r="T15" i="1"/>
  <c r="AE9" i="1"/>
  <c r="AE4" i="1"/>
  <c r="F97" i="13" l="1"/>
  <c r="C75" i="13"/>
  <c r="J23" i="14"/>
  <c r="E23" i="14"/>
  <c r="F450" i="13" l="1"/>
  <c r="C443" i="13"/>
  <c r="J49" i="11"/>
  <c r="E49" i="11"/>
  <c r="F482" i="13" l="1"/>
  <c r="C481" i="13"/>
  <c r="J43" i="1"/>
  <c r="E43" i="1"/>
  <c r="J4" i="13"/>
  <c r="I4" i="13"/>
  <c r="J44" i="13"/>
  <c r="I44" i="13"/>
  <c r="F383" i="13"/>
  <c r="C374" i="13"/>
  <c r="F258" i="13"/>
  <c r="C242" i="13"/>
  <c r="J6" i="4"/>
  <c r="E6" i="4"/>
  <c r="K4" i="13" l="1"/>
  <c r="F275" i="13" l="1"/>
  <c r="C259" i="13"/>
  <c r="J6" i="2"/>
  <c r="E6" i="2"/>
  <c r="J21" i="13" l="1"/>
  <c r="I21" i="13"/>
  <c r="K21" i="13" l="1"/>
  <c r="F45" i="13"/>
  <c r="C25" i="13"/>
  <c r="J5" i="5"/>
  <c r="E5" i="5"/>
  <c r="F5" i="13" l="1"/>
  <c r="C309" i="13"/>
  <c r="L20" i="10"/>
  <c r="F20" i="10"/>
  <c r="F98" i="13" l="1"/>
  <c r="C76" i="13"/>
  <c r="J24" i="6"/>
  <c r="E24" i="6"/>
  <c r="J20" i="13"/>
  <c r="I20" i="13"/>
  <c r="F47" i="13"/>
  <c r="C27" i="13"/>
  <c r="J11" i="14"/>
  <c r="E11" i="14"/>
  <c r="K20" i="13" l="1"/>
  <c r="J35" i="3"/>
  <c r="E35" i="3"/>
  <c r="F490" i="13"/>
  <c r="C489" i="13"/>
  <c r="J62" i="11"/>
  <c r="E62" i="11"/>
  <c r="F376" i="13" l="1"/>
  <c r="C367" i="13"/>
  <c r="J25" i="1"/>
  <c r="E25" i="1"/>
  <c r="K3" i="13" l="1"/>
  <c r="F394" i="13"/>
  <c r="C386" i="13"/>
  <c r="L27" i="10"/>
  <c r="F27" i="10"/>
  <c r="F144" i="13" l="1"/>
  <c r="C120" i="13"/>
  <c r="L24" i="10"/>
  <c r="F24" i="10"/>
  <c r="J7" i="6" l="1"/>
  <c r="E7" i="6"/>
  <c r="F361" i="13"/>
  <c r="C350" i="13"/>
  <c r="J28" i="6"/>
  <c r="E28" i="6"/>
  <c r="F506" i="13" l="1"/>
  <c r="C506" i="13"/>
  <c r="F440" i="13"/>
  <c r="C433" i="13"/>
  <c r="J46" i="11"/>
  <c r="E46" i="11"/>
  <c r="F95" i="13"/>
  <c r="C73" i="13"/>
  <c r="J13" i="2"/>
  <c r="E13" i="2"/>
  <c r="F18" i="13"/>
  <c r="C3" i="13"/>
  <c r="J11" i="2"/>
  <c r="E11" i="2"/>
  <c r="F210" i="13" l="1"/>
  <c r="C189" i="13"/>
  <c r="J18" i="9"/>
  <c r="E18" i="9"/>
  <c r="F231" i="13"/>
  <c r="C214" i="13"/>
  <c r="E41" i="9"/>
  <c r="AE11" i="3" l="1"/>
  <c r="AE9" i="3"/>
  <c r="AE5" i="3"/>
  <c r="J6" i="3" l="1"/>
  <c r="E6" i="3"/>
  <c r="F380" i="13"/>
  <c r="C371" i="13"/>
  <c r="J31" i="3"/>
  <c r="E31" i="3"/>
  <c r="F246" i="13"/>
  <c r="C228" i="13"/>
  <c r="J4" i="4"/>
  <c r="E4" i="4"/>
  <c r="F253" i="13"/>
  <c r="C236" i="13"/>
  <c r="J5" i="4"/>
  <c r="E5" i="4"/>
  <c r="F241" i="13"/>
  <c r="C328" i="13"/>
  <c r="J20" i="1"/>
  <c r="E20" i="1"/>
  <c r="F360" i="13"/>
  <c r="C349" i="13"/>
  <c r="F145" i="13"/>
  <c r="C121" i="13"/>
  <c r="J23" i="2"/>
  <c r="E23" i="2"/>
  <c r="J22" i="2"/>
  <c r="E22" i="2"/>
  <c r="F300" i="13"/>
  <c r="C284" i="13"/>
  <c r="J8" i="2"/>
  <c r="E8" i="2"/>
  <c r="F429" i="13" l="1"/>
  <c r="C421" i="13"/>
  <c r="J44" i="11"/>
  <c r="E44" i="11"/>
  <c r="J38" i="5"/>
  <c r="E38" i="5"/>
  <c r="J2" i="13" l="1"/>
  <c r="I2" i="13"/>
  <c r="F165" i="13"/>
  <c r="C145" i="13"/>
  <c r="J35" i="2"/>
  <c r="E35" i="2"/>
  <c r="K2" i="13" l="1"/>
  <c r="F224" i="13"/>
  <c r="C207" i="13"/>
  <c r="J42" i="11"/>
  <c r="E42" i="11"/>
  <c r="L7" i="10"/>
  <c r="F7" i="10"/>
  <c r="F199" i="13"/>
  <c r="C175" i="13"/>
  <c r="J15" i="6"/>
  <c r="E15" i="6"/>
  <c r="F21" i="13"/>
  <c r="C102" i="13"/>
  <c r="J62" i="6"/>
  <c r="E62" i="6"/>
  <c r="J42" i="14"/>
  <c r="E42" i="14"/>
  <c r="J27" i="5" l="1"/>
  <c r="E27" i="5"/>
  <c r="F266" i="13" l="1"/>
  <c r="C250" i="13"/>
  <c r="J9" i="6"/>
  <c r="E9" i="6"/>
  <c r="J24" i="1"/>
  <c r="E24" i="1"/>
  <c r="F208" i="13"/>
  <c r="C187" i="13"/>
  <c r="J22" i="1"/>
  <c r="E22" i="1"/>
  <c r="J42" i="13" l="1"/>
  <c r="I42" i="13"/>
  <c r="F454" i="13"/>
  <c r="C449" i="13"/>
  <c r="F382" i="13"/>
  <c r="C373" i="13"/>
  <c r="J23" i="9"/>
  <c r="E23" i="9"/>
  <c r="J7" i="13" l="1"/>
  <c r="I7" i="13"/>
  <c r="C453" i="13"/>
  <c r="K7" i="13" l="1"/>
  <c r="J46" i="13" l="1"/>
  <c r="I46" i="13"/>
  <c r="F313" i="13" l="1"/>
  <c r="C298" i="13"/>
  <c r="J15" i="14"/>
  <c r="E15" i="14"/>
  <c r="J54" i="5" l="1"/>
  <c r="E54" i="5"/>
  <c r="F419" i="13" l="1"/>
  <c r="C411" i="13"/>
  <c r="J45" i="4"/>
  <c r="E45" i="4"/>
  <c r="F433" i="13" l="1"/>
  <c r="C426" i="13"/>
  <c r="F63" i="13"/>
  <c r="F399" i="13"/>
  <c r="C45" i="13"/>
  <c r="C391" i="13"/>
  <c r="J49" i="14"/>
  <c r="E49" i="14"/>
  <c r="J34" i="14"/>
  <c r="E34" i="14"/>
  <c r="F134" i="13" l="1"/>
  <c r="C111" i="13"/>
  <c r="J13" i="3"/>
  <c r="E13" i="3"/>
  <c r="F410" i="13"/>
  <c r="C402" i="13"/>
  <c r="J9" i="13"/>
  <c r="I9" i="13"/>
  <c r="K9" i="13" l="1"/>
  <c r="J43" i="4"/>
  <c r="E43" i="4"/>
  <c r="F180" i="13"/>
  <c r="C154" i="13"/>
  <c r="I48" i="1"/>
  <c r="H48" i="1"/>
  <c r="G48" i="1"/>
  <c r="D48" i="1"/>
  <c r="C48" i="1"/>
  <c r="B48" i="1"/>
  <c r="J3" i="1"/>
  <c r="E3" i="1"/>
  <c r="AQ23" i="6"/>
  <c r="AK23" i="6"/>
  <c r="AT16" i="6"/>
  <c r="AN16" i="6"/>
  <c r="F265" i="13" l="1"/>
  <c r="C249" i="13"/>
  <c r="F409" i="13"/>
  <c r="C401" i="13"/>
  <c r="F456" i="13"/>
  <c r="C452" i="13"/>
  <c r="F270" i="13"/>
  <c r="C254" i="13"/>
  <c r="F277" i="13"/>
  <c r="C261" i="13"/>
  <c r="F211" i="13"/>
  <c r="C190" i="13"/>
  <c r="F420" i="13"/>
  <c r="C412" i="13"/>
  <c r="J42" i="4"/>
  <c r="E42" i="4"/>
  <c r="J50" i="4"/>
  <c r="E50" i="4"/>
  <c r="J9" i="4"/>
  <c r="E9" i="4"/>
  <c r="J12" i="4"/>
  <c r="E12" i="4"/>
  <c r="J30" i="4"/>
  <c r="E30" i="4"/>
  <c r="J46" i="4"/>
  <c r="E46" i="4"/>
  <c r="F397" i="13"/>
  <c r="C389" i="13"/>
  <c r="F494" i="13"/>
  <c r="C493" i="13"/>
  <c r="F147" i="13"/>
  <c r="C123" i="13"/>
  <c r="F355" i="13"/>
  <c r="C344" i="13"/>
  <c r="J23" i="5"/>
  <c r="E23" i="5"/>
  <c r="J22" i="5"/>
  <c r="E22" i="5"/>
  <c r="J29" i="5"/>
  <c r="E29" i="5"/>
  <c r="J53" i="5"/>
  <c r="E53" i="5"/>
  <c r="F352" i="13"/>
  <c r="C341" i="13"/>
  <c r="F281" i="13"/>
  <c r="C265" i="13"/>
  <c r="J6" i="5"/>
  <c r="E6" i="5"/>
  <c r="J20" i="5"/>
  <c r="E20" i="5"/>
  <c r="F339" i="13"/>
  <c r="C327" i="13"/>
  <c r="J22" i="14"/>
  <c r="E22" i="14"/>
  <c r="J38" i="13" l="1"/>
  <c r="I38" i="13"/>
  <c r="F268" i="13"/>
  <c r="C252" i="13"/>
  <c r="J5" i="11"/>
  <c r="E5" i="11"/>
  <c r="F243" i="13"/>
  <c r="C472" i="13"/>
  <c r="J57" i="11"/>
  <c r="E57" i="11"/>
  <c r="F415" i="13"/>
  <c r="C407" i="13"/>
  <c r="J37" i="11"/>
  <c r="E37" i="11"/>
  <c r="K38" i="13" l="1"/>
  <c r="F477" i="13"/>
  <c r="C476" i="13"/>
  <c r="J41" i="2"/>
  <c r="E41" i="2"/>
  <c r="F290" i="13" l="1"/>
  <c r="F198" i="13" l="1"/>
  <c r="C173" i="13"/>
  <c r="C274" i="13"/>
  <c r="J12" i="5"/>
  <c r="J11" i="5"/>
  <c r="E12" i="5"/>
  <c r="E11" i="5"/>
  <c r="F247" i="13" l="1"/>
  <c r="C229" i="13"/>
  <c r="F10" i="13"/>
  <c r="C197" i="13"/>
  <c r="J6" i="13"/>
  <c r="I6" i="13"/>
  <c r="J38" i="6"/>
  <c r="E38" i="6"/>
  <c r="F24" i="13"/>
  <c r="C6" i="13"/>
  <c r="J10" i="6"/>
  <c r="E10" i="6"/>
  <c r="AH8" i="14"/>
  <c r="AH7" i="14"/>
  <c r="AH6" i="14"/>
  <c r="AH5" i="14"/>
  <c r="AJ25" i="10"/>
  <c r="AJ5" i="10"/>
  <c r="AH21" i="9"/>
  <c r="AG8" i="5"/>
  <c r="AH23" i="4"/>
  <c r="AH19" i="3"/>
  <c r="AH9" i="3"/>
  <c r="AG8" i="2"/>
  <c r="AG5" i="2"/>
  <c r="AH8" i="6"/>
  <c r="AH17" i="1"/>
  <c r="AH9" i="1"/>
  <c r="J5" i="13"/>
  <c r="I5" i="13"/>
  <c r="F368" i="13"/>
  <c r="C359" i="13"/>
  <c r="J14" i="5"/>
  <c r="E14" i="5"/>
  <c r="F462" i="13"/>
  <c r="C460" i="13"/>
  <c r="J39" i="1"/>
  <c r="E39" i="1"/>
  <c r="F391" i="13"/>
  <c r="C383" i="13"/>
  <c r="J27" i="2"/>
  <c r="E27" i="2"/>
  <c r="F475" i="13"/>
  <c r="C474" i="13"/>
  <c r="J58" i="11"/>
  <c r="E58" i="11"/>
  <c r="F254" i="13"/>
  <c r="C237" i="13"/>
  <c r="J8" i="3"/>
  <c r="E8" i="3"/>
  <c r="F233" i="13"/>
  <c r="C216" i="13"/>
  <c r="J50" i="3"/>
  <c r="E50" i="3"/>
  <c r="F284" i="13"/>
  <c r="C268" i="13"/>
  <c r="J14" i="4"/>
  <c r="E14" i="4"/>
  <c r="E40" i="9"/>
  <c r="F338" i="13"/>
  <c r="C326" i="13"/>
  <c r="F89" i="13"/>
  <c r="C66" i="13"/>
  <c r="F245" i="13"/>
  <c r="C227" i="13"/>
  <c r="F273" i="13"/>
  <c r="C257" i="13"/>
  <c r="J4" i="14"/>
  <c r="E4" i="14"/>
  <c r="J6" i="14"/>
  <c r="E6" i="14"/>
  <c r="L23" i="10"/>
  <c r="F23" i="10"/>
  <c r="L8" i="10"/>
  <c r="F8" i="10"/>
  <c r="F358" i="13"/>
  <c r="C347" i="13"/>
  <c r="J27" i="14"/>
  <c r="E27" i="14"/>
  <c r="J50" i="5"/>
  <c r="E50" i="5"/>
  <c r="F457" i="13"/>
  <c r="C454" i="13"/>
  <c r="J51" i="11"/>
  <c r="E51" i="11"/>
  <c r="F325" i="13"/>
  <c r="C313" i="13"/>
  <c r="J24" i="4"/>
  <c r="E24" i="4"/>
  <c r="F323" i="13"/>
  <c r="C311" i="13"/>
  <c r="J18" i="1"/>
  <c r="E18" i="1"/>
  <c r="F381" i="13"/>
  <c r="C372" i="13"/>
  <c r="J36" i="6"/>
  <c r="E36" i="6"/>
  <c r="F54" i="13"/>
  <c r="C35" i="13"/>
  <c r="J33" i="6"/>
  <c r="E33" i="6"/>
  <c r="F85" i="13"/>
  <c r="C64" i="13"/>
  <c r="J53" i="4"/>
  <c r="E53" i="4"/>
  <c r="F350" i="13"/>
  <c r="C339" i="13"/>
  <c r="J28" i="3"/>
  <c r="E28" i="3"/>
  <c r="F414" i="13"/>
  <c r="C406" i="13"/>
  <c r="J28" i="2"/>
  <c r="E28" i="2"/>
  <c r="F227" i="13"/>
  <c r="C210" i="13"/>
  <c r="J34" i="1"/>
  <c r="E34" i="1"/>
  <c r="I22" i="13"/>
  <c r="J22" i="13"/>
  <c r="F314" i="13"/>
  <c r="C299" i="13"/>
  <c r="J19" i="3"/>
  <c r="E19" i="3"/>
  <c r="F493" i="13"/>
  <c r="C492" i="13"/>
  <c r="J45" i="9"/>
  <c r="E45" i="9"/>
  <c r="F279" i="13"/>
  <c r="C263" i="13"/>
  <c r="J14" i="6"/>
  <c r="E14" i="6"/>
  <c r="F423" i="13"/>
  <c r="C415" i="13"/>
  <c r="J30" i="2"/>
  <c r="E30" i="2"/>
  <c r="I24" i="13"/>
  <c r="J24" i="13"/>
  <c r="F161" i="13"/>
  <c r="C140" i="13"/>
  <c r="J34" i="2"/>
  <c r="E34" i="2"/>
  <c r="F259" i="13"/>
  <c r="C243" i="13"/>
  <c r="J5" i="14"/>
  <c r="E5" i="14"/>
  <c r="F363" i="13"/>
  <c r="C354" i="13"/>
  <c r="J23" i="1"/>
  <c r="E23" i="1"/>
  <c r="F9" i="13"/>
  <c r="F324" i="13"/>
  <c r="F439" i="13"/>
  <c r="F369" i="13"/>
  <c r="F38" i="13"/>
  <c r="F64" i="13"/>
  <c r="F7" i="13"/>
  <c r="F130" i="13"/>
  <c r="F8" i="13"/>
  <c r="F4" i="13"/>
  <c r="F332" i="13"/>
  <c r="F42" i="13"/>
  <c r="F57" i="13"/>
  <c r="F12" i="13"/>
  <c r="F317" i="13"/>
  <c r="F70" i="13"/>
  <c r="F17" i="13"/>
  <c r="F25" i="13"/>
  <c r="F50" i="13"/>
  <c r="F455" i="13"/>
  <c r="F278" i="13"/>
  <c r="F182" i="13"/>
  <c r="F202" i="13"/>
  <c r="F74" i="13"/>
  <c r="F51" i="13"/>
  <c r="F76" i="13"/>
  <c r="F19" i="13"/>
  <c r="F31" i="13"/>
  <c r="F402" i="13"/>
  <c r="F108" i="13"/>
  <c r="F411" i="13"/>
  <c r="F158" i="13"/>
  <c r="F83" i="13"/>
  <c r="F164" i="13"/>
  <c r="F172" i="13"/>
  <c r="F49" i="13"/>
  <c r="F13" i="13"/>
  <c r="F102" i="13"/>
  <c r="F133" i="13"/>
  <c r="F261" i="13"/>
  <c r="F251" i="13"/>
  <c r="F192" i="13"/>
  <c r="F135" i="13"/>
  <c r="F88" i="13"/>
  <c r="F105" i="13"/>
  <c r="F404" i="13"/>
  <c r="F28" i="13"/>
  <c r="F113" i="13"/>
  <c r="F167" i="13"/>
  <c r="F176" i="13"/>
  <c r="F126" i="13"/>
  <c r="F127" i="13"/>
  <c r="F184" i="13"/>
  <c r="F46" i="13"/>
  <c r="F209" i="13"/>
  <c r="F99" i="13"/>
  <c r="F377" i="13"/>
  <c r="F82" i="13"/>
  <c r="F400" i="13"/>
  <c r="F222" i="13"/>
  <c r="F166" i="13"/>
  <c r="F466" i="13"/>
  <c r="F479" i="13"/>
  <c r="F235" i="13"/>
  <c r="F236" i="13"/>
  <c r="F120" i="13"/>
  <c r="F505" i="13"/>
  <c r="F125" i="13"/>
  <c r="F173" i="13"/>
  <c r="F123" i="13"/>
  <c r="F424" i="13"/>
  <c r="F257" i="13"/>
  <c r="F269" i="13"/>
  <c r="F189" i="13"/>
  <c r="F280" i="13"/>
  <c r="F92" i="13"/>
  <c r="F288" i="13"/>
  <c r="F289" i="13"/>
  <c r="F294" i="13"/>
  <c r="F201" i="13"/>
  <c r="F306" i="13"/>
  <c r="F320" i="13"/>
  <c r="F322" i="13"/>
  <c r="F96" i="13"/>
  <c r="F340" i="13"/>
  <c r="F205" i="13"/>
  <c r="F346" i="13"/>
  <c r="F349" i="13"/>
  <c r="F356" i="13"/>
  <c r="F77" i="13"/>
  <c r="F357" i="13"/>
  <c r="F100" i="13"/>
  <c r="F101" i="13"/>
  <c r="F87" i="13"/>
  <c r="F365" i="13"/>
  <c r="F78" i="13"/>
  <c r="F79" i="13"/>
  <c r="F378" i="13"/>
  <c r="F384" i="13"/>
  <c r="F214" i="13"/>
  <c r="F104" i="13"/>
  <c r="F392" i="13"/>
  <c r="F106" i="13"/>
  <c r="F395" i="13"/>
  <c r="F405" i="13"/>
  <c r="F413" i="13"/>
  <c r="F416" i="13"/>
  <c r="F432" i="13"/>
  <c r="F443" i="13"/>
  <c r="F59" i="13"/>
  <c r="F33" i="13"/>
  <c r="F114" i="13"/>
  <c r="F225" i="13"/>
  <c r="F452" i="13"/>
  <c r="F453" i="13"/>
  <c r="F242" i="13"/>
  <c r="F14" i="13"/>
  <c r="F117" i="13"/>
  <c r="F34" i="13"/>
  <c r="F118" i="13"/>
  <c r="F476" i="13"/>
  <c r="F35" i="13"/>
  <c r="F480" i="13"/>
  <c r="F84" i="13"/>
  <c r="F244" i="13"/>
  <c r="F128" i="13"/>
  <c r="F248" i="13"/>
  <c r="F249" i="13"/>
  <c r="F250" i="13"/>
  <c r="F22" i="13"/>
  <c r="F255" i="13"/>
  <c r="F183" i="13"/>
  <c r="F260" i="13"/>
  <c r="F262" i="13"/>
  <c r="F267" i="13"/>
  <c r="F131" i="13"/>
  <c r="F40" i="13"/>
  <c r="F271" i="13"/>
  <c r="F132" i="13"/>
  <c r="F187" i="13"/>
  <c r="F276" i="13"/>
  <c r="F190" i="13"/>
  <c r="F15" i="13"/>
  <c r="F193" i="13"/>
  <c r="F90" i="13"/>
  <c r="F283" i="13"/>
  <c r="F195" i="13"/>
  <c r="F285" i="13"/>
  <c r="F29" i="13"/>
  <c r="F197" i="13"/>
  <c r="F68" i="13"/>
  <c r="F287" i="13"/>
  <c r="F196" i="13"/>
  <c r="F291" i="13"/>
  <c r="F293" i="13"/>
  <c r="F295" i="13"/>
  <c r="F37" i="13"/>
  <c r="F48" i="13"/>
  <c r="F297" i="13"/>
  <c r="F298" i="13"/>
  <c r="F301" i="13"/>
  <c r="F302" i="13"/>
  <c r="F299" i="13"/>
  <c r="F303" i="13"/>
  <c r="F137" i="13"/>
  <c r="F26" i="13"/>
  <c r="F138" i="13"/>
  <c r="F139" i="13"/>
  <c r="F93" i="13"/>
  <c r="F309" i="13"/>
  <c r="F310" i="13"/>
  <c r="F311" i="13"/>
  <c r="F315" i="13"/>
  <c r="F94" i="13"/>
  <c r="F318" i="13"/>
  <c r="F319" i="13"/>
  <c r="F72" i="13"/>
  <c r="F73" i="13"/>
  <c r="F321" i="13"/>
  <c r="F330" i="13"/>
  <c r="F326" i="13"/>
  <c r="F329" i="13"/>
  <c r="F331" i="13"/>
  <c r="F334" i="13"/>
  <c r="F333" i="13"/>
  <c r="F141" i="13"/>
  <c r="F335" i="13"/>
  <c r="F328" i="13"/>
  <c r="F336" i="13"/>
  <c r="F342" i="13"/>
  <c r="F345" i="13"/>
  <c r="F206" i="13"/>
  <c r="F143" i="13"/>
  <c r="F43" i="13"/>
  <c r="F351" i="13"/>
  <c r="F53" i="13"/>
  <c r="F353" i="13"/>
  <c r="F75" i="13"/>
  <c r="F359" i="13"/>
  <c r="F344" i="13"/>
  <c r="F364" i="13"/>
  <c r="F366" i="13"/>
  <c r="F367" i="13"/>
  <c r="F212" i="13"/>
  <c r="F370" i="13"/>
  <c r="F371" i="13"/>
  <c r="F372" i="13"/>
  <c r="F374" i="13"/>
  <c r="F149" i="13"/>
  <c r="F375" i="13"/>
  <c r="F213" i="13"/>
  <c r="F150" i="13"/>
  <c r="F385" i="13"/>
  <c r="F215" i="13"/>
  <c r="F386" i="13"/>
  <c r="F388" i="13"/>
  <c r="F390" i="13"/>
  <c r="F389" i="13"/>
  <c r="F153" i="13"/>
  <c r="F154" i="13"/>
  <c r="F398" i="13"/>
  <c r="F403" i="13"/>
  <c r="F155" i="13"/>
  <c r="F218" i="13"/>
  <c r="F401" i="13"/>
  <c r="F219" i="13"/>
  <c r="F406" i="13"/>
  <c r="F412" i="13"/>
  <c r="F220" i="13"/>
  <c r="F109" i="13"/>
  <c r="F156" i="13"/>
  <c r="F418" i="13"/>
  <c r="F223" i="13"/>
  <c r="F421" i="13"/>
  <c r="F122" i="13"/>
  <c r="F425" i="13"/>
  <c r="F124" i="13"/>
  <c r="F65" i="13"/>
  <c r="F426" i="13"/>
  <c r="F427" i="13"/>
  <c r="F431" i="13"/>
  <c r="F438" i="13"/>
  <c r="F441" i="13"/>
  <c r="F60" i="13"/>
  <c r="F112" i="13"/>
  <c r="F444" i="13"/>
  <c r="F446" i="13"/>
  <c r="F61" i="13"/>
  <c r="F445" i="13"/>
  <c r="F226" i="13"/>
  <c r="F448" i="13"/>
  <c r="F20" i="13"/>
  <c r="F449" i="13"/>
  <c r="F159" i="13"/>
  <c r="F230" i="13"/>
  <c r="F11" i="13"/>
  <c r="F459" i="13"/>
  <c r="F461" i="13"/>
  <c r="F464" i="13"/>
  <c r="F465" i="13"/>
  <c r="F232" i="13"/>
  <c r="F463" i="13"/>
  <c r="F468" i="13"/>
  <c r="F469" i="13"/>
  <c r="F470" i="13"/>
  <c r="F473" i="13"/>
  <c r="F474" i="13"/>
  <c r="F62" i="13"/>
  <c r="F478" i="13"/>
  <c r="F467" i="13"/>
  <c r="F234" i="13"/>
  <c r="F481" i="13"/>
  <c r="F119" i="13"/>
  <c r="F178" i="13"/>
  <c r="F485" i="13"/>
  <c r="F487" i="13"/>
  <c r="F36" i="13"/>
  <c r="F488" i="13"/>
  <c r="F66" i="13"/>
  <c r="F489" i="13"/>
  <c r="F491" i="13"/>
  <c r="F492" i="13"/>
  <c r="F495" i="13"/>
  <c r="F498" i="13"/>
  <c r="F171" i="13"/>
  <c r="F499" i="13"/>
  <c r="F239" i="13"/>
  <c r="F500" i="13"/>
  <c r="F501" i="13"/>
  <c r="F121" i="13"/>
  <c r="F504" i="13"/>
  <c r="F507" i="13"/>
  <c r="F240" i="13"/>
  <c r="F508" i="13"/>
  <c r="F509" i="13"/>
  <c r="F510" i="13"/>
  <c r="C312" i="13"/>
  <c r="C432" i="13"/>
  <c r="C360" i="13"/>
  <c r="C368" i="13"/>
  <c r="C392" i="13"/>
  <c r="C241" i="13"/>
  <c r="C163" i="13"/>
  <c r="C184" i="13"/>
  <c r="C81" i="13"/>
  <c r="C356" i="13"/>
  <c r="C57" i="13"/>
  <c r="C369" i="13"/>
  <c r="C376" i="13"/>
  <c r="C408" i="13"/>
  <c r="C416" i="13"/>
  <c r="C424" i="13"/>
  <c r="C17" i="13"/>
  <c r="C479" i="13"/>
  <c r="C63" i="13"/>
  <c r="C230" i="13"/>
  <c r="C231" i="13"/>
  <c r="C232" i="13"/>
  <c r="C246" i="13"/>
  <c r="C116" i="13"/>
  <c r="C293" i="13"/>
  <c r="C295" i="13"/>
  <c r="C52" i="13"/>
  <c r="C323" i="13"/>
  <c r="C331" i="13"/>
  <c r="C340" i="13"/>
  <c r="C34" i="13"/>
  <c r="C363" i="13"/>
  <c r="C200" i="13"/>
  <c r="C431" i="13"/>
  <c r="C434" i="13"/>
  <c r="C41" i="13"/>
  <c r="C442" i="13"/>
  <c r="C450" i="13"/>
  <c r="C213" i="13"/>
  <c r="C462" i="13"/>
  <c r="C471" i="13"/>
  <c r="C473" i="13"/>
  <c r="C487" i="13"/>
  <c r="C501" i="13"/>
  <c r="C504" i="13"/>
  <c r="C29" i="13"/>
  <c r="C10" i="13"/>
  <c r="C202" i="13"/>
  <c r="C464" i="13"/>
  <c r="C478" i="13"/>
  <c r="C253" i="13"/>
  <c r="C310" i="13"/>
  <c r="C387" i="13"/>
  <c r="C94" i="13"/>
  <c r="C447" i="13"/>
  <c r="C11" i="13"/>
  <c r="C233" i="13"/>
  <c r="C157" i="13"/>
  <c r="C161" i="13"/>
  <c r="C262" i="13"/>
  <c r="C269" i="13"/>
  <c r="C12" i="13"/>
  <c r="C170" i="13"/>
  <c r="C8" i="13"/>
  <c r="C71" i="13"/>
  <c r="C305" i="13"/>
  <c r="C117" i="13"/>
  <c r="C129" i="13"/>
  <c r="C132" i="13"/>
  <c r="C136" i="13"/>
  <c r="C92" i="13"/>
  <c r="C484" i="13"/>
  <c r="C486" i="13"/>
  <c r="C507" i="13"/>
  <c r="C43" i="13"/>
  <c r="C245" i="13"/>
  <c r="C335" i="13"/>
  <c r="C345" i="13"/>
  <c r="C56" i="13"/>
  <c r="C135" i="13"/>
  <c r="C18" i="13"/>
  <c r="C260" i="13"/>
  <c r="C287" i="13"/>
  <c r="C319" i="13"/>
  <c r="C185" i="13"/>
  <c r="C77" i="13"/>
  <c r="C358" i="13"/>
  <c r="C438" i="13"/>
  <c r="C146" i="13"/>
  <c r="C456" i="13"/>
  <c r="C463" i="13"/>
  <c r="C44" i="13"/>
  <c r="C19" i="13"/>
  <c r="C152" i="13"/>
  <c r="C224" i="13"/>
  <c r="C103" i="13"/>
  <c r="C225" i="13"/>
  <c r="C508" i="13"/>
  <c r="C451" i="13"/>
  <c r="C55" i="13"/>
  <c r="C394" i="13"/>
  <c r="C234" i="13"/>
  <c r="C112" i="13"/>
  <c r="C84" i="13"/>
  <c r="C104" i="13"/>
  <c r="C205" i="13"/>
  <c r="C264" i="13"/>
  <c r="C397" i="13"/>
  <c r="C436" i="13"/>
  <c r="C458" i="13"/>
  <c r="C99" i="13"/>
  <c r="C105" i="13"/>
  <c r="C238" i="13"/>
  <c r="C108" i="13"/>
  <c r="C67" i="13"/>
  <c r="C169" i="13"/>
  <c r="C275" i="13"/>
  <c r="C281" i="13"/>
  <c r="C304" i="13"/>
  <c r="C50" i="13"/>
  <c r="C314" i="13"/>
  <c r="C182" i="13"/>
  <c r="C355" i="13"/>
  <c r="C194" i="13"/>
  <c r="C130" i="13"/>
  <c r="C393" i="13"/>
  <c r="C199" i="13"/>
  <c r="C404" i="13"/>
  <c r="C437" i="13"/>
  <c r="C459" i="13"/>
  <c r="C468" i="13"/>
  <c r="C477" i="13"/>
  <c r="C218" i="13"/>
  <c r="C490" i="13"/>
  <c r="C93" i="13"/>
  <c r="C23" i="13"/>
  <c r="C38" i="13"/>
  <c r="C7" i="13"/>
  <c r="C48" i="13"/>
  <c r="C32" i="13"/>
  <c r="C87" i="13"/>
  <c r="C110" i="13"/>
  <c r="C158" i="13"/>
  <c r="C96" i="13"/>
  <c r="C272" i="13"/>
  <c r="C58" i="13"/>
  <c r="C167" i="13"/>
  <c r="C28" i="13"/>
  <c r="C297" i="13"/>
  <c r="C300" i="13"/>
  <c r="C72" i="13"/>
  <c r="C322" i="13"/>
  <c r="C54" i="13"/>
  <c r="C333" i="13"/>
  <c r="C357" i="13"/>
  <c r="C191" i="13"/>
  <c r="C362" i="13"/>
  <c r="C365" i="13"/>
  <c r="C192" i="13"/>
  <c r="C380" i="13"/>
  <c r="C417" i="13"/>
  <c r="C138" i="13"/>
  <c r="C491" i="13"/>
  <c r="C497" i="13"/>
  <c r="C403" i="13"/>
  <c r="C171" i="13"/>
  <c r="C321" i="13"/>
  <c r="C334" i="13"/>
  <c r="C366" i="13"/>
  <c r="C42" i="13"/>
  <c r="C510" i="13"/>
  <c r="C62" i="13"/>
  <c r="C166" i="13"/>
  <c r="C148" i="13"/>
  <c r="C147" i="13"/>
  <c r="C273" i="13"/>
  <c r="C307" i="13"/>
  <c r="C405" i="13"/>
  <c r="C208" i="13"/>
  <c r="C448" i="13"/>
  <c r="C239" i="13"/>
  <c r="C21" i="13"/>
  <c r="C255" i="13"/>
  <c r="C109" i="13"/>
  <c r="C164" i="13"/>
  <c r="C271" i="13"/>
  <c r="C172" i="13"/>
  <c r="C279" i="13"/>
  <c r="C285" i="13"/>
  <c r="C294" i="13"/>
  <c r="C306" i="13"/>
  <c r="C308" i="13"/>
  <c r="C317" i="13"/>
  <c r="C351" i="13"/>
  <c r="C352" i="13"/>
  <c r="C361" i="13"/>
  <c r="C377" i="13"/>
  <c r="C378" i="13"/>
  <c r="C381" i="13"/>
  <c r="C390" i="13"/>
  <c r="C131" i="13"/>
  <c r="C398" i="13"/>
  <c r="C203" i="13"/>
  <c r="C413" i="13"/>
  <c r="C134" i="13"/>
  <c r="C419" i="13"/>
  <c r="C422" i="13"/>
  <c r="C215" i="13"/>
  <c r="C466" i="13"/>
  <c r="C467" i="13"/>
  <c r="C480" i="13"/>
  <c r="C488" i="13"/>
  <c r="C494" i="13"/>
  <c r="C509" i="13"/>
  <c r="C31" i="13"/>
  <c r="C156" i="13"/>
  <c r="C14" i="13"/>
  <c r="C51" i="13"/>
  <c r="C188" i="13"/>
  <c r="C61" i="13"/>
  <c r="C221" i="13"/>
  <c r="C320" i="13"/>
  <c r="C338" i="13"/>
  <c r="C80" i="13"/>
  <c r="C193" i="13"/>
  <c r="C40" i="13"/>
  <c r="C46" i="13"/>
  <c r="C114" i="13"/>
  <c r="C318" i="13"/>
  <c r="C119" i="13"/>
  <c r="C125" i="13"/>
  <c r="C126" i="13"/>
  <c r="C382" i="13"/>
  <c r="C198" i="13"/>
  <c r="C90" i="13"/>
  <c r="C2" i="13"/>
  <c r="C465" i="13"/>
  <c r="C137" i="13"/>
  <c r="C26" i="13"/>
  <c r="C101" i="13"/>
  <c r="C70" i="13"/>
  <c r="C177" i="13"/>
  <c r="C290" i="13"/>
  <c r="C30" i="13"/>
  <c r="C329" i="13"/>
  <c r="C79" i="13"/>
  <c r="C16" i="13"/>
  <c r="C98" i="13"/>
  <c r="C244" i="13"/>
  <c r="C251" i="13"/>
  <c r="C277" i="13"/>
  <c r="C278" i="13"/>
  <c r="C283" i="13"/>
  <c r="C115" i="13"/>
  <c r="C316" i="13"/>
  <c r="C348" i="13"/>
  <c r="C395" i="13"/>
  <c r="C88" i="13"/>
  <c r="C410" i="13"/>
  <c r="C418" i="13"/>
  <c r="C441" i="13"/>
  <c r="C5" i="13"/>
  <c r="C217" i="13"/>
  <c r="C498" i="13"/>
  <c r="C500" i="13"/>
  <c r="C178" i="13"/>
  <c r="C53" i="13"/>
  <c r="C4" i="13"/>
  <c r="C143" i="13"/>
  <c r="C153" i="13"/>
  <c r="C396" i="13"/>
  <c r="C78" i="13"/>
  <c r="C375" i="13"/>
  <c r="C219" i="13"/>
  <c r="C505" i="13"/>
  <c r="C181" i="13"/>
  <c r="C346" i="13"/>
  <c r="C83" i="13"/>
  <c r="C384" i="13"/>
  <c r="C85" i="13"/>
  <c r="C204" i="13"/>
  <c r="C475" i="13"/>
  <c r="C226" i="13"/>
  <c r="C68" i="13"/>
  <c r="C267" i="13"/>
  <c r="C174" i="13"/>
  <c r="C282" i="13"/>
  <c r="C286" i="13"/>
  <c r="C179" i="13"/>
  <c r="C324" i="13"/>
  <c r="C342" i="13"/>
  <c r="C423" i="13"/>
  <c r="C439" i="13"/>
  <c r="C209" i="13"/>
  <c r="C461" i="13"/>
  <c r="C100" i="13"/>
  <c r="C220" i="13"/>
  <c r="J10" i="3"/>
  <c r="E10" i="3"/>
  <c r="J36" i="3"/>
  <c r="E36" i="3"/>
  <c r="J64" i="11"/>
  <c r="E64" i="11"/>
  <c r="I40" i="13"/>
  <c r="J40" i="13"/>
  <c r="J10" i="9"/>
  <c r="J3" i="9"/>
  <c r="J5" i="9"/>
  <c r="J13" i="9"/>
  <c r="J14" i="9"/>
  <c r="J15" i="9"/>
  <c r="J16" i="9"/>
  <c r="J17" i="9"/>
  <c r="J19" i="9"/>
  <c r="J21" i="9"/>
  <c r="J22" i="9"/>
  <c r="J24" i="9"/>
  <c r="J25" i="9"/>
  <c r="J26" i="9"/>
  <c r="J44" i="9"/>
  <c r="I46" i="9"/>
  <c r="H46" i="9"/>
  <c r="G46" i="9"/>
  <c r="E8" i="9"/>
  <c r="E3" i="9"/>
  <c r="E5" i="9"/>
  <c r="E9" i="9"/>
  <c r="E10" i="9"/>
  <c r="E13" i="9"/>
  <c r="E14" i="9"/>
  <c r="E15" i="9"/>
  <c r="E16" i="9"/>
  <c r="E17" i="9"/>
  <c r="E19" i="9"/>
  <c r="E21" i="9"/>
  <c r="E22" i="9"/>
  <c r="E24" i="9"/>
  <c r="E25" i="9"/>
  <c r="E26" i="9"/>
  <c r="E39" i="9"/>
  <c r="E42" i="9"/>
  <c r="E44" i="9"/>
  <c r="D46" i="9"/>
  <c r="C46" i="9"/>
  <c r="B46" i="9"/>
  <c r="I13" i="13"/>
  <c r="J13" i="13"/>
  <c r="J7" i="4"/>
  <c r="E7" i="4"/>
  <c r="J64" i="6"/>
  <c r="J63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3" i="6"/>
  <c r="J42" i="6"/>
  <c r="J41" i="6"/>
  <c r="J37" i="6"/>
  <c r="J35" i="6"/>
  <c r="J34" i="6"/>
  <c r="J32" i="6"/>
  <c r="J31" i="6"/>
  <c r="J30" i="6"/>
  <c r="J29" i="6"/>
  <c r="J27" i="6"/>
  <c r="J26" i="6"/>
  <c r="J25" i="6"/>
  <c r="J23" i="6"/>
  <c r="J22" i="6"/>
  <c r="J21" i="6"/>
  <c r="J20" i="6"/>
  <c r="J19" i="6"/>
  <c r="J18" i="6"/>
  <c r="J17" i="6"/>
  <c r="J16" i="6"/>
  <c r="J12" i="6"/>
  <c r="J11" i="6"/>
  <c r="J8" i="6"/>
  <c r="J6" i="6"/>
  <c r="J5" i="6"/>
  <c r="J4" i="6"/>
  <c r="J3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3" i="6"/>
  <c r="E42" i="6"/>
  <c r="E41" i="6"/>
  <c r="E37" i="6"/>
  <c r="E35" i="6"/>
  <c r="E34" i="6"/>
  <c r="E32" i="6"/>
  <c r="E31" i="6"/>
  <c r="E30" i="6"/>
  <c r="E29" i="6"/>
  <c r="E27" i="6"/>
  <c r="E26" i="6"/>
  <c r="E25" i="6"/>
  <c r="E23" i="6"/>
  <c r="E22" i="6"/>
  <c r="E21" i="6"/>
  <c r="E20" i="6"/>
  <c r="E19" i="6"/>
  <c r="E18" i="6"/>
  <c r="E17" i="6"/>
  <c r="E16" i="6"/>
  <c r="E12" i="6"/>
  <c r="E11" i="6"/>
  <c r="E8" i="6"/>
  <c r="E6" i="6"/>
  <c r="E5" i="6"/>
  <c r="E4" i="6"/>
  <c r="E3" i="6"/>
  <c r="J33" i="2"/>
  <c r="E33" i="2"/>
  <c r="J45" i="3"/>
  <c r="E45" i="3"/>
  <c r="J49" i="3"/>
  <c r="E49" i="3"/>
  <c r="J37" i="3"/>
  <c r="E37" i="3"/>
  <c r="L6" i="10"/>
  <c r="F6" i="10"/>
  <c r="J21" i="14"/>
  <c r="E21" i="14"/>
  <c r="J3" i="4"/>
  <c r="E3" i="4"/>
  <c r="L18" i="10"/>
  <c r="F18" i="10"/>
  <c r="J48" i="2"/>
  <c r="J47" i="2"/>
  <c r="J46" i="2"/>
  <c r="J45" i="2"/>
  <c r="J44" i="2"/>
  <c r="J43" i="2"/>
  <c r="J42" i="2"/>
  <c r="J40" i="2"/>
  <c r="J39" i="2"/>
  <c r="J38" i="2"/>
  <c r="J37" i="2"/>
  <c r="J36" i="2"/>
  <c r="J31" i="2"/>
  <c r="J26" i="2"/>
  <c r="J25" i="2"/>
  <c r="J21" i="2"/>
  <c r="J20" i="2"/>
  <c r="J19" i="2"/>
  <c r="J18" i="2"/>
  <c r="J17" i="2"/>
  <c r="J14" i="2"/>
  <c r="J9" i="2"/>
  <c r="J7" i="2"/>
  <c r="J4" i="2"/>
  <c r="E48" i="2"/>
  <c r="E47" i="2"/>
  <c r="E46" i="2"/>
  <c r="E45" i="2"/>
  <c r="E44" i="2"/>
  <c r="E43" i="2"/>
  <c r="E42" i="2"/>
  <c r="E40" i="2"/>
  <c r="E39" i="2"/>
  <c r="E38" i="2"/>
  <c r="E37" i="2"/>
  <c r="E36" i="2"/>
  <c r="E31" i="2"/>
  <c r="E26" i="2"/>
  <c r="E25" i="2"/>
  <c r="E21" i="2"/>
  <c r="E20" i="2"/>
  <c r="E19" i="2"/>
  <c r="E18" i="2"/>
  <c r="E17" i="2"/>
  <c r="E14" i="2"/>
  <c r="E9" i="2"/>
  <c r="E7" i="2"/>
  <c r="E4" i="2"/>
  <c r="J8" i="4"/>
  <c r="E8" i="4"/>
  <c r="J32" i="4"/>
  <c r="E32" i="4"/>
  <c r="J41" i="13"/>
  <c r="I41" i="13"/>
  <c r="J47" i="1"/>
  <c r="J46" i="1"/>
  <c r="J45" i="1"/>
  <c r="J44" i="1"/>
  <c r="J42" i="1"/>
  <c r="J41" i="1"/>
  <c r="J38" i="1"/>
  <c r="J36" i="1"/>
  <c r="J33" i="1"/>
  <c r="J32" i="1"/>
  <c r="J31" i="1"/>
  <c r="J30" i="1"/>
  <c r="J29" i="1"/>
  <c r="J28" i="1"/>
  <c r="J27" i="1"/>
  <c r="J26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4" i="1"/>
  <c r="E47" i="1"/>
  <c r="E46" i="1"/>
  <c r="E45" i="1"/>
  <c r="E44" i="1"/>
  <c r="E42" i="1"/>
  <c r="E41" i="1"/>
  <c r="E38" i="1"/>
  <c r="E36" i="1"/>
  <c r="E33" i="1"/>
  <c r="E32" i="1"/>
  <c r="E31" i="1"/>
  <c r="E30" i="1"/>
  <c r="E29" i="1"/>
  <c r="E28" i="1"/>
  <c r="E27" i="1"/>
  <c r="E26" i="1"/>
  <c r="E19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55" i="3"/>
  <c r="J17" i="3"/>
  <c r="E17" i="3"/>
  <c r="G55" i="3"/>
  <c r="H55" i="3"/>
  <c r="J54" i="3"/>
  <c r="J53" i="3"/>
  <c r="J52" i="3"/>
  <c r="J51" i="3"/>
  <c r="J48" i="3"/>
  <c r="J47" i="3"/>
  <c r="J46" i="3"/>
  <c r="J44" i="3"/>
  <c r="J43" i="3"/>
  <c r="J42" i="3"/>
  <c r="J41" i="3"/>
  <c r="J40" i="3"/>
  <c r="J39" i="3"/>
  <c r="J38" i="3"/>
  <c r="J33" i="3"/>
  <c r="J32" i="3"/>
  <c r="J30" i="3"/>
  <c r="J25" i="3"/>
  <c r="J24" i="3"/>
  <c r="J23" i="3"/>
  <c r="J22" i="3"/>
  <c r="J21" i="3"/>
  <c r="J16" i="3"/>
  <c r="J15" i="3"/>
  <c r="J14" i="3"/>
  <c r="J12" i="3"/>
  <c r="J11" i="3"/>
  <c r="J9" i="3"/>
  <c r="J7" i="3"/>
  <c r="J4" i="3"/>
  <c r="J3" i="3"/>
  <c r="B55" i="3"/>
  <c r="C55" i="3"/>
  <c r="E54" i="3"/>
  <c r="E53" i="3"/>
  <c r="E52" i="3"/>
  <c r="E51" i="3"/>
  <c r="E48" i="3"/>
  <c r="E47" i="3"/>
  <c r="E46" i="3"/>
  <c r="E44" i="3"/>
  <c r="E43" i="3"/>
  <c r="E42" i="3"/>
  <c r="E41" i="3"/>
  <c r="E40" i="3"/>
  <c r="E39" i="3"/>
  <c r="E38" i="3"/>
  <c r="E33" i="3"/>
  <c r="E32" i="3"/>
  <c r="E30" i="3"/>
  <c r="E25" i="3"/>
  <c r="E24" i="3"/>
  <c r="E23" i="3"/>
  <c r="E22" i="3"/>
  <c r="E21" i="3"/>
  <c r="E16" i="3"/>
  <c r="E15" i="3"/>
  <c r="E14" i="3"/>
  <c r="E12" i="3"/>
  <c r="E11" i="3"/>
  <c r="E9" i="3"/>
  <c r="E7" i="3"/>
  <c r="E4" i="3"/>
  <c r="E3" i="3"/>
  <c r="I33" i="13"/>
  <c r="J33" i="13"/>
  <c r="I26" i="13"/>
  <c r="J26" i="13"/>
  <c r="I35" i="13"/>
  <c r="J35" i="13"/>
  <c r="L41" i="10"/>
  <c r="F41" i="10"/>
  <c r="L37" i="10"/>
  <c r="F37" i="10"/>
  <c r="I17" i="13"/>
  <c r="J17" i="13"/>
  <c r="I8" i="13"/>
  <c r="J8" i="13"/>
  <c r="L17" i="10"/>
  <c r="L15" i="10"/>
  <c r="L33" i="10"/>
  <c r="L34" i="10"/>
  <c r="L4" i="10"/>
  <c r="L10" i="10"/>
  <c r="L11" i="10"/>
  <c r="L12" i="10"/>
  <c r="L13" i="10"/>
  <c r="L14" i="10"/>
  <c r="L16" i="10"/>
  <c r="L21" i="10"/>
  <c r="L22" i="10"/>
  <c r="L25" i="10"/>
  <c r="L26" i="10"/>
  <c r="L28" i="10"/>
  <c r="L29" i="10"/>
  <c r="L31" i="10"/>
  <c r="L32" i="10"/>
  <c r="L35" i="10"/>
  <c r="L36" i="10"/>
  <c r="L42" i="10"/>
  <c r="L43" i="10"/>
  <c r="L39" i="10"/>
  <c r="K44" i="10"/>
  <c r="I44" i="10"/>
  <c r="H44" i="10"/>
  <c r="F15" i="10"/>
  <c r="F33" i="10"/>
  <c r="F34" i="10"/>
  <c r="F4" i="10"/>
  <c r="F10" i="10"/>
  <c r="F11" i="10"/>
  <c r="F12" i="10"/>
  <c r="F13" i="10"/>
  <c r="F14" i="10"/>
  <c r="F16" i="10"/>
  <c r="F17" i="10"/>
  <c r="F21" i="10"/>
  <c r="F22" i="10"/>
  <c r="F25" i="10"/>
  <c r="F26" i="10"/>
  <c r="F28" i="10"/>
  <c r="F29" i="10"/>
  <c r="F31" i="10"/>
  <c r="F32" i="10"/>
  <c r="F35" i="10"/>
  <c r="F36" i="10"/>
  <c r="F42" i="10"/>
  <c r="F43" i="10"/>
  <c r="F39" i="10"/>
  <c r="E44" i="10"/>
  <c r="C44" i="10"/>
  <c r="B44" i="10"/>
  <c r="D51" i="14"/>
  <c r="G51" i="14"/>
  <c r="H51" i="14"/>
  <c r="J50" i="14"/>
  <c r="J48" i="14"/>
  <c r="J47" i="14"/>
  <c r="J46" i="14"/>
  <c r="J45" i="14"/>
  <c r="J44" i="14"/>
  <c r="J43" i="14"/>
  <c r="J41" i="14"/>
  <c r="J40" i="14"/>
  <c r="J39" i="14"/>
  <c r="J38" i="14"/>
  <c r="J37" i="14"/>
  <c r="J35" i="14"/>
  <c r="J33" i="14"/>
  <c r="J32" i="14"/>
  <c r="J31" i="14"/>
  <c r="J30" i="14"/>
  <c r="J29" i="14"/>
  <c r="J26" i="14"/>
  <c r="J25" i="14"/>
  <c r="J24" i="14"/>
  <c r="J19" i="14"/>
  <c r="J17" i="14"/>
  <c r="J16" i="14"/>
  <c r="J14" i="14"/>
  <c r="J13" i="14"/>
  <c r="J12" i="14"/>
  <c r="J10" i="14"/>
  <c r="J9" i="14"/>
  <c r="J7" i="14"/>
  <c r="J3" i="14"/>
  <c r="B51" i="14"/>
  <c r="C51" i="14"/>
  <c r="E50" i="14"/>
  <c r="E48" i="14"/>
  <c r="E47" i="14"/>
  <c r="E46" i="14"/>
  <c r="E45" i="14"/>
  <c r="E44" i="14"/>
  <c r="E43" i="14"/>
  <c r="E41" i="14"/>
  <c r="E40" i="14"/>
  <c r="E39" i="14"/>
  <c r="E38" i="14"/>
  <c r="E37" i="14"/>
  <c r="E35" i="14"/>
  <c r="E33" i="14"/>
  <c r="E32" i="14"/>
  <c r="E31" i="14"/>
  <c r="E30" i="14"/>
  <c r="E29" i="14"/>
  <c r="E26" i="14"/>
  <c r="E25" i="14"/>
  <c r="E24" i="14"/>
  <c r="E19" i="14"/>
  <c r="E17" i="14"/>
  <c r="E16" i="14"/>
  <c r="E14" i="14"/>
  <c r="E13" i="14"/>
  <c r="E12" i="14"/>
  <c r="E10" i="14"/>
  <c r="E9" i="14"/>
  <c r="E7" i="14"/>
  <c r="E3" i="14"/>
  <c r="I11" i="13"/>
  <c r="J11" i="13"/>
  <c r="J24" i="11"/>
  <c r="E24" i="11"/>
  <c r="I37" i="13"/>
  <c r="J37" i="13"/>
  <c r="I14" i="13"/>
  <c r="J14" i="13"/>
  <c r="I15" i="13"/>
  <c r="J15" i="13"/>
  <c r="I18" i="13"/>
  <c r="J18" i="13"/>
  <c r="I34" i="13"/>
  <c r="J34" i="13"/>
  <c r="AM6" i="10"/>
  <c r="AM5" i="10"/>
  <c r="AH40" i="3"/>
  <c r="AK40" i="3"/>
  <c r="AK29" i="3"/>
  <c r="AT29" i="3"/>
  <c r="AQ29" i="3"/>
  <c r="AN29" i="3"/>
  <c r="AH28" i="9"/>
  <c r="AH36" i="14"/>
  <c r="AH34" i="14"/>
  <c r="AH25" i="14"/>
  <c r="AH16" i="14"/>
  <c r="AH15" i="14"/>
  <c r="AK7" i="14"/>
  <c r="AK6" i="14"/>
  <c r="AK5" i="14"/>
  <c r="AK17" i="4"/>
  <c r="J49" i="4"/>
  <c r="E49" i="4"/>
  <c r="J28" i="4"/>
  <c r="E28" i="4"/>
  <c r="J17" i="4"/>
  <c r="E17" i="4"/>
  <c r="AH31" i="11"/>
  <c r="J52" i="11"/>
  <c r="E52" i="11"/>
  <c r="J34" i="11"/>
  <c r="E34" i="11"/>
  <c r="J33" i="11"/>
  <c r="E33" i="11"/>
  <c r="J28" i="11"/>
  <c r="E28" i="11"/>
  <c r="J27" i="11"/>
  <c r="E27" i="11"/>
  <c r="J21" i="11"/>
  <c r="E21" i="11"/>
  <c r="J15" i="11"/>
  <c r="E15" i="11"/>
  <c r="J10" i="11"/>
  <c r="E10" i="11"/>
  <c r="J9" i="11"/>
  <c r="J8" i="11"/>
  <c r="E9" i="11"/>
  <c r="E8" i="11"/>
  <c r="G66" i="11"/>
  <c r="H66" i="11"/>
  <c r="I66" i="11"/>
  <c r="J65" i="11"/>
  <c r="J63" i="11"/>
  <c r="J61" i="11"/>
  <c r="J60" i="11"/>
  <c r="J56" i="11"/>
  <c r="J55" i="11"/>
  <c r="J54" i="11"/>
  <c r="J53" i="11"/>
  <c r="J50" i="11"/>
  <c r="J48" i="11"/>
  <c r="J47" i="11"/>
  <c r="J45" i="11"/>
  <c r="J41" i="11"/>
  <c r="J40" i="11"/>
  <c r="J39" i="11"/>
  <c r="J38" i="11"/>
  <c r="J36" i="11"/>
  <c r="J35" i="11"/>
  <c r="J30" i="11"/>
  <c r="J29" i="11"/>
  <c r="J26" i="11"/>
  <c r="J25" i="11"/>
  <c r="J23" i="11"/>
  <c r="J22" i="11"/>
  <c r="J20" i="11"/>
  <c r="J19" i="11"/>
  <c r="J16" i="11"/>
  <c r="J14" i="11"/>
  <c r="J13" i="11"/>
  <c r="J12" i="11"/>
  <c r="J11" i="11"/>
  <c r="J7" i="11"/>
  <c r="J6" i="11"/>
  <c r="J3" i="11"/>
  <c r="B66" i="11"/>
  <c r="C66" i="11"/>
  <c r="D66" i="11"/>
  <c r="E65" i="11"/>
  <c r="E63" i="11"/>
  <c r="E61" i="11"/>
  <c r="E60" i="11"/>
  <c r="E56" i="11"/>
  <c r="E55" i="11"/>
  <c r="E54" i="11"/>
  <c r="E53" i="11"/>
  <c r="E50" i="11"/>
  <c r="E48" i="11"/>
  <c r="E47" i="11"/>
  <c r="E45" i="11"/>
  <c r="E41" i="11"/>
  <c r="E40" i="11"/>
  <c r="E39" i="11"/>
  <c r="E38" i="11"/>
  <c r="E36" i="11"/>
  <c r="E35" i="11"/>
  <c r="E30" i="11"/>
  <c r="E29" i="11"/>
  <c r="E26" i="11"/>
  <c r="E25" i="11"/>
  <c r="E23" i="11"/>
  <c r="E22" i="11"/>
  <c r="E20" i="11"/>
  <c r="E19" i="11"/>
  <c r="E16" i="11"/>
  <c r="E14" i="11"/>
  <c r="E13" i="11"/>
  <c r="E12" i="11"/>
  <c r="E11" i="11"/>
  <c r="E7" i="11"/>
  <c r="E6" i="11"/>
  <c r="E3" i="11"/>
  <c r="J52" i="5"/>
  <c r="E52" i="5"/>
  <c r="J47" i="5"/>
  <c r="E47" i="5"/>
  <c r="J46" i="5"/>
  <c r="E46" i="5"/>
  <c r="E42" i="5"/>
  <c r="J40" i="5"/>
  <c r="E40" i="5"/>
  <c r="J21" i="5"/>
  <c r="E21" i="5"/>
  <c r="D63" i="5"/>
  <c r="I63" i="5"/>
  <c r="G63" i="5"/>
  <c r="H63" i="5"/>
  <c r="J62" i="5"/>
  <c r="J58" i="5"/>
  <c r="J57" i="5"/>
  <c r="J55" i="5"/>
  <c r="J51" i="5"/>
  <c r="J48" i="5"/>
  <c r="J45" i="5"/>
  <c r="J39" i="5"/>
  <c r="J37" i="5"/>
  <c r="J35" i="5"/>
  <c r="J34" i="5"/>
  <c r="J33" i="5"/>
  <c r="J32" i="5"/>
  <c r="J31" i="5"/>
  <c r="J30" i="5"/>
  <c r="J28" i="5"/>
  <c r="J26" i="5"/>
  <c r="J25" i="5"/>
  <c r="J24" i="5"/>
  <c r="J19" i="5"/>
  <c r="J18" i="5"/>
  <c r="J15" i="5"/>
  <c r="J13" i="5"/>
  <c r="J10" i="5"/>
  <c r="J8" i="5"/>
  <c r="J7" i="5"/>
  <c r="J3" i="5"/>
  <c r="B63" i="5"/>
  <c r="C63" i="5"/>
  <c r="E62" i="5"/>
  <c r="E58" i="5"/>
  <c r="E57" i="5"/>
  <c r="E55" i="5"/>
  <c r="E51" i="5"/>
  <c r="E48" i="5"/>
  <c r="E45" i="5"/>
  <c r="E43" i="5"/>
  <c r="E39" i="5"/>
  <c r="E37" i="5"/>
  <c r="E35" i="5"/>
  <c r="E34" i="5"/>
  <c r="E33" i="5"/>
  <c r="E32" i="5"/>
  <c r="E31" i="5"/>
  <c r="E30" i="5"/>
  <c r="E28" i="5"/>
  <c r="E26" i="5"/>
  <c r="E25" i="5"/>
  <c r="E24" i="5"/>
  <c r="E19" i="5"/>
  <c r="E18" i="5"/>
  <c r="E15" i="5"/>
  <c r="E13" i="5"/>
  <c r="E10" i="5"/>
  <c r="E8" i="5"/>
  <c r="E7" i="5"/>
  <c r="E3" i="5"/>
  <c r="AS21" i="2"/>
  <c r="AS20" i="2"/>
  <c r="AW27" i="14"/>
  <c r="AT27" i="14"/>
  <c r="AT25" i="14"/>
  <c r="AN25" i="14"/>
  <c r="AN16" i="14"/>
  <c r="AN15" i="14"/>
  <c r="AN6" i="14"/>
  <c r="AN5" i="14"/>
  <c r="AN36" i="14"/>
  <c r="AK36" i="14"/>
  <c r="AK34" i="14"/>
  <c r="AW18" i="14"/>
  <c r="AT18" i="14"/>
  <c r="AT16" i="14"/>
  <c r="AW15" i="14"/>
  <c r="AT15" i="14"/>
  <c r="AQ15" i="14"/>
  <c r="AK15" i="14"/>
  <c r="AZ7" i="14"/>
  <c r="AW7" i="14"/>
  <c r="AT7" i="14"/>
  <c r="AQ7" i="14"/>
  <c r="AW6" i="14"/>
  <c r="AT6" i="14"/>
  <c r="AQ6" i="14"/>
  <c r="AZ5" i="14"/>
  <c r="AW5" i="14"/>
  <c r="AT5" i="14"/>
  <c r="AQ5" i="14"/>
  <c r="AK8" i="6"/>
  <c r="AK31" i="1"/>
  <c r="AZ9" i="1"/>
  <c r="AW9" i="1"/>
  <c r="AT9" i="1"/>
  <c r="AQ9" i="1"/>
  <c r="AN9" i="1"/>
  <c r="AK9" i="1"/>
  <c r="J25" i="4"/>
  <c r="E25" i="4"/>
  <c r="J19" i="4"/>
  <c r="E19" i="4"/>
  <c r="J33" i="4"/>
  <c r="E33" i="4"/>
  <c r="I56" i="4"/>
  <c r="J55" i="4"/>
  <c r="J54" i="4"/>
  <c r="J51" i="4"/>
  <c r="J47" i="4"/>
  <c r="J44" i="4"/>
  <c r="J41" i="4"/>
  <c r="J40" i="4"/>
  <c r="J39" i="4"/>
  <c r="J37" i="4"/>
  <c r="J36" i="4"/>
  <c r="J35" i="4"/>
  <c r="J34" i="4"/>
  <c r="J27" i="4"/>
  <c r="J26" i="4"/>
  <c r="J23" i="4"/>
  <c r="J21" i="4"/>
  <c r="J20" i="4"/>
  <c r="J18" i="4"/>
  <c r="J15" i="4"/>
  <c r="J13" i="4"/>
  <c r="J11" i="4"/>
  <c r="D56" i="4"/>
  <c r="E55" i="4"/>
  <c r="E54" i="4"/>
  <c r="E51" i="4"/>
  <c r="E47" i="4"/>
  <c r="E44" i="4"/>
  <c r="E41" i="4"/>
  <c r="E40" i="4"/>
  <c r="E39" i="4"/>
  <c r="E37" i="4"/>
  <c r="E36" i="4"/>
  <c r="E35" i="4"/>
  <c r="E34" i="4"/>
  <c r="E27" i="4"/>
  <c r="E26" i="4"/>
  <c r="E23" i="4"/>
  <c r="E21" i="4"/>
  <c r="E20" i="4"/>
  <c r="E18" i="4"/>
  <c r="E15" i="4"/>
  <c r="E13" i="4"/>
  <c r="E11" i="4"/>
  <c r="AN14" i="11"/>
  <c r="AM13" i="2"/>
  <c r="AM7" i="2"/>
  <c r="AN17" i="1"/>
  <c r="J31" i="13"/>
  <c r="I31" i="13"/>
  <c r="AN31" i="1"/>
  <c r="AP13" i="2"/>
  <c r="AS8" i="10"/>
  <c r="AP7" i="2"/>
  <c r="B56" i="4"/>
  <c r="G56" i="4"/>
  <c r="H56" i="4"/>
  <c r="I10" i="13"/>
  <c r="J10" i="13"/>
  <c r="AW19" i="3"/>
  <c r="AP32" i="2"/>
  <c r="C56" i="4"/>
  <c r="AV13" i="2"/>
  <c r="AS7" i="2"/>
  <c r="AV7" i="2"/>
  <c r="AY7" i="2"/>
  <c r="K5" i="13" l="1"/>
  <c r="J66" i="6"/>
  <c r="E66" i="6"/>
  <c r="K31" i="13"/>
  <c r="K13" i="13"/>
  <c r="K26" i="13"/>
  <c r="K18" i="13"/>
  <c r="K35" i="13"/>
  <c r="K34" i="13"/>
  <c r="K17" i="13"/>
  <c r="K14" i="13"/>
  <c r="E49" i="2"/>
  <c r="J49" i="2"/>
  <c r="K6" i="13"/>
  <c r="K12" i="13"/>
  <c r="K24" i="13"/>
  <c r="K16" i="13"/>
  <c r="K15" i="13"/>
  <c r="K37" i="13"/>
  <c r="K11" i="13"/>
  <c r="K33" i="13"/>
  <c r="K8" i="13"/>
  <c r="K22" i="13"/>
  <c r="K10" i="13"/>
  <c r="E55" i="3"/>
  <c r="J55" i="3"/>
  <c r="E51" i="14"/>
  <c r="J51" i="14"/>
  <c r="E66" i="11"/>
  <c r="J66" i="11"/>
  <c r="F44" i="10"/>
  <c r="E48" i="1"/>
  <c r="J48" i="1"/>
  <c r="E63" i="5"/>
  <c r="J63" i="5"/>
  <c r="J46" i="9"/>
  <c r="E46" i="9"/>
  <c r="L44" i="10"/>
  <c r="J56" i="4"/>
  <c r="E56" i="4"/>
  <c r="C511" i="13"/>
  <c r="F511" i="13"/>
</calcChain>
</file>

<file path=xl/sharedStrings.xml><?xml version="1.0" encoding="utf-8"?>
<sst xmlns="http://schemas.openxmlformats.org/spreadsheetml/2006/main" count="11143" uniqueCount="1050">
  <si>
    <t>TRIES</t>
  </si>
  <si>
    <t>Tot</t>
  </si>
  <si>
    <t>POINTS</t>
  </si>
  <si>
    <t>TOTALS</t>
  </si>
  <si>
    <t>Evans</t>
  </si>
  <si>
    <t>Penalty Tries</t>
  </si>
  <si>
    <t>Williams</t>
  </si>
  <si>
    <t>Joseph</t>
  </si>
  <si>
    <t>Marler</t>
  </si>
  <si>
    <t>Brown</t>
  </si>
  <si>
    <t>Care</t>
  </si>
  <si>
    <t>Bassett</t>
  </si>
  <si>
    <t>Johnson</t>
  </si>
  <si>
    <t>Most Points</t>
  </si>
  <si>
    <t>May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</si>
  <si>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</si>
  <si>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</si>
  <si>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</si>
  <si>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</si>
  <si>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</si>
  <si>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</si>
  <si>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</si>
  <si>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</si>
  <si>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</si>
  <si>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Prem</t>
  </si>
  <si>
    <t>na</t>
  </si>
  <si>
    <t>n/a</t>
  </si>
  <si>
    <t>Harrison</t>
  </si>
  <si>
    <t>Walker</t>
  </si>
  <si>
    <t>Earle</t>
  </si>
  <si>
    <t xml:space="preserve"> </t>
  </si>
  <si>
    <t>Holmes</t>
  </si>
  <si>
    <t>Smith</t>
  </si>
  <si>
    <t>Woodburn</t>
  </si>
  <si>
    <t>Watson</t>
  </si>
  <si>
    <t>Young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</si>
  <si>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</si>
  <si>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</si>
  <si>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</si>
  <si>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</si>
  <si>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</si>
  <si>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</si>
  <si>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</si>
  <si>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</si>
  <si>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</si>
  <si>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</si>
  <si>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Francis</t>
  </si>
  <si>
    <t>Townsend</t>
  </si>
  <si>
    <t>Atkinson</t>
  </si>
  <si>
    <t>Sinckler</t>
  </si>
  <si>
    <t>Collier</t>
  </si>
  <si>
    <t>Matthews</t>
  </si>
  <si>
    <t>Cole</t>
  </si>
  <si>
    <t>Balmain</t>
  </si>
  <si>
    <t>Hepburn</t>
  </si>
  <si>
    <t>Lawes</t>
  </si>
  <si>
    <t>Beaumont</t>
  </si>
  <si>
    <t>© Hillsport Media Ltd</t>
  </si>
  <si>
    <t>Top Strike Rates*</t>
  </si>
  <si>
    <t>Ewels</t>
  </si>
  <si>
    <t>2013/14</t>
  </si>
  <si>
    <t>Last Match             (all comps)</t>
  </si>
  <si>
    <t>Hendrickson</t>
  </si>
  <si>
    <t>Moon</t>
  </si>
  <si>
    <t>Woolmore</t>
  </si>
  <si>
    <t>Marshall</t>
  </si>
  <si>
    <t>Last Match             (All Comps)</t>
  </si>
  <si>
    <t xml:space="preserve">2013/14 </t>
  </si>
  <si>
    <t xml:space="preserve">2012/13 </t>
  </si>
  <si>
    <t>Hutchinson</t>
  </si>
  <si>
    <t>Ludlam</t>
  </si>
  <si>
    <t>Annett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</si>
  <si>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</si>
  <si>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</si>
  <si>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</si>
  <si>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</si>
  <si>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</si>
  <si>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</si>
  <si>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</si>
  <si>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</si>
  <si>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Devoto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</si>
  <si>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</si>
  <si>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</si>
  <si>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</si>
  <si>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</si>
  <si>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</si>
  <si>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</si>
  <si>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</si>
  <si>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</si>
  <si>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</si>
  <si>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</si>
  <si>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</si>
  <si>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</si>
  <si>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</si>
  <si>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Eadie</t>
  </si>
  <si>
    <t>Cokanasiga</t>
  </si>
  <si>
    <t>Obano</t>
  </si>
  <si>
    <t>Underhill</t>
  </si>
  <si>
    <t>Stuart</t>
  </si>
  <si>
    <t>Ackermann</t>
  </si>
  <si>
    <t>Furbank</t>
  </si>
  <si>
    <t>Lawrence</t>
  </si>
  <si>
    <t>Mitchell</t>
  </si>
  <si>
    <t>White</t>
  </si>
  <si>
    <t>Lamb</t>
  </si>
  <si>
    <t>James S</t>
  </si>
  <si>
    <t xml:space="preserve">James L </t>
  </si>
  <si>
    <t>James L</t>
  </si>
  <si>
    <t>Reffell</t>
  </si>
  <si>
    <t>Simmons</t>
  </si>
  <si>
    <t>Reed</t>
  </si>
  <si>
    <t>Redpath</t>
  </si>
  <si>
    <t>Bayliss</t>
  </si>
  <si>
    <t>Vaughan</t>
  </si>
  <si>
    <t>Seabrook</t>
  </si>
  <si>
    <t>2016/17</t>
  </si>
  <si>
    <t>PREM CUP</t>
  </si>
  <si>
    <t>GLO</t>
  </si>
  <si>
    <t>SAL</t>
  </si>
  <si>
    <t>BTH</t>
  </si>
  <si>
    <t>NOR</t>
  </si>
  <si>
    <t xml:space="preserve">Penalty Tries </t>
  </si>
  <si>
    <t xml:space="preserve">Evans L </t>
  </si>
  <si>
    <t xml:space="preserve">Chisholm J </t>
  </si>
  <si>
    <t xml:space="preserve">Youngs B </t>
  </si>
  <si>
    <t xml:space="preserve">Francis P </t>
  </si>
  <si>
    <t xml:space="preserve">Waller A </t>
  </si>
  <si>
    <t xml:space="preserve">Curry B </t>
  </si>
  <si>
    <t xml:space="preserve">Curry T </t>
  </si>
  <si>
    <t xml:space="preserve">James S </t>
  </si>
  <si>
    <t xml:space="preserve">Hill J </t>
  </si>
  <si>
    <t>HAR</t>
  </si>
  <si>
    <t>EXE</t>
  </si>
  <si>
    <t>LEIC</t>
  </si>
  <si>
    <t xml:space="preserve">Harris B </t>
  </si>
  <si>
    <t xml:space="preserve">Harrison R </t>
  </si>
  <si>
    <t>McConnochie</t>
  </si>
  <si>
    <t>*Devoto</t>
  </si>
  <si>
    <t>BRI</t>
  </si>
  <si>
    <t>Heenan</t>
  </si>
  <si>
    <t>Joyce</t>
  </si>
  <si>
    <t>Leiua</t>
  </si>
  <si>
    <t>Luatua</t>
  </si>
  <si>
    <t>Morahan</t>
  </si>
  <si>
    <t>O'Conor</t>
  </si>
  <si>
    <t>Piutau C</t>
  </si>
  <si>
    <t>Randall</t>
  </si>
  <si>
    <t>Sheedy</t>
  </si>
  <si>
    <t>Thacker</t>
  </si>
  <si>
    <t>Thomas D</t>
  </si>
  <si>
    <t>Thomas Y</t>
  </si>
  <si>
    <t>Uren</t>
  </si>
  <si>
    <t>Vui</t>
  </si>
  <si>
    <t>PREM  CUP</t>
  </si>
  <si>
    <t>Last Match            (All Comps)</t>
  </si>
  <si>
    <t>Gleave</t>
  </si>
  <si>
    <t>Dombrandt</t>
  </si>
  <si>
    <t>Curtis</t>
  </si>
  <si>
    <t>Hill P</t>
  </si>
  <si>
    <t>Holmes E</t>
  </si>
  <si>
    <t>Spencer B</t>
  </si>
  <si>
    <t>Stuart W</t>
  </si>
  <si>
    <t>Taylor T</t>
  </si>
  <si>
    <t>Wright</t>
  </si>
  <si>
    <t>Ackermann R</t>
  </si>
  <si>
    <t>Annett N</t>
  </si>
  <si>
    <t>Balmain F</t>
  </si>
  <si>
    <t>Bayliss J</t>
  </si>
  <si>
    <t>Beaumont J</t>
  </si>
  <si>
    <t>Boyce L</t>
  </si>
  <si>
    <t>Brown M</t>
  </si>
  <si>
    <t>Care D</t>
  </si>
  <si>
    <t>Clarke F</t>
  </si>
  <si>
    <t>Cokanasiga J</t>
  </si>
  <si>
    <t>Cole D</t>
  </si>
  <si>
    <t>Collier W</t>
  </si>
  <si>
    <t>Devoto O</t>
  </si>
  <si>
    <t>Dombrandt A</t>
  </si>
  <si>
    <t>Dunn T</t>
  </si>
  <si>
    <t>Eadie M</t>
  </si>
  <si>
    <t>Earl B</t>
  </si>
  <si>
    <t>Earle N</t>
  </si>
  <si>
    <t>Ewels C</t>
  </si>
  <si>
    <t>Ford-Robinson J</t>
  </si>
  <si>
    <t>Furbank G</t>
  </si>
  <si>
    <t>Genge E</t>
  </si>
  <si>
    <t>Gleave G</t>
  </si>
  <si>
    <t>Grayson J</t>
  </si>
  <si>
    <t>Haining N</t>
  </si>
  <si>
    <t>Heenan J</t>
  </si>
  <si>
    <t>Hendrickson T</t>
  </si>
  <si>
    <t>Hepburn A</t>
  </si>
  <si>
    <t>Hutchinson R</t>
  </si>
  <si>
    <t>Innard J</t>
  </si>
  <si>
    <t>Joyce J</t>
  </si>
  <si>
    <t>Kerrod S</t>
  </si>
  <si>
    <t>Lamb D</t>
  </si>
  <si>
    <t>Lawday T</t>
  </si>
  <si>
    <t>Lawes C</t>
  </si>
  <si>
    <t>Lawrence O</t>
  </si>
  <si>
    <t>Leiua A</t>
  </si>
  <si>
    <t>Luatua S</t>
  </si>
  <si>
    <t>Ludlam L</t>
  </si>
  <si>
    <t>Ludlow L</t>
  </si>
  <si>
    <t>MacGinty A</t>
  </si>
  <si>
    <t>Marler J</t>
  </si>
  <si>
    <t>May J</t>
  </si>
  <si>
    <t>McConnochie R</t>
  </si>
  <si>
    <t>Mitchell A</t>
  </si>
  <si>
    <t>Morahan L</t>
  </si>
  <si>
    <t>Morgan B</t>
  </si>
  <si>
    <t>Obano B</t>
  </si>
  <si>
    <t>O'Conor P</t>
  </si>
  <si>
    <t>O'Flaherty T</t>
  </si>
  <si>
    <t>Purdy H</t>
  </si>
  <si>
    <t>Randall H</t>
  </si>
  <si>
    <t>Rapava Ruskin V</t>
  </si>
  <si>
    <t>Redpath C</t>
  </si>
  <si>
    <t>Reed A</t>
  </si>
  <si>
    <t>Seabrook T</t>
  </si>
  <si>
    <t>Sheedy C</t>
  </si>
  <si>
    <t>Simmons H</t>
  </si>
  <si>
    <t>Sinckler K</t>
  </si>
  <si>
    <t>Slade H</t>
  </si>
  <si>
    <t>Thorley O</t>
  </si>
  <si>
    <t>Townsend S</t>
  </si>
  <si>
    <t>Tuilagi M</t>
  </si>
  <si>
    <t>Underhill S</t>
  </si>
  <si>
    <t>Uren A</t>
  </si>
  <si>
    <t>van Wyk F</t>
  </si>
  <si>
    <t>Vaughan W</t>
  </si>
  <si>
    <t>Vui C</t>
  </si>
  <si>
    <t>Wright M</t>
  </si>
  <si>
    <t>Woodburn O</t>
  </si>
  <si>
    <t>Woolmore J</t>
  </si>
  <si>
    <t>Yeandle J</t>
  </si>
  <si>
    <t>Smith M</t>
  </si>
  <si>
    <t>^regular season</t>
  </si>
  <si>
    <t>2013/14           (European Cup)</t>
  </si>
  <si>
    <t>Hill T</t>
  </si>
  <si>
    <t>Painter</t>
  </si>
  <si>
    <t>Painter E</t>
  </si>
  <si>
    <t>Wells</t>
  </si>
  <si>
    <t>Wells H</t>
  </si>
  <si>
    <t>Wilkinson</t>
  </si>
  <si>
    <t>Chapman</t>
  </si>
  <si>
    <t>Chapman C</t>
  </si>
  <si>
    <t>Skinner H</t>
  </si>
  <si>
    <t>Bedlow</t>
  </si>
  <si>
    <t>Bedlow S</t>
  </si>
  <si>
    <t>Eden</t>
  </si>
  <si>
    <t>Eden T</t>
  </si>
  <si>
    <t>Reffell T</t>
  </si>
  <si>
    <t>du Preez R</t>
  </si>
  <si>
    <t>Capstick</t>
  </si>
  <si>
    <t>Capstick R</t>
  </si>
  <si>
    <t>Keast</t>
  </si>
  <si>
    <t>Keast B</t>
  </si>
  <si>
    <t>Dingwall</t>
  </si>
  <si>
    <t>Dingwall F</t>
  </si>
  <si>
    <t>Sleightholme O</t>
  </si>
  <si>
    <t>du Preez J-L</t>
  </si>
  <si>
    <t>Murley</t>
  </si>
  <si>
    <t>Murley C</t>
  </si>
  <si>
    <t>Powell C</t>
  </si>
  <si>
    <t>Coles</t>
  </si>
  <si>
    <t>Coles A</t>
  </si>
  <si>
    <t>David</t>
  </si>
  <si>
    <t>David N</t>
  </si>
  <si>
    <t>Top Try Scorer^</t>
  </si>
  <si>
    <t>Moon A</t>
  </si>
  <si>
    <t>Postlethwaite</t>
  </si>
  <si>
    <t>2017/18</t>
  </si>
  <si>
    <t>2013/14  (European Cup)</t>
  </si>
  <si>
    <t>Jackson</t>
  </si>
  <si>
    <t>Maddison</t>
  </si>
  <si>
    <t>Tuisue</t>
  </si>
  <si>
    <t>Rees-Zammit</t>
  </si>
  <si>
    <t>Barton</t>
  </si>
  <si>
    <t>Wyatt</t>
  </si>
  <si>
    <t>Barton G</t>
  </si>
  <si>
    <t xml:space="preserve">Barton G </t>
  </si>
  <si>
    <t>Rees-Zammit L</t>
  </si>
  <si>
    <t>Wyatt T</t>
  </si>
  <si>
    <t>Vermeulen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</si>
  <si>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</si>
  <si>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</si>
  <si>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</si>
  <si>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</si>
  <si>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</si>
  <si>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</si>
  <si>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</si>
  <si>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</si>
  <si>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</si>
  <si>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Street</t>
  </si>
  <si>
    <t>Street M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</si>
  <si>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</si>
  <si>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</si>
  <si>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</si>
  <si>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</si>
  <si>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</si>
  <si>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</si>
  <si>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</si>
  <si>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</si>
  <si>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Oosthuizen</t>
  </si>
  <si>
    <t>Oosthuizen C</t>
  </si>
  <si>
    <t>Harris</t>
  </si>
  <si>
    <t>Fricker</t>
  </si>
  <si>
    <t>Fricker T</t>
  </si>
  <si>
    <t>Heward</t>
  </si>
  <si>
    <t>Simpson G</t>
  </si>
  <si>
    <t>Ford</t>
  </si>
  <si>
    <t>Steward</t>
  </si>
  <si>
    <t>Steward F</t>
  </si>
  <si>
    <t>Leatigaga</t>
  </si>
  <si>
    <t>Leatigaga N</t>
  </si>
  <si>
    <t>Harris C</t>
  </si>
  <si>
    <t>Lewies</t>
  </si>
  <si>
    <t>Lewies S</t>
  </si>
  <si>
    <t>Northmore</t>
  </si>
  <si>
    <t>Northmore L</t>
  </si>
  <si>
    <t>Purdy</t>
  </si>
  <si>
    <t>Tuisue A</t>
  </si>
  <si>
    <t>Lawday</t>
  </si>
  <si>
    <t>McNally</t>
  </si>
  <si>
    <t>McNally J</t>
  </si>
  <si>
    <t>Varney</t>
  </si>
  <si>
    <t>Varney S</t>
  </si>
  <si>
    <t>Radradra</t>
  </si>
  <si>
    <t>Radradra S</t>
  </si>
  <si>
    <t>Boyce</t>
  </si>
  <si>
    <t>de Glanville</t>
  </si>
  <si>
    <t>de Glanville T</t>
  </si>
  <si>
    <t>*Spencer</t>
  </si>
  <si>
    <t>Walker H</t>
  </si>
  <si>
    <t>Henderson</t>
  </si>
  <si>
    <t>Henderson C</t>
  </si>
  <si>
    <t>Potter</t>
  </si>
  <si>
    <t>Potter H</t>
  </si>
  <si>
    <t>Liebenberg</t>
  </si>
  <si>
    <t>Liebenberg H</t>
  </si>
  <si>
    <t>Stanley</t>
  </si>
  <si>
    <t>Stanley J</t>
  </si>
  <si>
    <t>Gray</t>
  </si>
  <si>
    <t>Gray J</t>
  </si>
  <si>
    <t>Hodge</t>
  </si>
  <si>
    <t>Hodge J</t>
  </si>
  <si>
    <t>Alemanno</t>
  </si>
  <si>
    <t>Nadolo</t>
  </si>
  <si>
    <t>Nadolo N</t>
  </si>
  <si>
    <t>Byrne</t>
  </si>
  <si>
    <t>Byrne B</t>
  </si>
  <si>
    <t>Scott</t>
  </si>
  <si>
    <t>Scott M</t>
  </si>
  <si>
    <t>Alemanno M</t>
  </si>
  <si>
    <t>GP</t>
  </si>
  <si>
    <t>2018/19</t>
  </si>
  <si>
    <t xml:space="preserve">2018/19 </t>
  </si>
  <si>
    <t>Fox</t>
  </si>
  <si>
    <t>Fox O</t>
  </si>
  <si>
    <t>Green</t>
  </si>
  <si>
    <t>Reid M</t>
  </si>
  <si>
    <t>Muir</t>
  </si>
  <si>
    <t>Muir W</t>
  </si>
  <si>
    <t>Schoeman J</t>
  </si>
  <si>
    <t>Last Season</t>
  </si>
  <si>
    <t>Armstrong</t>
  </si>
  <si>
    <t>Armstrong J</t>
  </si>
  <si>
    <t>Hawkins</t>
  </si>
  <si>
    <t>Hawkins J</t>
  </si>
  <si>
    <t>Lahiff</t>
  </si>
  <si>
    <t>Lahiff M</t>
  </si>
  <si>
    <t>Naulago</t>
  </si>
  <si>
    <t>Naulago S</t>
  </si>
  <si>
    <t>Innard</t>
  </si>
  <si>
    <t>Walsh</t>
  </si>
  <si>
    <t>Walsh J</t>
  </si>
  <si>
    <t xml:space="preserve">Last Season </t>
  </si>
  <si>
    <t>Craig</t>
  </si>
  <si>
    <t>Craig A</t>
  </si>
  <si>
    <t>Ford-Robinson</t>
  </si>
  <si>
    <t>Moyle</t>
  </si>
  <si>
    <t>Moyle K</t>
  </si>
  <si>
    <t>Els</t>
  </si>
  <si>
    <t>Els J</t>
  </si>
  <si>
    <t>Kerrod</t>
  </si>
  <si>
    <t>White A</t>
  </si>
  <si>
    <t>Heyes</t>
  </si>
  <si>
    <t>Heyes J</t>
  </si>
  <si>
    <t>NEW</t>
  </si>
  <si>
    <t>Blamire</t>
  </si>
  <si>
    <t>Blamire J</t>
  </si>
  <si>
    <t>Brocklebank</t>
  </si>
  <si>
    <t>Brocklebank A</t>
  </si>
  <si>
    <t>Chick</t>
  </si>
  <si>
    <t>Chick C</t>
  </si>
  <si>
    <t>Collett C</t>
  </si>
  <si>
    <t>Collett</t>
  </si>
  <si>
    <t>Cooper</t>
  </si>
  <si>
    <t>Cooper K</t>
  </si>
  <si>
    <t>Maddison C</t>
  </si>
  <si>
    <t>McGuigan G</t>
  </si>
  <si>
    <t>Mulipola</t>
  </si>
  <si>
    <t>Mulipola L</t>
  </si>
  <si>
    <t>Peterson</t>
  </si>
  <si>
    <t>Peterson G</t>
  </si>
  <si>
    <t>Tampin</t>
  </si>
  <si>
    <t>Connon</t>
  </si>
  <si>
    <t>Radwan</t>
  </si>
  <si>
    <t>Stuart S</t>
  </si>
  <si>
    <t>Tait</t>
  </si>
  <si>
    <t>Tait A</t>
  </si>
  <si>
    <t>Tampin M</t>
  </si>
  <si>
    <t>van der Walt</t>
  </si>
  <si>
    <t>van der Walt P</t>
  </si>
  <si>
    <t>Welch</t>
  </si>
  <si>
    <t>Welch W</t>
  </si>
  <si>
    <t>Young M</t>
  </si>
  <si>
    <t>Connon B</t>
  </si>
  <si>
    <t>Radwan A</t>
  </si>
  <si>
    <t>Penny</t>
  </si>
  <si>
    <t>Penny T</t>
  </si>
  <si>
    <t>Tuilagi</t>
  </si>
  <si>
    <t>Wiese</t>
  </si>
  <si>
    <t>Wiese C</t>
  </si>
  <si>
    <t>Porter</t>
  </si>
  <si>
    <t>Stevenson</t>
  </si>
  <si>
    <t>Stevenson B</t>
  </si>
  <si>
    <t>Clare</t>
  </si>
  <si>
    <t>Clare C</t>
  </si>
  <si>
    <t>Graham</t>
  </si>
  <si>
    <t>Isiekwe</t>
  </si>
  <si>
    <t>Isiekwe N</t>
  </si>
  <si>
    <t>Graham G</t>
  </si>
  <si>
    <t>Singleton J</t>
  </si>
  <si>
    <t>Green C</t>
  </si>
  <si>
    <t>Wacokecoke</t>
  </si>
  <si>
    <t>Wacokecoke G</t>
  </si>
  <si>
    <t>Nagle-Taylor</t>
  </si>
  <si>
    <t>Nagle-Taylor S</t>
  </si>
  <si>
    <t>Atkinson C</t>
  </si>
  <si>
    <t>James</t>
  </si>
  <si>
    <t>James T</t>
  </si>
  <si>
    <t>Kelly</t>
  </si>
  <si>
    <t>Kelly D</t>
  </si>
  <si>
    <t>Murimurivalu</t>
  </si>
  <si>
    <t>Murimurivalu K</t>
  </si>
  <si>
    <t>Kloska</t>
  </si>
  <si>
    <t>Kloska G</t>
  </si>
  <si>
    <t>Orlando</t>
  </si>
  <si>
    <t>Orlando M</t>
  </si>
  <si>
    <t>Evans W</t>
  </si>
  <si>
    <t>Lynagh</t>
  </si>
  <si>
    <t>Lynagh L</t>
  </si>
  <si>
    <t>Matavesi S</t>
  </si>
  <si>
    <t>Schoeman T</t>
  </si>
  <si>
    <t>Montoya</t>
  </si>
  <si>
    <t>Montoya J</t>
  </si>
  <si>
    <t>Wiese J</t>
  </si>
  <si>
    <t>Carreras</t>
  </si>
  <si>
    <t>Carreras S</t>
  </si>
  <si>
    <t>Esterhuizen</t>
  </si>
  <si>
    <t>Esterhuizen A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</si>
  <si>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</si>
  <si>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</si>
  <si>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</si>
  <si>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</si>
  <si>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</si>
  <si>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</si>
  <si>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</si>
  <si>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</si>
  <si>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</si>
  <si>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</si>
  <si>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Socino</t>
  </si>
  <si>
    <t>Socino S</t>
  </si>
  <si>
    <t>Davison</t>
  </si>
  <si>
    <t>Davison T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</si>
  <si>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</si>
  <si>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</si>
  <si>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</si>
  <si>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</si>
  <si>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</si>
  <si>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</si>
  <si>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</si>
  <si>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</si>
  <si>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</si>
  <si>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</si>
  <si>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Porter G</t>
  </si>
  <si>
    <t>Moroni</t>
  </si>
  <si>
    <t>Moroni M</t>
  </si>
  <si>
    <t>Kenningham</t>
  </si>
  <si>
    <t>Kenningham J</t>
  </si>
  <si>
    <t>Edwards</t>
  </si>
  <si>
    <t>Edwards W</t>
  </si>
  <si>
    <t>Maitland</t>
  </si>
  <si>
    <t>Lewington</t>
  </si>
  <si>
    <t>Obatoyinbo</t>
  </si>
  <si>
    <t>Segun</t>
  </si>
  <si>
    <t>George</t>
  </si>
  <si>
    <t>Hunter-Hill</t>
  </si>
  <si>
    <t>Adams-Hale</t>
  </si>
  <si>
    <t>Christie</t>
  </si>
  <si>
    <t>Itoje</t>
  </si>
  <si>
    <t>Vunipola B</t>
  </si>
  <si>
    <t>Davies</t>
  </si>
  <si>
    <t>Whiteley</t>
  </si>
  <si>
    <t>Woolstencroft</t>
  </si>
  <si>
    <t>Farrell</t>
  </si>
  <si>
    <t>Tompkins</t>
  </si>
  <si>
    <t>Mawi</t>
  </si>
  <si>
    <t>Goode</t>
  </si>
  <si>
    <t>Daly</t>
  </si>
  <si>
    <t>Vunipola, Manu</t>
  </si>
  <si>
    <t>Vunipola, Mako</t>
  </si>
  <si>
    <t>Butt</t>
  </si>
  <si>
    <t>Butt W</t>
  </si>
  <si>
    <t>Verden</t>
  </si>
  <si>
    <t>Verden K</t>
  </si>
  <si>
    <t>2019/20</t>
  </si>
  <si>
    <t>*Redpath</t>
  </si>
  <si>
    <t>Ascherl</t>
  </si>
  <si>
    <t>Ascherl H</t>
  </si>
  <si>
    <t>Kerr</t>
  </si>
  <si>
    <t>Kerr J</t>
  </si>
  <si>
    <t>Piutau</t>
  </si>
  <si>
    <t>Wilstead</t>
  </si>
  <si>
    <t>Whiteley T</t>
  </si>
  <si>
    <t>Wilstead T</t>
  </si>
  <si>
    <t>de Haas</t>
  </si>
  <si>
    <t>van Zyl</t>
  </si>
  <si>
    <t>Riccioni</t>
  </si>
  <si>
    <t>McFarland</t>
  </si>
  <si>
    <t>Clarey</t>
  </si>
  <si>
    <t>Lozowski</t>
  </si>
  <si>
    <t>Earl</t>
  </si>
  <si>
    <t>Pifeleti</t>
  </si>
  <si>
    <t>Malins</t>
  </si>
  <si>
    <t>SAR</t>
  </si>
  <si>
    <t>Adams-Hale R</t>
  </si>
  <si>
    <t>Christie A</t>
  </si>
  <si>
    <t>Clarey A</t>
  </si>
  <si>
    <t>Daly E</t>
  </si>
  <si>
    <t>Davies A</t>
  </si>
  <si>
    <t>de Haas R</t>
  </si>
  <si>
    <t>Farrell O</t>
  </si>
  <si>
    <t>George J</t>
  </si>
  <si>
    <t>Goode A</t>
  </si>
  <si>
    <t>Hunter-Hill C</t>
  </si>
  <si>
    <t>Itoje M</t>
  </si>
  <si>
    <t>Lewington A</t>
  </si>
  <si>
    <t>Lozowski A</t>
  </si>
  <si>
    <t>Maitland S</t>
  </si>
  <si>
    <t>Mawi E</t>
  </si>
  <si>
    <t>McFarland T</t>
  </si>
  <si>
    <t>Morris D</t>
  </si>
  <si>
    <t>Obatoyinbo E</t>
  </si>
  <si>
    <t>Pifeleti K</t>
  </si>
  <si>
    <t>Riccioni M</t>
  </si>
  <si>
    <t>Segun R</t>
  </si>
  <si>
    <t>Tompkins N</t>
  </si>
  <si>
    <t>van Zyl I</t>
  </si>
  <si>
    <t>Woolstencroft T</t>
  </si>
  <si>
    <t>*Daly</t>
  </si>
  <si>
    <t>Vunipola, Mu</t>
  </si>
  <si>
    <t>PC</t>
  </si>
  <si>
    <t>Iosefa-Scott</t>
  </si>
  <si>
    <t>Iosefa-Scott J</t>
  </si>
  <si>
    <t>Dolly</t>
  </si>
  <si>
    <t>Dolly N</t>
  </si>
  <si>
    <t>Hurd</t>
  </si>
  <si>
    <t>Hurd W</t>
  </si>
  <si>
    <t>Richardson</t>
  </si>
  <si>
    <t>Saumaki</t>
  </si>
  <si>
    <t>Richardson D</t>
  </si>
  <si>
    <t>Saumaki H</t>
  </si>
  <si>
    <t>Snyman</t>
  </si>
  <si>
    <t>Smith T</t>
  </si>
  <si>
    <t>Snyman E</t>
  </si>
  <si>
    <t>Whitcombe</t>
  </si>
  <si>
    <t>Whitcombe J</t>
  </si>
  <si>
    <t>Dalton</t>
  </si>
  <si>
    <t>Dalton M</t>
  </si>
  <si>
    <t>Farrar</t>
  </si>
  <si>
    <t>Farrar R</t>
  </si>
  <si>
    <t>Fearns</t>
  </si>
  <si>
    <t>Fearns C</t>
  </si>
  <si>
    <t>Kenny</t>
  </si>
  <si>
    <t>Lucock P</t>
  </si>
  <si>
    <t>Lucock</t>
  </si>
  <si>
    <t>Marshall T</t>
  </si>
  <si>
    <t>Merrick</t>
  </si>
  <si>
    <t>Merrick G</t>
  </si>
  <si>
    <t>Nordli-Kelemeti</t>
  </si>
  <si>
    <t>Nordli-Kelemeti C</t>
  </si>
  <si>
    <t>Stephens</t>
  </si>
  <si>
    <t>Stephens I</t>
  </si>
  <si>
    <t>Clement</t>
  </si>
  <si>
    <t>Clement J</t>
  </si>
  <si>
    <t>Hastings</t>
  </si>
  <si>
    <t>Hastings A</t>
  </si>
  <si>
    <t>*Hastings</t>
  </si>
  <si>
    <t>*Hastings for Glasgow (PRO14) 2017/18-2020/21 &amp; Bath 2016/17</t>
  </si>
  <si>
    <t>Ojomoh</t>
  </si>
  <si>
    <t>Tuima</t>
  </si>
  <si>
    <t>Tuima R</t>
  </si>
  <si>
    <t>Thomas</t>
  </si>
  <si>
    <t>Frost</t>
  </si>
  <si>
    <t>Frost D</t>
  </si>
  <si>
    <t>Ojomoh M</t>
  </si>
  <si>
    <t>Warr</t>
  </si>
  <si>
    <t>Warr G</t>
  </si>
  <si>
    <t>Davidson</t>
  </si>
  <si>
    <t>Davidson A</t>
  </si>
  <si>
    <t>Worboys</t>
  </si>
  <si>
    <t>Worboys G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</si>
  <si>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</si>
  <si>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</si>
  <si>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</si>
  <si>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</si>
  <si>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</si>
  <si>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</si>
  <si>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</si>
  <si>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</si>
  <si>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</si>
  <si>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</si>
  <si>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Anyanwu</t>
  </si>
  <si>
    <t>Wallace</t>
  </si>
  <si>
    <t>Wallace L</t>
  </si>
  <si>
    <t>Birch</t>
  </si>
  <si>
    <t>Birch R</t>
  </si>
  <si>
    <t>Morgan A</t>
  </si>
  <si>
    <t>Taylor H</t>
  </si>
  <si>
    <t>Reeves</t>
  </si>
  <si>
    <t>Reeves J</t>
  </si>
  <si>
    <t>Relton</t>
  </si>
  <si>
    <t>Relton A</t>
  </si>
  <si>
    <t>Strang</t>
  </si>
  <si>
    <t>Strang T</t>
  </si>
  <si>
    <t>Beard</t>
  </si>
  <si>
    <t>Beard O</t>
  </si>
  <si>
    <t>Augustus</t>
  </si>
  <si>
    <t>Augustus J</t>
  </si>
  <si>
    <t>Jordan</t>
  </si>
  <si>
    <t>Jordan C</t>
  </si>
  <si>
    <t>Cracknell</t>
  </si>
  <si>
    <t>Cracknell O</t>
  </si>
  <si>
    <t>Blake</t>
  </si>
  <si>
    <t>Blake S</t>
  </si>
  <si>
    <t>Jonker</t>
  </si>
  <si>
    <t>Jonker J</t>
  </si>
  <si>
    <t>Beaton</t>
  </si>
  <si>
    <t>Beaton H</t>
  </si>
  <si>
    <t>Hammond</t>
  </si>
  <si>
    <t>Hammond G</t>
  </si>
  <si>
    <t>Pearson</t>
  </si>
  <si>
    <t>Pearson L</t>
  </si>
  <si>
    <t>Challenger</t>
  </si>
  <si>
    <t>Challenger A</t>
  </si>
  <si>
    <t>Atkinson S</t>
  </si>
  <si>
    <t>Elrington</t>
  </si>
  <si>
    <t>Elrington H</t>
  </si>
  <si>
    <t>Richards</t>
  </si>
  <si>
    <t>Richards E</t>
  </si>
  <si>
    <t>Norey</t>
  </si>
  <si>
    <t>Norey M</t>
  </si>
  <si>
    <t>Hillman-Cooper</t>
  </si>
  <si>
    <t>Hillman-Cooper L</t>
  </si>
  <si>
    <t>Walker J</t>
  </si>
  <si>
    <t>Lane</t>
  </si>
  <si>
    <t>Lane R</t>
  </si>
  <si>
    <t>Lloyd J</t>
  </si>
  <si>
    <t>Gjaltema</t>
  </si>
  <si>
    <t>Gjaltema L</t>
  </si>
  <si>
    <t>Kerr Z</t>
  </si>
  <si>
    <t>Smith R</t>
  </si>
  <si>
    <t>Vanes</t>
  </si>
  <si>
    <t>Vanes A</t>
  </si>
  <si>
    <t>Carr</t>
  </si>
  <si>
    <t>Jackson B</t>
  </si>
  <si>
    <t>Carpenter</t>
  </si>
  <si>
    <t>Harper</t>
  </si>
  <si>
    <t>Bryan</t>
  </si>
  <si>
    <t>Adejimi</t>
  </si>
  <si>
    <t>Bryan S</t>
  </si>
  <si>
    <t>Adejimi S</t>
  </si>
  <si>
    <t>Carpenter J</t>
  </si>
  <si>
    <t>Harper J</t>
  </si>
  <si>
    <t>Cleaves</t>
  </si>
  <si>
    <t>Cleaves C</t>
  </si>
  <si>
    <t>Thomas F</t>
  </si>
  <si>
    <t>Bartlett</t>
  </si>
  <si>
    <t>Bartlett J</t>
  </si>
  <si>
    <t>Tiffen</t>
  </si>
  <si>
    <t>Tiffen M</t>
  </si>
  <si>
    <t>Maunder S</t>
  </si>
  <si>
    <t>Stewart</t>
  </si>
  <si>
    <t>Stewart J</t>
  </si>
  <si>
    <t>Edwards S</t>
  </si>
  <si>
    <t>Youngs</t>
  </si>
  <si>
    <t>Kenny J</t>
  </si>
  <si>
    <t>2020/21</t>
  </si>
  <si>
    <t>2020/21 (CH)</t>
  </si>
  <si>
    <t xml:space="preserve">*Daly for Wasps before 2020/21 </t>
  </si>
  <si>
    <t>Kata</t>
  </si>
  <si>
    <t>Kata S</t>
  </si>
  <si>
    <t>Head</t>
  </si>
  <si>
    <t>Head G</t>
  </si>
  <si>
    <t>Bradbury</t>
  </si>
  <si>
    <t>Bradbury M</t>
  </si>
  <si>
    <t>McGinty A</t>
  </si>
  <si>
    <t>Anyanwu L</t>
  </si>
  <si>
    <t>Cronin</t>
  </si>
  <si>
    <t>Cronin J</t>
  </si>
  <si>
    <t>Barton J</t>
  </si>
  <si>
    <t>Green J</t>
  </si>
  <si>
    <t>Riley</t>
  </si>
  <si>
    <t>Riley S</t>
  </si>
  <si>
    <t>Gallagher</t>
  </si>
  <si>
    <t>Gallagher M</t>
  </si>
  <si>
    <t>Hallett</t>
  </si>
  <si>
    <t>Hallett J</t>
  </si>
  <si>
    <t>Tshiunza</t>
  </si>
  <si>
    <t>Tshiunza C</t>
  </si>
  <si>
    <t>Thomas J</t>
  </si>
  <si>
    <t>Blackett</t>
  </si>
  <si>
    <t>Blackett J</t>
  </si>
  <si>
    <t>*Thomas</t>
  </si>
  <si>
    <t>Stonham</t>
  </si>
  <si>
    <t>Stonham O</t>
  </si>
  <si>
    <t>Horton</t>
  </si>
  <si>
    <t>Chessum L</t>
  </si>
  <si>
    <t>Horton T</t>
  </si>
  <si>
    <t>Meredith</t>
  </si>
  <si>
    <t>Meredith M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</si>
  <si>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</si>
  <si>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</si>
  <si>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</si>
  <si>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</si>
  <si>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</si>
  <si>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</si>
  <si>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</si>
  <si>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</si>
  <si>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</si>
  <si>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</si>
  <si>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</si>
  <si>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</si>
  <si>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</si>
  <si>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</si>
  <si>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</si>
  <si>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</si>
  <si>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Schoeman</t>
  </si>
  <si>
    <t>*MacGinty</t>
  </si>
  <si>
    <t>Musk</t>
  </si>
  <si>
    <t>Rowson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</si>
  <si>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</si>
  <si>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</si>
  <si>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</si>
  <si>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</si>
  <si>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</si>
  <si>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</si>
  <si>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</si>
  <si>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</si>
  <si>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Moore</t>
  </si>
  <si>
    <t>Moore F</t>
  </si>
  <si>
    <t>Pollock</t>
  </si>
  <si>
    <t>Matavesi J</t>
  </si>
  <si>
    <t>Pollock H</t>
  </si>
  <si>
    <t>Gourlay</t>
  </si>
  <si>
    <t>Gourlay E</t>
  </si>
  <si>
    <t>Morris C</t>
  </si>
  <si>
    <t>Davies H</t>
  </si>
  <si>
    <t>Oresanya</t>
  </si>
  <si>
    <t>Oresanya C</t>
  </si>
  <si>
    <t>Watson A</t>
  </si>
  <si>
    <t>Reynolds-West</t>
  </si>
  <si>
    <t>Reynolds-West C</t>
  </si>
  <si>
    <t>Elliott</t>
  </si>
  <si>
    <t>Elliott T</t>
  </si>
  <si>
    <t>Lockett</t>
  </si>
  <si>
    <t>Sylvester</t>
  </si>
  <si>
    <t>Sylvester K</t>
  </si>
  <si>
    <t>Lockett T</t>
  </si>
  <si>
    <t>Scott-Young</t>
  </si>
  <si>
    <t>Scott-Young A</t>
  </si>
  <si>
    <t>*Spencer 7/8 in Prem, 3/5 Champs Cup &amp; 5/6 Prem Cup for Saracens in 2019/20</t>
  </si>
  <si>
    <t>Benz-Salomon J</t>
  </si>
  <si>
    <t>Manz</t>
  </si>
  <si>
    <t>Manz J</t>
  </si>
  <si>
    <t>Davies F</t>
  </si>
  <si>
    <t>Bailey D</t>
  </si>
  <si>
    <t>Caine</t>
  </si>
  <si>
    <t>Pepper G</t>
  </si>
  <si>
    <t>Sio</t>
  </si>
  <si>
    <t>Sio S</t>
  </si>
  <si>
    <t>Ramage</t>
  </si>
  <si>
    <t>Ramage M</t>
  </si>
  <si>
    <t>van Wyk</t>
  </si>
  <si>
    <t>*Atkinson</t>
  </si>
  <si>
    <t xml:space="preserve">Peters </t>
  </si>
  <si>
    <t>Peters J</t>
  </si>
  <si>
    <t>Johnson L</t>
  </si>
  <si>
    <t>Davis</t>
  </si>
  <si>
    <t>Davis A</t>
  </si>
  <si>
    <t>Jenkins I</t>
  </si>
  <si>
    <t>Jenkins D</t>
  </si>
  <si>
    <t>Carr-Smith</t>
  </si>
  <si>
    <t>Carr-Smith T</t>
  </si>
  <si>
    <t>Harris S</t>
  </si>
  <si>
    <t>Barnes</t>
  </si>
  <si>
    <t>Barnes C</t>
  </si>
  <si>
    <t>Anderson</t>
  </si>
  <si>
    <t>Anderson C</t>
  </si>
  <si>
    <t>Knight</t>
  </si>
  <si>
    <t>Waller A</t>
  </si>
  <si>
    <t>Ibitoye</t>
  </si>
  <si>
    <t>Ibitoye G</t>
  </si>
  <si>
    <t>Feyi-Waboso</t>
  </si>
  <si>
    <t>Feyi-Waboso I</t>
  </si>
  <si>
    <t>Fletcher</t>
  </si>
  <si>
    <t>Fletcher O</t>
  </si>
  <si>
    <t>Qorowale</t>
  </si>
  <si>
    <t>Qorowale V</t>
  </si>
  <si>
    <t>Jenkins</t>
  </si>
  <si>
    <t>Jenkins J</t>
  </si>
  <si>
    <t>McIntyre</t>
  </si>
  <si>
    <t>McIntyre S</t>
  </si>
  <si>
    <t>Pollard</t>
  </si>
  <si>
    <t>Pollard H</t>
  </si>
  <si>
    <t>*Pollard</t>
  </si>
  <si>
    <t>Lee-Warner</t>
  </si>
  <si>
    <t>Lee-Warner F</t>
  </si>
  <si>
    <t>Skinner</t>
  </si>
  <si>
    <t>Walker A</t>
  </si>
  <si>
    <t>Cloete</t>
  </si>
  <si>
    <t>Cloete C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</si>
  <si>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</si>
  <si>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</si>
  <si>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</si>
  <si>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</si>
  <si>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</si>
  <si>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</si>
  <si>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</si>
  <si>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Powell</t>
  </si>
  <si>
    <t>Cairns</t>
  </si>
  <si>
    <t>Cairns T</t>
  </si>
  <si>
    <t>Baxter</t>
  </si>
  <si>
    <t>Baxter F</t>
  </si>
  <si>
    <t>Lockwood</t>
  </si>
  <si>
    <t>Lockwood F</t>
  </si>
  <si>
    <t>V'pola, Mu</t>
  </si>
  <si>
    <t>van Velze</t>
  </si>
  <si>
    <t>van Vekze GJ</t>
  </si>
  <si>
    <t>Rubiolo</t>
  </si>
  <si>
    <t>Rubiolo P</t>
  </si>
  <si>
    <t>2021/22</t>
  </si>
  <si>
    <t>BATH 2023/24 SCORERS</t>
  </si>
  <si>
    <t>EXETER 2023/24 SCORERS</t>
  </si>
  <si>
    <t>GLOUCESTER 2023/24 SCORERS</t>
  </si>
  <si>
    <t>NEWCASTLE 2023/24 SCORERS</t>
  </si>
  <si>
    <t>NORTHAMPTON 2023/24 SCORERS (COMP FIX ONLY)</t>
  </si>
  <si>
    <t>SALE 2023/24 SCORERS</t>
  </si>
  <si>
    <t>SARACENS 2023/24 SCORERS</t>
  </si>
  <si>
    <t>*MacGinty for Sale before last season</t>
  </si>
  <si>
    <t>*Spencer for Saracens &amp; Redpath for Sale before last season</t>
  </si>
  <si>
    <t>BRISTOL 2023/24 SCORERS</t>
  </si>
  <si>
    <t>*Devoto for Bath in 2014/15</t>
  </si>
  <si>
    <t>HARLEQUINS 2023/24 SCORERS</t>
  </si>
  <si>
    <t>LEICESTER 2023/24 SCORERS</t>
  </si>
  <si>
    <t>*Pollard for Montpellier (Top 14) before last season</t>
  </si>
  <si>
    <t>*Atkinson also for Wasps last season</t>
  </si>
  <si>
    <t>*Thomas for Ospreys before last season</t>
  </si>
  <si>
    <t>Woollett</t>
  </si>
  <si>
    <t>Hennessey</t>
  </si>
  <si>
    <t>Caulfield</t>
  </si>
  <si>
    <t>Marmion</t>
  </si>
  <si>
    <t xml:space="preserve">Marmion </t>
  </si>
  <si>
    <t>Owen</t>
  </si>
  <si>
    <t>Burrows</t>
  </si>
  <si>
    <t>Fisilau</t>
  </si>
  <si>
    <t>Hammersley</t>
  </si>
  <si>
    <t>Haydon-Wood</t>
  </si>
  <si>
    <t>Vintcent</t>
  </si>
  <si>
    <t>Snow</t>
  </si>
  <si>
    <t>Roots</t>
  </si>
  <si>
    <t xml:space="preserve">Ordered </t>
  </si>
  <si>
    <t xml:space="preserve">Dunn </t>
  </si>
  <si>
    <t>Hathaway</t>
  </si>
  <si>
    <t>Hearle</t>
  </si>
  <si>
    <t>Jones M</t>
  </si>
  <si>
    <t>Browne</t>
  </si>
  <si>
    <t>Joseph W</t>
  </si>
  <si>
    <t>Trenholm</t>
  </si>
  <si>
    <t>Hassell-Collins</t>
  </si>
  <si>
    <t>Hatherell</t>
  </si>
  <si>
    <t xml:space="preserve">Powell </t>
  </si>
  <si>
    <t>Rogerson</t>
  </si>
  <si>
    <t>Shillcock</t>
  </si>
  <si>
    <t>Douglas</t>
  </si>
  <si>
    <t>de Chaves</t>
  </si>
  <si>
    <t>McDonald</t>
  </si>
  <si>
    <t xml:space="preserve">Pepper G </t>
  </si>
  <si>
    <t>Pepper M</t>
  </si>
  <si>
    <t>van Vuuren</t>
  </si>
  <si>
    <t>Cruse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</si>
  <si>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</si>
  <si>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</si>
  <si>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</si>
  <si>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</si>
  <si>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</si>
  <si>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</si>
  <si>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</si>
  <si>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</si>
  <si>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Parton</t>
  </si>
  <si>
    <t>Willis</t>
  </si>
  <si>
    <t>*Shillcock</t>
  </si>
  <si>
    <t>Shillcock J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</si>
  <si>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</si>
  <si>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</si>
  <si>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</si>
  <si>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</si>
  <si>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</si>
  <si>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</si>
  <si>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</si>
  <si>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</si>
  <si>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</si>
  <si>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</si>
  <si>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</si>
  <si>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</si>
  <si>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</si>
  <si>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</si>
  <si>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Burrows O</t>
  </si>
  <si>
    <t>Cruse T</t>
  </si>
  <si>
    <t>de Chaves S</t>
  </si>
  <si>
    <t>Vakatawa</t>
  </si>
  <si>
    <t>Vakatawa V</t>
  </si>
  <si>
    <t>*Qual 10 attempts</t>
  </si>
  <si>
    <t>Willis T</t>
  </si>
  <si>
    <t>Creevy</t>
  </si>
  <si>
    <t>Creevy A</t>
  </si>
  <si>
    <t>*Jennings</t>
  </si>
  <si>
    <t>*Jennings for Clermont in 2020/21 (Top 14), Bath in 2014/15 &amp; L Irish 2021/22 &amp; last season</t>
  </si>
  <si>
    <t>Jennings R</t>
  </si>
  <si>
    <t>du Toit T</t>
  </si>
  <si>
    <t>Roots E</t>
  </si>
  <si>
    <t>Vintcent R</t>
  </si>
  <si>
    <t>Porter W</t>
  </si>
  <si>
    <t>Gonzalez</t>
  </si>
  <si>
    <t>Gonzalez J M</t>
  </si>
  <si>
    <t>*Shillcock for Worcester before last season</t>
  </si>
  <si>
    <t>Malins M</t>
  </si>
  <si>
    <t>Brown L</t>
  </si>
  <si>
    <t>LEI</t>
  </si>
  <si>
    <t>Sleightholme</t>
  </si>
  <si>
    <t>Waller E</t>
  </si>
  <si>
    <t>Chisholm</t>
  </si>
  <si>
    <t>*Wilkinson for Sale before this season</t>
  </si>
  <si>
    <t>*Wilkinson</t>
  </si>
  <si>
    <t>Oghre</t>
  </si>
  <si>
    <t>Oghre G</t>
  </si>
  <si>
    <t>Coetzee</t>
  </si>
  <si>
    <t>Coetzee J</t>
  </si>
  <si>
    <t>Dun</t>
  </si>
  <si>
    <t>Dun J</t>
  </si>
  <si>
    <t>Lennon</t>
  </si>
  <si>
    <t>Lloyd</t>
  </si>
  <si>
    <t>Lennon O</t>
  </si>
  <si>
    <t>Doherty</t>
  </si>
  <si>
    <t>Cinti</t>
  </si>
  <si>
    <t>Cinti L</t>
  </si>
  <si>
    <t>Herbst</t>
  </si>
  <si>
    <t>Herbst I</t>
  </si>
  <si>
    <t>Jennings</t>
  </si>
  <si>
    <t>Cowan-Dickie L</t>
  </si>
  <si>
    <t>Dunne</t>
  </si>
  <si>
    <t>Dunne J</t>
  </si>
  <si>
    <t>Stooke</t>
  </si>
  <si>
    <t>Stooke E</t>
  </si>
  <si>
    <t>*Atkinson C</t>
  </si>
  <si>
    <t>*Charlie Atkinson figures include 2/3 Prem &amp; 7/13 Prm Cup for Leicester this season</t>
  </si>
  <si>
    <t>GL/LC</t>
  </si>
  <si>
    <t>Schreuder</t>
  </si>
  <si>
    <t>Schreuder L</t>
  </si>
  <si>
    <t>Braley</t>
  </si>
  <si>
    <t>Braley C</t>
  </si>
  <si>
    <t>Wimbush</t>
  </si>
  <si>
    <t>Wimbush Z</t>
  </si>
  <si>
    <t>Lewis</t>
  </si>
  <si>
    <t>Lewis D</t>
  </si>
  <si>
    <t>Bello</t>
  </si>
  <si>
    <t xml:space="preserve">Bello </t>
  </si>
  <si>
    <t>Bello E</t>
  </si>
  <si>
    <t>McCallum</t>
  </si>
  <si>
    <t>McCallum M</t>
  </si>
  <si>
    <t>Mercer</t>
  </si>
  <si>
    <t>Mercer Z</t>
  </si>
  <si>
    <t>Veainu</t>
  </si>
  <si>
    <t>Veainu T</t>
  </si>
  <si>
    <t>Redshaw</t>
  </si>
  <si>
    <t>Redshaw B</t>
  </si>
  <si>
    <t>O'Sullivan</t>
  </si>
  <si>
    <t>O'Sullivan H</t>
  </si>
  <si>
    <t>Savala</t>
  </si>
  <si>
    <t>Savala C</t>
  </si>
  <si>
    <t>*Savala</t>
  </si>
  <si>
    <t>*Smith for Worcester before last season; *Savala for Edinburgh before this season (URC)</t>
  </si>
  <si>
    <t>Janse v Rensburg</t>
  </si>
  <si>
    <t>Janse van Rensburg B</t>
  </si>
  <si>
    <t>Janse v Rensburg B</t>
  </si>
  <si>
    <t>Hadfield</t>
  </si>
  <si>
    <t>Hadfield J</t>
  </si>
  <si>
    <t>LC/GL</t>
  </si>
  <si>
    <t>Llewellyn</t>
  </si>
  <si>
    <t>Llewellyn M</t>
  </si>
  <si>
    <t>Maunder</t>
  </si>
  <si>
    <t>Theobold-Thomas</t>
  </si>
  <si>
    <t>Theobald-Thomas</t>
  </si>
  <si>
    <t>Theobald-Thomas F</t>
  </si>
  <si>
    <t>Garside</t>
  </si>
  <si>
    <t>Garside J</t>
  </si>
  <si>
    <t>McBurney</t>
  </si>
  <si>
    <t>McBurney A</t>
  </si>
  <si>
    <t>du Preez slotted 18 kicks in a row in all comps from Nv 17 2023 to Ap 6 2024</t>
  </si>
  <si>
    <t>*Evans J</t>
  </si>
  <si>
    <t>*Evans for Cardfiff before this season</t>
  </si>
  <si>
    <t>Parton T</t>
  </si>
  <si>
    <t>Smith slotted 20 consecutive Prem kicks from Dec 30 to Apr 27</t>
  </si>
  <si>
    <t>Cardall</t>
  </si>
  <si>
    <t>Cardall T</t>
  </si>
  <si>
    <t>John</t>
  </si>
  <si>
    <t>John D</t>
  </si>
  <si>
    <t>Englefield</t>
  </si>
  <si>
    <t>Englefield C</t>
  </si>
  <si>
    <t>*Englefield</t>
  </si>
  <si>
    <t>*Atkinson also for Wasps last season; *Englefield for L Irish before this season</t>
  </si>
  <si>
    <t>J v Rensburg</t>
  </si>
  <si>
    <t>Iyogun</t>
  </si>
  <si>
    <t>Iyogun E</t>
  </si>
  <si>
    <t>Langdon c</t>
  </si>
  <si>
    <t>Cunningham-Sth</t>
  </si>
  <si>
    <t>Cunningham-South C</t>
  </si>
  <si>
    <t>Wilkinson K</t>
  </si>
  <si>
    <t>Slade slotted 19 &amp; 28 kicks in a row in Prem &amp; All Comps respectively between Apr 6 &amp; May 18</t>
  </si>
  <si>
    <t>Top Points Scorer</t>
  </si>
  <si>
    <t>Odendaal</t>
  </si>
  <si>
    <t>Odendaal B</t>
  </si>
  <si>
    <t>Russell slotted 14 in a row from Mar 30 to Jun 1</t>
  </si>
  <si>
    <t>Ford slotted 14 in a row from Apr 28 to May 18</t>
  </si>
  <si>
    <t>Hathaway J</t>
  </si>
  <si>
    <t>Onyeama-Christie</t>
  </si>
  <si>
    <t>Langdon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</si>
</sst>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31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2" fillId="0" borderId="8" xfId="0" applyFont="1" applyBorder="1"/>
    <xf numFmtId="0" fontId="32" fillId="7" borderId="0" xfId="0" applyFont="1" applyFill="1"/>
    <xf numFmtId="0" fontId="8" fillId="7" borderId="13" xfId="0" applyFont="1" applyFill="1" applyBorder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33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37" fillId="3" borderId="1" xfId="0" applyFont="1" applyFill="1" applyBorder="1" applyAlignment="1">
      <alignment vertical="center" wrapText="1"/>
    </xf>
    <xf numFmtId="0" fontId="37" fillId="3" borderId="3" xfId="0" applyFont="1" applyFill="1" applyBorder="1" applyAlignment="1">
      <alignment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4" xfId="0" applyFont="1" applyFill="1" applyBorder="1" applyAlignment="1">
      <alignment vertical="center" wrapText="1"/>
    </xf>
    <xf numFmtId="0" fontId="37" fillId="13" borderId="3" xfId="0" applyFont="1" applyFill="1" applyBorder="1" applyAlignment="1">
      <alignment vertical="center" wrapText="1"/>
    </xf>
    <xf numFmtId="0" fontId="37" fillId="13" borderId="2" xfId="0" applyFont="1" applyFill="1" applyBorder="1" applyAlignment="1">
      <alignment horizontal="right" vertical="center" wrapText="1"/>
    </xf>
    <xf numFmtId="0" fontId="37" fillId="13" borderId="4" xfId="0" applyFont="1" applyFill="1" applyBorder="1" applyAlignment="1">
      <alignment horizontal="right" vertical="center" wrapText="1"/>
    </xf>
    <xf numFmtId="0" fontId="37" fillId="13" borderId="3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right" vertical="center" wrapText="1"/>
    </xf>
    <xf numFmtId="1" fontId="37" fillId="3" borderId="4" xfId="0" applyNumberFormat="1" applyFont="1" applyFill="1" applyBorder="1" applyAlignment="1">
      <alignment horizontal="right" vertical="center" wrapText="1"/>
    </xf>
    <xf numFmtId="14" fontId="37" fillId="3" borderId="3" xfId="0" applyNumberFormat="1" applyFont="1" applyFill="1" applyBorder="1" applyAlignment="1">
      <alignment horizontal="left" vertical="center" wrapText="1"/>
    </xf>
    <xf numFmtId="0" fontId="38" fillId="0" borderId="0" xfId="0" applyFont="1"/>
    <xf numFmtId="0" fontId="38" fillId="7" borderId="0" xfId="0" applyFont="1" applyFill="1"/>
    <xf numFmtId="0" fontId="38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9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1" fillId="7" borderId="0" xfId="0" applyFont="1" applyFill="1" applyAlignment="1">
      <alignment horizontal="right" vertical="center" wrapText="1"/>
    </xf>
    <xf numFmtId="0" fontId="34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5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27" fillId="16" borderId="2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2" fillId="6" borderId="2" xfId="0" applyFont="1" applyFill="1" applyBorder="1" applyAlignment="1">
      <alignment horizontal="right" vertical="center" wrapText="1"/>
    </xf>
    <xf numFmtId="0" fontId="42" fillId="6" borderId="4" xfId="0" applyFont="1" applyFill="1" applyBorder="1" applyAlignment="1">
      <alignment horizontal="right" vertical="center" wrapText="1"/>
    </xf>
    <xf numFmtId="0" fontId="42" fillId="2" borderId="2" xfId="0" applyFont="1" applyFill="1" applyBorder="1" applyAlignment="1">
      <alignment horizontal="right" vertical="center" wrapText="1"/>
    </xf>
    <xf numFmtId="0" fontId="42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7" borderId="2" xfId="0" applyFont="1" applyFill="1" applyBorder="1" applyAlignment="1">
      <alignment horizontal="right" vertical="center" wrapText="1"/>
    </xf>
    <xf numFmtId="0" fontId="27" fillId="17" borderId="4" xfId="0" applyFont="1" applyFill="1" applyBorder="1" applyAlignment="1">
      <alignment horizontal="right" vertical="center" wrapText="1"/>
    </xf>
    <xf numFmtId="0" fontId="44" fillId="17" borderId="1" xfId="0" applyFont="1" applyFill="1" applyBorder="1" applyAlignment="1">
      <alignment vertical="center" wrapText="1"/>
    </xf>
    <xf numFmtId="0" fontId="44" fillId="17" borderId="3" xfId="0" applyFont="1" applyFill="1" applyBorder="1" applyAlignment="1">
      <alignment vertical="center" wrapText="1"/>
    </xf>
    <xf numFmtId="0" fontId="44" fillId="17" borderId="2" xfId="0" applyFont="1" applyFill="1" applyBorder="1" applyAlignment="1">
      <alignment horizontal="right" vertical="center" wrapText="1"/>
    </xf>
    <xf numFmtId="0" fontId="44" fillId="17" borderId="4" xfId="0" applyFont="1" applyFill="1" applyBorder="1" applyAlignment="1">
      <alignment horizontal="right" vertical="center" wrapText="1"/>
    </xf>
    <xf numFmtId="1" fontId="44" fillId="17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13" fillId="7" borderId="0" xfId="0" applyFont="1" applyFill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1" fillId="10" borderId="2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31" fillId="10" borderId="3" xfId="0" applyFont="1" applyFill="1" applyBorder="1" applyAlignment="1">
      <alignment vertical="center" wrapText="1"/>
    </xf>
    <xf numFmtId="0" fontId="31" fillId="10" borderId="2" xfId="0" applyFont="1" applyFill="1" applyBorder="1" applyAlignment="1">
      <alignment horizontal="right" vertical="center" wrapText="1"/>
    </xf>
    <xf numFmtId="0" fontId="31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2" fillId="3" borderId="2" xfId="0" applyFont="1" applyFill="1" applyBorder="1" applyAlignment="1">
      <alignment horizontal="right" vertical="center" wrapText="1"/>
    </xf>
    <xf numFmtId="0" fontId="42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2" fillId="7" borderId="0" xfId="0" applyFont="1" applyFill="1" applyAlignment="1">
      <alignment horizontal="right" vertical="center" wrapText="1"/>
    </xf>
    <xf numFmtId="0" fontId="40" fillId="7" borderId="0" xfId="0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6" fillId="16" borderId="2" xfId="0" applyFont="1" applyFill="1" applyBorder="1" applyAlignment="1">
      <alignment horizontal="right" vertical="center" wrapText="1"/>
    </xf>
    <xf numFmtId="0" fontId="46" fillId="16" borderId="4" xfId="0" applyFont="1" applyFill="1" applyBorder="1" applyAlignment="1">
      <alignment horizontal="right" vertical="center" wrapText="1"/>
    </xf>
    <xf numFmtId="0" fontId="46" fillId="13" borderId="2" xfId="0" applyFont="1" applyFill="1" applyBorder="1" applyAlignment="1">
      <alignment horizontal="right" vertical="center" wrapText="1"/>
    </xf>
    <xf numFmtId="0" fontId="46" fillId="13" borderId="4" xfId="0" applyFont="1" applyFill="1" applyBorder="1" applyAlignment="1">
      <alignment horizontal="right" vertical="center" wrapText="1"/>
    </xf>
    <xf numFmtId="0" fontId="46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14" fontId="48" fillId="15" borderId="1" xfId="0" applyNumberFormat="1" applyFont="1" applyFill="1" applyBorder="1" applyAlignment="1">
      <alignment horizontal="left" vertical="center" wrapText="1"/>
    </xf>
    <xf numFmtId="14" fontId="16" fillId="15" borderId="3" xfId="0" applyNumberFormat="1" applyFont="1" applyFill="1" applyBorder="1" applyAlignment="1">
      <alignment horizontal="left" vertical="center" wrapText="1"/>
    </xf>
    <xf numFmtId="14" fontId="0" fillId="15" borderId="3" xfId="0" applyNumberFormat="1" applyFill="1" applyBorder="1" applyAlignment="1">
      <alignment horizontal="left" vertical="center" wrapText="1"/>
    </xf>
    <xf numFmtId="0" fontId="46" fillId="17" borderId="2" xfId="0" applyFont="1" applyFill="1" applyBorder="1" applyAlignment="1">
      <alignment horizontal="right" vertical="center" wrapText="1"/>
    </xf>
    <xf numFmtId="0" fontId="46" fillId="17" borderId="4" xfId="0" applyFont="1" applyFill="1" applyBorder="1" applyAlignment="1">
      <alignment horizontal="right" vertical="center" wrapText="1"/>
    </xf>
    <xf numFmtId="0" fontId="37" fillId="3" borderId="10" xfId="0" applyFont="1" applyFill="1" applyBorder="1" applyAlignment="1">
      <alignment vertical="center" wrapText="1"/>
    </xf>
    <xf numFmtId="1" fontId="10" fillId="7" borderId="14" xfId="0" applyNumberFormat="1" applyFont="1" applyFill="1" applyBorder="1" applyAlignment="1">
      <alignment horizontal="right" vertical="center" wrapText="1"/>
    </xf>
    <xf numFmtId="0" fontId="37" fillId="3" borderId="1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1" fontId="10" fillId="9" borderId="1" xfId="0" applyNumberFormat="1" applyFont="1" applyFill="1" applyBorder="1" applyAlignment="1">
      <alignment horizontal="right"/>
    </xf>
    <xf numFmtId="0" fontId="47" fillId="11" borderId="2" xfId="0" applyFont="1" applyFill="1" applyBorder="1" applyAlignment="1">
      <alignment horizontal="right" vertical="center" wrapText="1"/>
    </xf>
    <xf numFmtId="0" fontId="47" fillId="11" borderId="4" xfId="0" applyFont="1" applyFill="1" applyBorder="1" applyAlignment="1">
      <alignment horizontal="right" vertical="center" wrapText="1"/>
    </xf>
    <xf numFmtId="0" fontId="50" fillId="10" borderId="2" xfId="0" applyFont="1" applyFill="1" applyBorder="1" applyAlignment="1">
      <alignment horizontal="right" vertical="center" wrapText="1"/>
    </xf>
    <xf numFmtId="0" fontId="50" fillId="10" borderId="4" xfId="0" applyFont="1" applyFill="1" applyBorder="1" applyAlignment="1">
      <alignment horizontal="right" vertical="center" wrapText="1"/>
    </xf>
    <xf numFmtId="14" fontId="48" fillId="18" borderId="3" xfId="0" applyNumberFormat="1" applyFont="1" applyFill="1" applyBorder="1" applyAlignment="1">
      <alignment horizontal="left" vertical="center" wrapText="1"/>
    </xf>
    <xf numFmtId="0" fontId="47" fillId="3" borderId="2" xfId="0" applyFont="1" applyFill="1" applyBorder="1" applyAlignment="1">
      <alignment horizontal="right" vertical="center" wrapText="1"/>
    </xf>
    <xf numFmtId="0" fontId="47" fillId="3" borderId="4" xfId="0" applyFont="1" applyFill="1" applyBorder="1" applyAlignment="1">
      <alignment horizontal="right" vertical="center" wrapText="1"/>
    </xf>
    <xf numFmtId="0" fontId="47" fillId="10" borderId="2" xfId="0" applyFont="1" applyFill="1" applyBorder="1" applyAlignment="1">
      <alignment horizontal="right" vertical="center" wrapText="1"/>
    </xf>
    <xf numFmtId="0" fontId="47" fillId="10" borderId="4" xfId="0" applyFont="1" applyFill="1" applyBorder="1" applyAlignment="1">
      <alignment horizontal="right" vertical="center" wrapText="1"/>
    </xf>
    <xf numFmtId="0" fontId="47" fillId="7" borderId="0" xfId="0" applyFont="1" applyFill="1" applyAlignment="1">
      <alignment horizontal="right" vertical="center" wrapText="1"/>
    </xf>
    <xf numFmtId="0" fontId="51" fillId="2" borderId="2" xfId="0" applyFont="1" applyFill="1" applyBorder="1" applyAlignment="1">
      <alignment horizontal="right" vertical="center" wrapText="1"/>
    </xf>
    <xf numFmtId="0" fontId="51" fillId="6" borderId="2" xfId="0" applyFont="1" applyFill="1" applyBorder="1" applyAlignment="1">
      <alignment horizontal="right" vertical="center" wrapText="1"/>
    </xf>
    <xf numFmtId="0" fontId="51" fillId="2" borderId="4" xfId="0" applyFont="1" applyFill="1" applyBorder="1" applyAlignment="1">
      <alignment horizontal="right" vertical="center" wrapText="1"/>
    </xf>
    <xf numFmtId="0" fontId="51" fillId="6" borderId="4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1" fontId="37" fillId="3" borderId="2" xfId="0" applyNumberFormat="1" applyFont="1" applyFill="1" applyBorder="1" applyAlignment="1">
      <alignment horizontal="right" vertical="center" wrapText="1"/>
    </xf>
    <xf numFmtId="0" fontId="46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1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1" fillId="4" borderId="4" xfId="0" applyFont="1" applyFill="1" applyBorder="1" applyAlignment="1">
      <alignment horizontal="right" vertical="center" wrapText="1"/>
    </xf>
    <xf numFmtId="0" fontId="46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2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14" fontId="5" fillId="19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9" borderId="1" xfId="0" applyNumberFormat="1" applyFont="1" applyFill="1" applyBorder="1" applyAlignment="1">
      <alignment horizontal="left" vertical="center" wrapText="1"/>
    </xf>
    <xf numFmtId="14" fontId="53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4" fillId="3" borderId="2" xfId="0" applyFont="1" applyFill="1" applyBorder="1" applyAlignment="1">
      <alignment horizontal="right" vertical="center" wrapText="1"/>
    </xf>
    <xf numFmtId="0" fontId="54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7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7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4" fillId="17" borderId="2" xfId="0" applyFont="1" applyFill="1" applyBorder="1" applyAlignment="1">
      <alignment horizontal="right" vertical="center" wrapText="1"/>
    </xf>
    <xf numFmtId="0" fontId="54" fillId="17" borderId="4" xfId="0" applyFont="1" applyFill="1" applyBorder="1" applyAlignment="1">
      <alignment horizontal="right" vertical="center" wrapText="1"/>
    </xf>
    <xf numFmtId="0" fontId="9" fillId="20" borderId="2" xfId="0" applyFont="1" applyFill="1" applyBorder="1" applyAlignment="1">
      <alignment horizontal="right" vertical="center" wrapText="1"/>
    </xf>
    <xf numFmtId="0" fontId="46" fillId="20" borderId="2" xfId="0" applyFont="1" applyFill="1" applyBorder="1" applyAlignment="1">
      <alignment horizontal="right" vertical="center" wrapText="1"/>
    </xf>
    <xf numFmtId="0" fontId="9" fillId="20" borderId="4" xfId="0" applyFont="1" applyFill="1" applyBorder="1" applyAlignment="1">
      <alignment horizontal="right" vertical="center" wrapText="1"/>
    </xf>
    <xf numFmtId="0" fontId="46" fillId="20" borderId="4" xfId="0" applyFont="1" applyFill="1" applyBorder="1" applyAlignment="1">
      <alignment horizontal="right" vertical="center" wrapText="1"/>
    </xf>
    <xf numFmtId="0" fontId="10" fillId="20" borderId="1" xfId="0" applyFont="1" applyFill="1" applyBorder="1" applyAlignment="1">
      <alignment vertical="center" wrapText="1"/>
    </xf>
    <xf numFmtId="0" fontId="10" fillId="20" borderId="3" xfId="0" applyFont="1" applyFill="1" applyBorder="1" applyAlignment="1">
      <alignment vertical="center" wrapText="1"/>
    </xf>
    <xf numFmtId="0" fontId="10" fillId="20" borderId="2" xfId="0" applyFont="1" applyFill="1" applyBorder="1" applyAlignment="1">
      <alignment horizontal="right" vertical="center" wrapText="1"/>
    </xf>
    <xf numFmtId="0" fontId="10" fillId="20" borderId="4" xfId="0" applyFont="1" applyFill="1" applyBorder="1" applyAlignment="1">
      <alignment horizontal="right" vertical="center" wrapText="1"/>
    </xf>
    <xf numFmtId="0" fontId="55" fillId="20" borderId="2" xfId="0" applyFont="1" applyFill="1" applyBorder="1" applyAlignment="1">
      <alignment horizontal="right" vertical="center" wrapText="1"/>
    </xf>
    <xf numFmtId="0" fontId="55" fillId="20" borderId="4" xfId="0" applyFont="1" applyFill="1" applyBorder="1" applyAlignment="1">
      <alignment horizontal="right" vertical="center" wrapText="1"/>
    </xf>
    <xf numFmtId="0" fontId="54" fillId="14" borderId="2" xfId="0" applyFont="1" applyFill="1" applyBorder="1" applyAlignment="1">
      <alignment horizontal="right" vertical="center" wrapText="1"/>
    </xf>
    <xf numFmtId="0" fontId="54" fillId="14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4" fillId="13" borderId="2" xfId="0" applyFont="1" applyFill="1" applyBorder="1" applyAlignment="1">
      <alignment horizontal="right" vertical="center" wrapText="1"/>
    </xf>
    <xf numFmtId="0" fontId="54" fillId="13" borderId="4" xfId="0" applyFont="1" applyFill="1" applyBorder="1" applyAlignment="1">
      <alignment horizontal="right"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horizontal="right" vertical="center" wrapText="1"/>
    </xf>
    <xf numFmtId="14" fontId="56" fillId="3" borderId="3" xfId="0" applyNumberFormat="1" applyFont="1" applyFill="1" applyBorder="1" applyAlignment="1">
      <alignment horizontal="left" vertical="center" wrapText="1"/>
    </xf>
    <xf numFmtId="0" fontId="58" fillId="3" borderId="1" xfId="0" applyFont="1" applyFill="1" applyBorder="1" applyAlignment="1">
      <alignment vertical="center" wrapText="1"/>
    </xf>
    <xf numFmtId="0" fontId="58" fillId="3" borderId="3" xfId="0" applyFont="1" applyFill="1" applyBorder="1" applyAlignment="1">
      <alignment vertical="center" wrapText="1"/>
    </xf>
    <xf numFmtId="0" fontId="58" fillId="3" borderId="2" xfId="0" applyFont="1" applyFill="1" applyBorder="1" applyAlignment="1">
      <alignment horizontal="right" vertical="center" wrapText="1"/>
    </xf>
    <xf numFmtId="0" fontId="58" fillId="3" borderId="4" xfId="0" applyFont="1" applyFill="1" applyBorder="1" applyAlignment="1">
      <alignment horizontal="right" vertical="center" wrapText="1"/>
    </xf>
    <xf numFmtId="1" fontId="58" fillId="3" borderId="4" xfId="0" applyNumberFormat="1" applyFont="1" applyFill="1" applyBorder="1" applyAlignment="1">
      <alignment horizontal="right" vertical="center" wrapText="1"/>
    </xf>
    <xf numFmtId="0" fontId="58" fillId="3" borderId="1" xfId="0" applyFont="1" applyFill="1" applyBorder="1"/>
    <xf numFmtId="14" fontId="15" fillId="19" borderId="3" xfId="0" applyNumberFormat="1" applyFont="1" applyFill="1" applyBorder="1" applyAlignment="1">
      <alignment horizontal="left" vertical="center" wrapText="1"/>
    </xf>
    <xf numFmtId="0" fontId="59" fillId="6" borderId="2" xfId="0" applyFont="1" applyFill="1" applyBorder="1" applyAlignment="1">
      <alignment horizontal="right" vertical="center" wrapText="1"/>
    </xf>
    <xf numFmtId="0" fontId="59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7" fillId="3" borderId="0" xfId="0" applyFont="1" applyFill="1" applyAlignment="1">
      <alignment vertical="center" wrapText="1"/>
    </xf>
    <xf numFmtId="0" fontId="37" fillId="3" borderId="0" xfId="0" applyFont="1" applyFill="1" applyAlignment="1">
      <alignment horizontal="right" vertical="center" wrapText="1"/>
    </xf>
    <xf numFmtId="1" fontId="37" fillId="3" borderId="0" xfId="0" applyNumberFormat="1" applyFont="1" applyFill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37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9" borderId="3" xfId="0" applyFont="1" applyFill="1" applyBorder="1" applyAlignment="1">
      <alignment vertical="center" wrapText="1"/>
    </xf>
    <xf numFmtId="0" fontId="15" fillId="19" borderId="1" xfId="0" applyFont="1" applyFill="1" applyBorder="1" applyAlignment="1">
      <alignment vertical="center" wrapText="1"/>
    </xf>
    <xf numFmtId="0" fontId="27" fillId="19" borderId="2" xfId="0" applyFont="1" applyFill="1" applyBorder="1" applyAlignment="1">
      <alignment horizontal="right" vertical="center" wrapText="1"/>
    </xf>
    <xf numFmtId="0" fontId="45" fillId="19" borderId="2" xfId="0" applyFont="1" applyFill="1" applyBorder="1" applyAlignment="1">
      <alignment horizontal="right" vertical="center" wrapText="1"/>
    </xf>
    <xf numFmtId="0" fontId="47" fillId="19" borderId="2" xfId="0" applyFont="1" applyFill="1" applyBorder="1" applyAlignment="1">
      <alignment horizontal="right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27" fillId="19" borderId="4" xfId="0" applyFont="1" applyFill="1" applyBorder="1" applyAlignment="1">
      <alignment horizontal="right" vertical="center" wrapText="1"/>
    </xf>
    <xf numFmtId="0" fontId="45" fillId="19" borderId="4" xfId="0" applyFont="1" applyFill="1" applyBorder="1" applyAlignment="1">
      <alignment horizontal="right" vertical="center" wrapText="1"/>
    </xf>
    <xf numFmtId="0" fontId="47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15" fillId="16" borderId="1" xfId="0" applyFont="1" applyFill="1" applyBorder="1" applyAlignment="1">
      <alignment horizontal="right" vertical="center" wrapText="1"/>
    </xf>
    <xf numFmtId="1" fontId="15" fillId="16" borderId="1" xfId="0" applyNumberFormat="1" applyFont="1" applyFill="1" applyBorder="1" applyAlignment="1">
      <alignment horizontal="right" vertical="center" wrapText="1"/>
    </xf>
    <xf numFmtId="0" fontId="15" fillId="16" borderId="11" xfId="0" applyFont="1" applyFill="1" applyBorder="1" applyAlignment="1">
      <alignment vertical="center" wrapText="1"/>
    </xf>
    <xf numFmtId="0" fontId="15" fillId="16" borderId="12" xfId="0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right" vertical="center" wrapText="1"/>
    </xf>
    <xf numFmtId="1" fontId="15" fillId="16" borderId="4" xfId="0" applyNumberFormat="1" applyFont="1" applyFill="1" applyBorder="1" applyAlignment="1">
      <alignment horizontal="right" vertical="center" wrapText="1"/>
    </xf>
    <xf numFmtId="14" fontId="15" fillId="16" borderId="1" xfId="0" applyNumberFormat="1" applyFont="1" applyFill="1" applyBorder="1" applyAlignment="1">
      <alignment horizontal="lef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5" fillId="10" borderId="2" xfId="0" applyFont="1" applyFill="1" applyBorder="1" applyAlignment="1">
      <alignment horizontal="right" vertical="center" wrapText="1"/>
    </xf>
    <xf numFmtId="0" fontId="45" fillId="10" borderId="4" xfId="0" applyFont="1" applyFill="1" applyBorder="1" applyAlignment="1">
      <alignment horizontal="right" vertical="center" wrapText="1"/>
    </xf>
    <xf numFmtId="0" fontId="18" fillId="16" borderId="2" xfId="0" applyFont="1" applyFill="1" applyBorder="1" applyAlignment="1">
      <alignment horizontal="right" vertical="center" wrapText="1"/>
    </xf>
    <xf numFmtId="0" fontId="18" fillId="16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right" vertical="center" wrapText="1"/>
    </xf>
    <xf numFmtId="0" fontId="10" fillId="20" borderId="5" xfId="0" applyFont="1" applyFill="1" applyBorder="1" applyAlignment="1">
      <alignment horizontal="right" vertical="center" wrapText="1"/>
    </xf>
    <xf numFmtId="0" fontId="44" fillId="17" borderId="14" xfId="0" applyFont="1" applyFill="1" applyBorder="1" applyAlignment="1">
      <alignment horizontal="right" vertical="center" wrapText="1"/>
    </xf>
    <xf numFmtId="1" fontId="58" fillId="7" borderId="0" xfId="0" applyNumberFormat="1" applyFont="1" applyFill="1" applyAlignment="1">
      <alignment horizontal="right" vertical="center" wrapText="1"/>
    </xf>
    <xf numFmtId="0" fontId="58" fillId="7" borderId="0" xfId="0" applyFont="1" applyFill="1"/>
    <xf numFmtId="0" fontId="58" fillId="3" borderId="1" xfId="0" applyFont="1" applyFill="1" applyBorder="1" applyAlignment="1">
      <alignment horizontal="right"/>
    </xf>
    <xf numFmtId="0" fontId="44" fillId="17" borderId="0" xfId="0" applyFont="1" applyFill="1" applyAlignment="1">
      <alignment horizontal="right" vertical="center" wrapText="1"/>
    </xf>
    <xf numFmtId="0" fontId="44" fillId="17" borderId="1" xfId="0" applyFont="1" applyFill="1" applyBorder="1" applyAlignment="1">
      <alignment horizontal="right" vertical="center" wrapText="1"/>
    </xf>
    <xf numFmtId="1" fontId="44" fillId="17" borderId="1" xfId="0" applyNumberFormat="1" applyFont="1" applyFill="1" applyBorder="1" applyAlignment="1">
      <alignment horizontal="right" vertical="center" wrapText="1"/>
    </xf>
    <xf numFmtId="0" fontId="10" fillId="9" borderId="12" xfId="0" applyFont="1" applyFill="1" applyBorder="1" applyAlignment="1">
      <alignment horizontal="right"/>
    </xf>
    <xf numFmtId="0" fontId="58" fillId="3" borderId="1" xfId="0" applyFont="1" applyFill="1" applyBorder="1" applyAlignment="1">
      <alignment horizontal="right" vertical="center" wrapText="1"/>
    </xf>
    <xf numFmtId="1" fontId="58" fillId="3" borderId="1" xfId="0" applyNumberFormat="1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vertical="center" wrapText="1"/>
    </xf>
    <xf numFmtId="0" fontId="54" fillId="21" borderId="2" xfId="0" applyFont="1" applyFill="1" applyBorder="1" applyAlignment="1">
      <alignment horizontal="right" vertical="center" wrapText="1"/>
    </xf>
    <xf numFmtId="0" fontId="46" fillId="21" borderId="2" xfId="0" applyFont="1" applyFill="1" applyBorder="1" applyAlignment="1">
      <alignment horizontal="right" vertical="center" wrapText="1"/>
    </xf>
    <xf numFmtId="0" fontId="15" fillId="21" borderId="2" xfId="0" applyFont="1" applyFill="1" applyBorder="1" applyAlignment="1">
      <alignment horizontal="right" vertical="center" wrapText="1"/>
    </xf>
    <xf numFmtId="0" fontId="15" fillId="21" borderId="3" xfId="0" applyFont="1" applyFill="1" applyBorder="1" applyAlignment="1">
      <alignment vertical="center" wrapText="1"/>
    </xf>
    <xf numFmtId="0" fontId="54" fillId="21" borderId="4" xfId="0" applyFont="1" applyFill="1" applyBorder="1" applyAlignment="1">
      <alignment horizontal="right" vertical="center" wrapText="1"/>
    </xf>
    <xf numFmtId="0" fontId="46" fillId="21" borderId="4" xfId="0" applyFont="1" applyFill="1" applyBorder="1" applyAlignment="1">
      <alignment horizontal="right" vertical="center" wrapText="1"/>
    </xf>
    <xf numFmtId="0" fontId="15" fillId="21" borderId="4" xfId="0" applyFont="1" applyFill="1" applyBorder="1" applyAlignment="1">
      <alignment horizontal="right" vertical="center" wrapText="1"/>
    </xf>
    <xf numFmtId="14" fontId="15" fillId="21" borderId="3" xfId="0" applyNumberFormat="1" applyFont="1" applyFill="1" applyBorder="1" applyAlignment="1">
      <alignment horizontal="left" vertical="center" wrapText="1"/>
    </xf>
    <xf numFmtId="1" fontId="15" fillId="21" borderId="4" xfId="0" applyNumberFormat="1" applyFont="1" applyFill="1" applyBorder="1" applyAlignment="1">
      <alignment horizontal="right" vertical="center" wrapText="1"/>
    </xf>
    <xf numFmtId="0" fontId="60" fillId="21" borderId="2" xfId="0" applyFont="1" applyFill="1" applyBorder="1" applyAlignment="1">
      <alignment horizontal="right" vertical="center" wrapText="1"/>
    </xf>
    <xf numFmtId="0" fontId="60" fillId="21" borderId="4" xfId="0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15" fillId="21" borderId="1" xfId="0" applyFont="1" applyFill="1" applyBorder="1" applyAlignment="1">
      <alignment horizontal="right" vertical="center" wrapText="1"/>
    </xf>
    <xf numFmtId="1" fontId="15" fillId="21" borderId="1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28" fillId="19" borderId="2" xfId="0" applyFont="1" applyFill="1" applyBorder="1" applyAlignment="1">
      <alignment horizontal="right" vertical="center" wrapText="1"/>
    </xf>
    <xf numFmtId="0" fontId="28" fillId="19" borderId="4" xfId="0" applyFont="1" applyFill="1" applyBorder="1" applyAlignment="1">
      <alignment horizontal="right" vertical="center" wrapText="1"/>
    </xf>
    <xf numFmtId="0" fontId="28" fillId="11" borderId="2" xfId="0" applyFont="1" applyFill="1" applyBorder="1" applyAlignment="1">
      <alignment horizontal="right" vertical="center" wrapText="1"/>
    </xf>
    <xf numFmtId="0" fontId="28" fillId="11" borderId="4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8" fillId="7" borderId="3" xfId="0" applyFont="1" applyFill="1" applyBorder="1"/>
    <xf numFmtId="0" fontId="8" fillId="4" borderId="4" xfId="0" applyFont="1" applyFill="1" applyBorder="1"/>
    <xf numFmtId="0" fontId="12" fillId="7" borderId="3" xfId="0" applyFont="1" applyFill="1" applyBorder="1" applyAlignment="1">
      <alignment vertical="center" wrapText="1"/>
    </xf>
    <xf numFmtId="0" fontId="12" fillId="7" borderId="1" xfId="0" applyFont="1" applyFill="1" applyBorder="1"/>
    <xf numFmtId="0" fontId="12" fillId="4" borderId="1" xfId="0" applyFont="1" applyFill="1" applyBorder="1"/>
    <xf numFmtId="0" fontId="18" fillId="19" borderId="2" xfId="0" applyFont="1" applyFill="1" applyBorder="1" applyAlignment="1">
      <alignment horizontal="right" vertical="center" wrapText="1"/>
    </xf>
    <xf numFmtId="0" fontId="33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33" fillId="19" borderId="4" xfId="0" applyFont="1" applyFill="1" applyBorder="1" applyAlignment="1">
      <alignment horizontal="right" vertical="center" wrapText="1"/>
    </xf>
    <xf numFmtId="14" fontId="15" fillId="19" borderId="1" xfId="0" applyNumberFormat="1" applyFont="1" applyFill="1" applyBorder="1" applyAlignment="1">
      <alignment horizontal="left" vertical="center" wrapText="1"/>
    </xf>
    <xf numFmtId="0" fontId="15" fillId="19" borderId="1" xfId="0" applyFont="1" applyFill="1" applyBorder="1" applyAlignment="1">
      <alignment horizontal="right" vertical="center" wrapText="1"/>
    </xf>
    <xf numFmtId="1" fontId="15" fillId="19" borderId="1" xfId="0" applyNumberFormat="1" applyFont="1" applyFill="1" applyBorder="1" applyAlignment="1">
      <alignment horizontal="right" vertical="center" wrapText="1"/>
    </xf>
    <xf numFmtId="14" fontId="15" fillId="19" borderId="16" xfId="0" applyNumberFormat="1" applyFont="1" applyFill="1" applyBorder="1" applyAlignment="1">
      <alignment horizontal="left" vertical="center" wrapText="1"/>
    </xf>
    <xf numFmtId="0" fontId="10" fillId="7" borderId="0" xfId="0" applyFont="1" applyFill="1"/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/>
    <xf numFmtId="0" fontId="10" fillId="4" borderId="6" xfId="0" applyFont="1" applyFill="1" applyBorder="1" applyAlignment="1">
      <alignment horizontal="right" vertical="center" wrapText="1"/>
    </xf>
    <xf numFmtId="0" fontId="16" fillId="7" borderId="0" xfId="0" applyFont="1" applyFill="1" applyAlignment="1">
      <alignment vertical="center" wrapText="1"/>
    </xf>
    <xf numFmtId="0" fontId="0" fillId="0" borderId="0" xfId="0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vertical="center" wrapText="1"/>
    </xf>
    <xf numFmtId="0" fontId="10" fillId="18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6" fillId="19" borderId="11" xfId="0" applyFont="1" applyFill="1" applyBorder="1" applyAlignment="1">
      <alignment horizontal="left"/>
    </xf>
    <xf numFmtId="0" fontId="6" fillId="19" borderId="1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15" fillId="19" borderId="7" xfId="0" applyFont="1" applyFill="1" applyBorder="1" applyAlignment="1">
      <alignment vertical="center" wrapText="1"/>
    </xf>
    <xf numFmtId="0" fontId="15" fillId="19" borderId="3" xfId="0" applyFont="1" applyFill="1" applyBorder="1" applyAlignment="1">
      <alignment vertical="center" wrapText="1"/>
    </xf>
    <xf numFmtId="0" fontId="10" fillId="12" borderId="7" xfId="0" applyFont="1" applyFill="1" applyBorder="1" applyAlignment="1">
      <alignment vertical="center" wrapText="1"/>
    </xf>
    <xf numFmtId="0" fontId="10" fillId="12" borderId="3" xfId="0" applyFont="1" applyFill="1" applyBorder="1" applyAlignment="1">
      <alignment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10" fillId="15" borderId="7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43" fillId="17" borderId="11" xfId="0" applyFont="1" applyFill="1" applyBorder="1" applyAlignment="1">
      <alignment horizontal="left" vertical="center"/>
    </xf>
    <xf numFmtId="0" fontId="43" fillId="17" borderId="12" xfId="0" applyFont="1" applyFill="1" applyBorder="1" applyAlignment="1">
      <alignment horizontal="left" vertical="center"/>
    </xf>
    <xf numFmtId="0" fontId="43" fillId="17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15" fillId="19" borderId="6" xfId="0" applyFont="1" applyFill="1" applyBorder="1" applyAlignment="1">
      <alignment vertical="center" wrapText="1"/>
    </xf>
    <xf numFmtId="0" fontId="15" fillId="19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21" borderId="11" xfId="0" applyFont="1" applyFill="1" applyBorder="1" applyAlignment="1">
      <alignment vertical="center"/>
    </xf>
    <xf numFmtId="0" fontId="5" fillId="21" borderId="12" xfId="0" applyFont="1" applyFill="1" applyBorder="1"/>
    <xf numFmtId="0" fontId="5" fillId="21" borderId="2" xfId="0" applyFont="1" applyFill="1" applyBorder="1"/>
    <xf numFmtId="0" fontId="2" fillId="7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6" fillId="7" borderId="0" xfId="0" applyFont="1" applyFill="1"/>
    <xf numFmtId="0" fontId="0" fillId="0" borderId="9" xfId="0" applyBorder="1"/>
    <xf numFmtId="0" fontId="0" fillId="0" borderId="8" xfId="0" applyBorder="1"/>
    <xf numFmtId="0" fontId="36" fillId="3" borderId="9" xfId="0" applyFont="1" applyFill="1" applyBorder="1" applyAlignment="1">
      <alignment horizontal="left" vertical="center"/>
    </xf>
    <xf numFmtId="0" fontId="36" fillId="3" borderId="8" xfId="0" applyFont="1" applyFill="1" applyBorder="1" applyAlignment="1">
      <alignment horizontal="left" vertical="center"/>
    </xf>
    <xf numFmtId="0" fontId="36" fillId="3" borderId="6" xfId="0" applyFont="1" applyFill="1" applyBorder="1" applyAlignment="1">
      <alignment horizontal="left" vertical="center"/>
    </xf>
    <xf numFmtId="0" fontId="30" fillId="19" borderId="9" xfId="0" applyFont="1" applyFill="1" applyBorder="1" applyAlignment="1">
      <alignment horizontal="left" vertical="center"/>
    </xf>
    <xf numFmtId="0" fontId="30" fillId="19" borderId="8" xfId="0" applyFont="1" applyFill="1" applyBorder="1" applyAlignment="1">
      <alignment horizontal="left" vertical="center"/>
    </xf>
    <xf numFmtId="0" fontId="30" fillId="19" borderId="6" xfId="0" applyFont="1" applyFill="1" applyBorder="1" applyAlignment="1">
      <alignment horizontal="left" vertical="center"/>
    </xf>
    <xf numFmtId="0" fontId="57" fillId="3" borderId="9" xfId="0" applyFont="1" applyFill="1" applyBorder="1" applyAlignment="1">
      <alignment horizontal="left" vertical="center"/>
    </xf>
    <xf numFmtId="0" fontId="57" fillId="3" borderId="8" xfId="0" applyFont="1" applyFill="1" applyBorder="1" applyAlignment="1">
      <alignment horizontal="left" vertical="center"/>
    </xf>
    <xf numFmtId="0" fontId="57" fillId="3" borderId="6" xfId="0" applyFont="1" applyFill="1" applyBorder="1" applyAlignment="1">
      <alignment horizontal="left" vertical="center"/>
    </xf>
    <xf numFmtId="0" fontId="49" fillId="0" borderId="13" xfId="0" applyFont="1" applyBorder="1"/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opLeftCell="A46" zoomScaleNormal="100" workbookViewId="0">
      <selection activeCell="U60" sqref="U60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  <col min="53" max="55" width="5.625" customWidth="1"/>
  </cols>
  <sheetData>
    <row r="1" spans="1:63" ht="16.149999999999999" customHeight="1" thickBot="1" x14ac:dyDescent="0.35">
      <c r="A1" s="452" t="s">
        <v>855</v>
      </c>
      <c r="B1" s="453"/>
      <c r="C1" s="453"/>
      <c r="D1" s="453"/>
      <c r="E1" s="453"/>
      <c r="F1" s="453"/>
      <c r="G1" s="453"/>
      <c r="H1" s="453"/>
      <c r="I1" s="453"/>
      <c r="J1" s="454"/>
      <c r="K1" s="457" t="s">
        <v>301</v>
      </c>
      <c r="L1" s="436" t="s">
        <v>20</v>
      </c>
      <c r="M1" s="437"/>
      <c r="N1" s="438"/>
      <c r="O1" s="436" t="s">
        <v>61</v>
      </c>
      <c r="P1" s="437"/>
      <c r="Q1" s="438"/>
      <c r="R1" s="436" t="s">
        <v>300</v>
      </c>
      <c r="S1" s="438"/>
      <c r="T1" s="422" t="s">
        <v>365</v>
      </c>
      <c r="U1" s="446"/>
      <c r="V1" s="447"/>
      <c r="W1" s="428" t="s">
        <v>854</v>
      </c>
      <c r="X1" s="429"/>
      <c r="Y1" s="430"/>
      <c r="Z1" s="168"/>
      <c r="AA1" s="86"/>
      <c r="AB1" s="279"/>
      <c r="AC1" s="428" t="s">
        <v>700</v>
      </c>
      <c r="AD1" s="429"/>
      <c r="AE1" s="430"/>
      <c r="AF1" s="428" t="s">
        <v>518</v>
      </c>
      <c r="AG1" s="429"/>
      <c r="AH1" s="430"/>
      <c r="AI1" s="428" t="s">
        <v>356</v>
      </c>
      <c r="AJ1" s="429"/>
      <c r="AK1" s="430"/>
      <c r="AL1" s="428" t="s">
        <v>272</v>
      </c>
      <c r="AM1" s="429"/>
      <c r="AN1" s="430"/>
      <c r="AO1" s="428" t="s">
        <v>115</v>
      </c>
      <c r="AP1" s="429"/>
      <c r="AQ1" s="430"/>
      <c r="AR1" s="428" t="s">
        <v>83</v>
      </c>
      <c r="AS1" s="429"/>
      <c r="AT1" s="430"/>
      <c r="AU1" s="428" t="s">
        <v>78</v>
      </c>
      <c r="AV1" s="429"/>
      <c r="AW1" s="430"/>
      <c r="AX1" s="428" t="s">
        <v>60</v>
      </c>
      <c r="AY1" s="429"/>
      <c r="AZ1" s="430"/>
      <c r="BA1" s="428" t="s">
        <v>73</v>
      </c>
      <c r="BB1" s="429"/>
      <c r="BC1" s="430"/>
      <c r="BD1" s="86"/>
      <c r="BE1" s="4"/>
      <c r="BF1" s="4"/>
      <c r="BG1" s="4"/>
      <c r="BI1" s="4"/>
    </row>
    <row r="2" spans="1:63" ht="14.95" customHeight="1" thickBot="1" x14ac:dyDescent="0.3">
      <c r="A2" s="341" t="s">
        <v>0</v>
      </c>
      <c r="B2" s="342" t="s">
        <v>355</v>
      </c>
      <c r="C2" s="408" t="s">
        <v>42</v>
      </c>
      <c r="D2" s="344" t="s">
        <v>564</v>
      </c>
      <c r="E2" s="409" t="s">
        <v>1</v>
      </c>
      <c r="F2" s="212" t="s">
        <v>2</v>
      </c>
      <c r="G2" s="111" t="s">
        <v>355</v>
      </c>
      <c r="H2" s="359" t="s">
        <v>42</v>
      </c>
      <c r="I2" s="248" t="s">
        <v>564</v>
      </c>
      <c r="J2" s="215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48"/>
      <c r="U2" s="449"/>
      <c r="V2" s="450"/>
      <c r="W2" s="431"/>
      <c r="X2" s="432"/>
      <c r="Y2" s="433"/>
      <c r="Z2" s="168"/>
      <c r="AA2" s="86"/>
      <c r="AB2" s="279"/>
      <c r="AC2" s="431"/>
      <c r="AD2" s="432"/>
      <c r="AE2" s="433"/>
      <c r="AF2" s="431"/>
      <c r="AG2" s="432"/>
      <c r="AH2" s="433"/>
      <c r="AI2" s="431"/>
      <c r="AJ2" s="432"/>
      <c r="AK2" s="433"/>
      <c r="AL2" s="431"/>
      <c r="AM2" s="432"/>
      <c r="AN2" s="433"/>
      <c r="AO2" s="431"/>
      <c r="AP2" s="432"/>
      <c r="AQ2" s="433"/>
      <c r="AR2" s="431"/>
      <c r="AS2" s="432"/>
      <c r="AT2" s="433"/>
      <c r="AU2" s="431"/>
      <c r="AV2" s="432"/>
      <c r="AW2" s="433"/>
      <c r="AX2" s="431"/>
      <c r="AY2" s="432"/>
      <c r="AZ2" s="433"/>
      <c r="BA2" s="431"/>
      <c r="BB2" s="432"/>
      <c r="BC2" s="433"/>
      <c r="BD2" s="86"/>
      <c r="BI2" s="4"/>
      <c r="BJ2" s="4"/>
      <c r="BK2" s="4"/>
    </row>
    <row r="3" spans="1:63" ht="14.95" customHeight="1" thickBot="1" x14ac:dyDescent="0.3">
      <c r="A3" s="340" t="s">
        <v>71</v>
      </c>
      <c r="B3" s="346">
        <v>1</v>
      </c>
      <c r="C3" s="410">
        <v>0</v>
      </c>
      <c r="D3" s="348">
        <v>2</v>
      </c>
      <c r="E3" s="411">
        <f t="shared" ref="E3:E33" si="0">SUM(B3:D3)</f>
        <v>3</v>
      </c>
      <c r="F3" s="213" t="s">
        <v>71</v>
      </c>
      <c r="G3" s="79">
        <v>5</v>
      </c>
      <c r="H3" s="360">
        <v>0</v>
      </c>
      <c r="I3" s="249">
        <v>10</v>
      </c>
      <c r="J3" s="216">
        <f t="shared" ref="J3:J33" si="1">SUM(G3:I3)</f>
        <v>15</v>
      </c>
      <c r="K3" s="233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80" t="s">
        <v>74</v>
      </c>
      <c r="U3" s="80" t="s">
        <v>15</v>
      </c>
      <c r="V3" s="80" t="s">
        <v>16</v>
      </c>
      <c r="W3" s="80" t="s">
        <v>74</v>
      </c>
      <c r="X3" s="80" t="s">
        <v>15</v>
      </c>
      <c r="Y3" s="80" t="s">
        <v>16</v>
      </c>
      <c r="Z3" s="94"/>
      <c r="AA3" s="95"/>
      <c r="AB3" s="206"/>
      <c r="AC3" s="85" t="s">
        <v>74</v>
      </c>
      <c r="AD3" s="80" t="s">
        <v>15</v>
      </c>
      <c r="AE3" s="80" t="s">
        <v>16</v>
      </c>
      <c r="AF3" s="85" t="s">
        <v>74</v>
      </c>
      <c r="AG3" s="80" t="s">
        <v>15</v>
      </c>
      <c r="AH3" s="80" t="s">
        <v>16</v>
      </c>
      <c r="AI3" s="85" t="s">
        <v>74</v>
      </c>
      <c r="AJ3" s="80" t="s">
        <v>15</v>
      </c>
      <c r="AK3" s="80" t="s">
        <v>16</v>
      </c>
      <c r="AL3" s="85" t="s">
        <v>74</v>
      </c>
      <c r="AM3" s="80" t="s">
        <v>15</v>
      </c>
      <c r="AN3" s="80" t="s">
        <v>16</v>
      </c>
      <c r="AO3" s="85" t="s">
        <v>74</v>
      </c>
      <c r="AP3" s="80" t="s">
        <v>15</v>
      </c>
      <c r="AQ3" s="98" t="s">
        <v>16</v>
      </c>
      <c r="AR3" s="98" t="s">
        <v>74</v>
      </c>
      <c r="AS3" s="80" t="s">
        <v>15</v>
      </c>
      <c r="AT3" s="80" t="s">
        <v>16</v>
      </c>
      <c r="AU3" s="80" t="s">
        <v>74</v>
      </c>
      <c r="AV3" s="80" t="s">
        <v>15</v>
      </c>
      <c r="AW3" s="80" t="s">
        <v>16</v>
      </c>
      <c r="AX3" s="80" t="s">
        <v>74</v>
      </c>
      <c r="AY3" s="80" t="s">
        <v>15</v>
      </c>
      <c r="AZ3" s="80" t="s">
        <v>16</v>
      </c>
      <c r="BA3" s="80" t="s">
        <v>74</v>
      </c>
      <c r="BB3" s="80" t="s">
        <v>15</v>
      </c>
      <c r="BC3" s="80" t="s">
        <v>16</v>
      </c>
      <c r="BD3" s="46"/>
      <c r="BE3" s="4"/>
      <c r="BF3" s="4"/>
      <c r="BG3" s="4"/>
    </row>
    <row r="4" spans="1:63" ht="14.95" customHeight="1" thickBot="1" x14ac:dyDescent="0.3">
      <c r="A4" s="340" t="s">
        <v>477</v>
      </c>
      <c r="B4" s="346">
        <v>0</v>
      </c>
      <c r="C4" s="410">
        <v>0</v>
      </c>
      <c r="D4" s="348">
        <v>0</v>
      </c>
      <c r="E4" s="411">
        <f t="shared" si="0"/>
        <v>0</v>
      </c>
      <c r="F4" s="213" t="s">
        <v>477</v>
      </c>
      <c r="G4" s="79">
        <v>10</v>
      </c>
      <c r="H4" s="360">
        <v>2</v>
      </c>
      <c r="I4" s="249">
        <v>0</v>
      </c>
      <c r="J4" s="216">
        <f t="shared" si="1"/>
        <v>12</v>
      </c>
      <c r="K4" s="412" t="s">
        <v>477</v>
      </c>
      <c r="L4" s="349">
        <v>4</v>
      </c>
      <c r="M4" s="349">
        <v>8</v>
      </c>
      <c r="N4" s="350">
        <f t="shared" ref="N4" si="2">SUM(L4/M4)*100</f>
        <v>50</v>
      </c>
      <c r="O4" s="349" t="s">
        <v>21</v>
      </c>
      <c r="P4" s="349" t="s">
        <v>21</v>
      </c>
      <c r="Q4" s="350" t="s">
        <v>21</v>
      </c>
      <c r="R4" s="413">
        <v>-2</v>
      </c>
      <c r="S4" s="345">
        <v>-2</v>
      </c>
      <c r="T4" s="7">
        <v>20</v>
      </c>
      <c r="U4" s="7">
        <v>30</v>
      </c>
      <c r="V4" s="156">
        <v>66.666666666666657</v>
      </c>
      <c r="W4" s="7">
        <v>41</v>
      </c>
      <c r="X4" s="7">
        <v>53</v>
      </c>
      <c r="Y4" s="156">
        <v>77.358490566037744</v>
      </c>
      <c r="Z4" s="94"/>
      <c r="AA4" s="95"/>
      <c r="AB4" s="206"/>
      <c r="AC4" s="151">
        <v>5</v>
      </c>
      <c r="AD4" s="7">
        <v>6</v>
      </c>
      <c r="AE4" s="156">
        <f>SUM(AC4/AD4)*100</f>
        <v>83.333333333333343</v>
      </c>
      <c r="AF4" s="85" t="s">
        <v>21</v>
      </c>
      <c r="AG4" s="80" t="s">
        <v>21</v>
      </c>
      <c r="AH4" s="179" t="s">
        <v>21</v>
      </c>
      <c r="AI4" s="151" t="s">
        <v>21</v>
      </c>
      <c r="AJ4" s="7" t="s">
        <v>21</v>
      </c>
      <c r="AK4" s="6" t="s">
        <v>21</v>
      </c>
      <c r="AL4" s="6" t="s">
        <v>21</v>
      </c>
      <c r="AM4" s="6" t="s">
        <v>21</v>
      </c>
      <c r="AN4" s="6" t="s">
        <v>21</v>
      </c>
      <c r="AO4" s="6" t="s">
        <v>21</v>
      </c>
      <c r="AP4" s="6" t="s">
        <v>21</v>
      </c>
      <c r="AQ4" s="6" t="s">
        <v>21</v>
      </c>
      <c r="AR4" s="6" t="s">
        <v>21</v>
      </c>
      <c r="AS4" s="6" t="s">
        <v>21</v>
      </c>
      <c r="AT4" s="6" t="s">
        <v>21</v>
      </c>
      <c r="AU4" s="6" t="s">
        <v>21</v>
      </c>
      <c r="AV4" s="6" t="s">
        <v>21</v>
      </c>
      <c r="AW4" s="6" t="s">
        <v>21</v>
      </c>
      <c r="AX4" s="6" t="s">
        <v>21</v>
      </c>
      <c r="AY4" s="6" t="s">
        <v>21</v>
      </c>
      <c r="AZ4" s="6" t="s">
        <v>21</v>
      </c>
      <c r="BA4" s="6" t="s">
        <v>21</v>
      </c>
      <c r="BB4" s="155" t="s">
        <v>21</v>
      </c>
      <c r="BC4" s="155" t="s">
        <v>21</v>
      </c>
      <c r="BD4" s="83"/>
    </row>
    <row r="5" spans="1:63" ht="14.95" customHeight="1" thickBot="1" x14ac:dyDescent="0.3">
      <c r="A5" s="340" t="s">
        <v>916</v>
      </c>
      <c r="B5" s="346">
        <v>6</v>
      </c>
      <c r="C5" s="410">
        <v>2</v>
      </c>
      <c r="D5" s="348">
        <v>0</v>
      </c>
      <c r="E5" s="411">
        <f t="shared" si="0"/>
        <v>8</v>
      </c>
      <c r="F5" s="213" t="s">
        <v>916</v>
      </c>
      <c r="G5" s="79">
        <v>30</v>
      </c>
      <c r="H5" s="360">
        <v>10</v>
      </c>
      <c r="I5" s="249">
        <v>0</v>
      </c>
      <c r="J5" s="216">
        <f t="shared" si="1"/>
        <v>40</v>
      </c>
      <c r="K5" s="340" t="s">
        <v>331</v>
      </c>
      <c r="L5" s="349" t="s">
        <v>21</v>
      </c>
      <c r="M5" s="349" t="s">
        <v>21</v>
      </c>
      <c r="N5" s="350" t="s">
        <v>21</v>
      </c>
      <c r="O5" s="349" t="s">
        <v>21</v>
      </c>
      <c r="P5" s="349" t="s">
        <v>21</v>
      </c>
      <c r="Q5" s="350" t="s">
        <v>21</v>
      </c>
      <c r="R5" s="349">
        <v>2</v>
      </c>
      <c r="S5" s="349">
        <v>2</v>
      </c>
      <c r="T5" s="7" t="s">
        <v>21</v>
      </c>
      <c r="U5" s="7" t="s">
        <v>21</v>
      </c>
      <c r="V5" s="7" t="s">
        <v>21</v>
      </c>
      <c r="W5" s="7">
        <v>2</v>
      </c>
      <c r="X5" s="7">
        <v>2</v>
      </c>
      <c r="Y5" s="7">
        <v>100</v>
      </c>
      <c r="Z5" s="94"/>
      <c r="AA5" s="95"/>
      <c r="AB5" s="206"/>
      <c r="AC5" s="151" t="s">
        <v>21</v>
      </c>
      <c r="AD5" s="7" t="s">
        <v>21</v>
      </c>
      <c r="AE5" s="156" t="s">
        <v>21</v>
      </c>
      <c r="AF5" s="85" t="s">
        <v>21</v>
      </c>
      <c r="AG5" s="80" t="s">
        <v>21</v>
      </c>
      <c r="AH5" s="179" t="s">
        <v>21</v>
      </c>
      <c r="AI5" s="7" t="s">
        <v>21</v>
      </c>
      <c r="AJ5" s="7" t="s">
        <v>21</v>
      </c>
      <c r="AK5" s="156" t="s">
        <v>21</v>
      </c>
      <c r="AL5" s="85" t="s">
        <v>21</v>
      </c>
      <c r="AM5" s="80" t="s">
        <v>21</v>
      </c>
      <c r="AN5" s="179" t="s">
        <v>21</v>
      </c>
      <c r="AO5" s="7" t="s">
        <v>21</v>
      </c>
      <c r="AP5" s="7" t="s">
        <v>21</v>
      </c>
      <c r="AQ5" s="7" t="s">
        <v>21</v>
      </c>
      <c r="AR5" s="7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  <c r="BC5" s="7" t="s">
        <v>21</v>
      </c>
      <c r="BD5" s="84"/>
      <c r="BI5" s="4"/>
      <c r="BJ5" s="4"/>
      <c r="BK5" s="4"/>
    </row>
    <row r="6" spans="1:63" ht="14.95" customHeight="1" thickBot="1" x14ac:dyDescent="0.3">
      <c r="A6" s="340" t="s">
        <v>112</v>
      </c>
      <c r="B6" s="346">
        <v>1</v>
      </c>
      <c r="C6" s="410">
        <v>0</v>
      </c>
      <c r="D6" s="348">
        <v>0</v>
      </c>
      <c r="E6" s="411">
        <f t="shared" si="0"/>
        <v>1</v>
      </c>
      <c r="F6" s="214" t="s">
        <v>112</v>
      </c>
      <c r="G6" s="79">
        <v>5</v>
      </c>
      <c r="H6" s="360">
        <v>0</v>
      </c>
      <c r="I6" s="249">
        <v>0</v>
      </c>
      <c r="J6" s="216">
        <f t="shared" si="1"/>
        <v>5</v>
      </c>
      <c r="K6" s="340" t="s">
        <v>306</v>
      </c>
      <c r="L6" s="349">
        <v>1</v>
      </c>
      <c r="M6" s="349">
        <v>2</v>
      </c>
      <c r="N6" s="350">
        <f t="shared" ref="N6" si="3">SUM(L6/M6)*100</f>
        <v>50</v>
      </c>
      <c r="O6" s="349" t="s">
        <v>21</v>
      </c>
      <c r="P6" s="349" t="s">
        <v>21</v>
      </c>
      <c r="Q6" s="350" t="s">
        <v>21</v>
      </c>
      <c r="R6" s="349">
        <v>-1</v>
      </c>
      <c r="S6" s="349">
        <v>-1</v>
      </c>
      <c r="T6" s="151" t="s">
        <v>21</v>
      </c>
      <c r="U6" s="7" t="s">
        <v>21</v>
      </c>
      <c r="V6" s="156" t="s">
        <v>21</v>
      </c>
      <c r="W6" s="151" t="s">
        <v>21</v>
      </c>
      <c r="X6" s="7" t="s">
        <v>21</v>
      </c>
      <c r="Y6" s="156" t="s">
        <v>21</v>
      </c>
      <c r="Z6" s="94"/>
      <c r="AA6" s="95"/>
      <c r="AB6" s="206"/>
      <c r="AC6" s="151" t="s">
        <v>21</v>
      </c>
      <c r="AD6" s="7" t="s">
        <v>21</v>
      </c>
      <c r="AE6" s="156" t="s">
        <v>21</v>
      </c>
      <c r="AF6" s="151" t="s">
        <v>21</v>
      </c>
      <c r="AG6" s="7" t="s">
        <v>21</v>
      </c>
      <c r="AH6" s="156" t="s">
        <v>21</v>
      </c>
      <c r="AI6" s="151" t="s">
        <v>21</v>
      </c>
      <c r="AJ6" s="7" t="s">
        <v>21</v>
      </c>
      <c r="AK6" s="156" t="s">
        <v>21</v>
      </c>
      <c r="AL6" s="151" t="s">
        <v>21</v>
      </c>
      <c r="AM6" s="7" t="s">
        <v>21</v>
      </c>
      <c r="AN6" s="156" t="s">
        <v>21</v>
      </c>
      <c r="AO6" s="151" t="s">
        <v>21</v>
      </c>
      <c r="AP6" s="7" t="s">
        <v>21</v>
      </c>
      <c r="AQ6" s="156" t="s">
        <v>21</v>
      </c>
      <c r="AR6" s="151" t="s">
        <v>21</v>
      </c>
      <c r="AS6" s="7" t="s">
        <v>21</v>
      </c>
      <c r="AT6" s="156" t="s">
        <v>21</v>
      </c>
      <c r="AU6" s="151" t="s">
        <v>21</v>
      </c>
      <c r="AV6" s="7" t="s">
        <v>21</v>
      </c>
      <c r="AW6" s="156" t="s">
        <v>21</v>
      </c>
      <c r="AX6" s="151" t="s">
        <v>21</v>
      </c>
      <c r="AY6" s="7" t="s">
        <v>21</v>
      </c>
      <c r="AZ6" s="156" t="s">
        <v>21</v>
      </c>
      <c r="BA6" s="151" t="s">
        <v>21</v>
      </c>
      <c r="BB6" s="7" t="s">
        <v>21</v>
      </c>
      <c r="BC6" s="156" t="s">
        <v>21</v>
      </c>
      <c r="BD6" s="84"/>
    </row>
    <row r="7" spans="1:63" ht="14.95" customHeight="1" thickBot="1" x14ac:dyDescent="0.3">
      <c r="A7" s="340" t="s">
        <v>330</v>
      </c>
      <c r="B7" s="346">
        <v>0</v>
      </c>
      <c r="C7" s="410">
        <v>0</v>
      </c>
      <c r="D7" s="348">
        <v>0</v>
      </c>
      <c r="E7" s="411">
        <f t="shared" si="0"/>
        <v>0</v>
      </c>
      <c r="F7" s="214" t="s">
        <v>330</v>
      </c>
      <c r="G7" s="79">
        <v>0</v>
      </c>
      <c r="H7" s="360">
        <v>0</v>
      </c>
      <c r="I7" s="249">
        <v>0</v>
      </c>
      <c r="J7" s="216">
        <f t="shared" si="1"/>
        <v>0</v>
      </c>
      <c r="K7" s="340" t="s">
        <v>519</v>
      </c>
      <c r="L7" s="349" t="s">
        <v>21</v>
      </c>
      <c r="M7" s="349" t="s">
        <v>21</v>
      </c>
      <c r="N7" s="350" t="s">
        <v>21</v>
      </c>
      <c r="O7" s="349" t="s">
        <v>21</v>
      </c>
      <c r="P7" s="349" t="s">
        <v>21</v>
      </c>
      <c r="Q7" s="350" t="s">
        <v>21</v>
      </c>
      <c r="R7" s="349">
        <v>-1</v>
      </c>
      <c r="S7" s="349">
        <v>-1</v>
      </c>
      <c r="T7" s="151" t="s">
        <v>21</v>
      </c>
      <c r="U7" s="7" t="s">
        <v>21</v>
      </c>
      <c r="V7" s="156" t="s">
        <v>21</v>
      </c>
      <c r="W7" s="151" t="s">
        <v>21</v>
      </c>
      <c r="X7" s="7" t="s">
        <v>21</v>
      </c>
      <c r="Y7" s="156" t="s">
        <v>21</v>
      </c>
      <c r="Z7" s="94"/>
      <c r="AA7" s="95"/>
      <c r="AB7" s="206"/>
      <c r="AC7" s="151" t="s">
        <v>21</v>
      </c>
      <c r="AD7" s="7" t="s">
        <v>21</v>
      </c>
      <c r="AE7" s="156" t="s">
        <v>21</v>
      </c>
      <c r="AF7" s="85" t="s">
        <v>21</v>
      </c>
      <c r="AG7" s="80" t="s">
        <v>21</v>
      </c>
      <c r="AH7" s="179" t="s">
        <v>21</v>
      </c>
      <c r="AI7" s="151">
        <v>0</v>
      </c>
      <c r="AJ7" s="7">
        <v>1</v>
      </c>
      <c r="AK7" s="7">
        <v>0</v>
      </c>
      <c r="AL7" s="6" t="s">
        <v>21</v>
      </c>
      <c r="AM7" s="7" t="s">
        <v>21</v>
      </c>
      <c r="AN7" s="7" t="s">
        <v>21</v>
      </c>
      <c r="AO7" s="7" t="s">
        <v>21</v>
      </c>
      <c r="AP7" s="7" t="s">
        <v>21</v>
      </c>
      <c r="AQ7" s="7" t="s">
        <v>21</v>
      </c>
      <c r="AR7" s="7" t="s">
        <v>21</v>
      </c>
      <c r="AS7" s="7" t="s">
        <v>21</v>
      </c>
      <c r="AT7" s="7" t="s">
        <v>21</v>
      </c>
      <c r="AU7" s="7" t="s">
        <v>21</v>
      </c>
      <c r="AV7" s="7" t="s">
        <v>21</v>
      </c>
      <c r="AW7" s="7" t="s">
        <v>21</v>
      </c>
      <c r="AX7" s="7" t="s">
        <v>21</v>
      </c>
      <c r="AY7" s="7" t="s">
        <v>21</v>
      </c>
      <c r="AZ7" s="7" t="s">
        <v>21</v>
      </c>
      <c r="BA7" s="7" t="s">
        <v>21</v>
      </c>
      <c r="BB7" s="7" t="s">
        <v>21</v>
      </c>
      <c r="BC7" s="7" t="s">
        <v>21</v>
      </c>
      <c r="BD7" s="84"/>
    </row>
    <row r="8" spans="1:63" ht="14.95" customHeight="1" thickBot="1" x14ac:dyDescent="0.3">
      <c r="A8" s="340" t="s">
        <v>514</v>
      </c>
      <c r="B8" s="346">
        <v>1</v>
      </c>
      <c r="C8" s="410">
        <v>0</v>
      </c>
      <c r="D8" s="348">
        <v>0</v>
      </c>
      <c r="E8" s="411">
        <f t="shared" si="0"/>
        <v>1</v>
      </c>
      <c r="F8" s="214" t="s">
        <v>514</v>
      </c>
      <c r="G8" s="79">
        <v>5</v>
      </c>
      <c r="H8" s="360">
        <v>0</v>
      </c>
      <c r="I8" s="249">
        <v>0</v>
      </c>
      <c r="J8" s="216">
        <f t="shared" si="1"/>
        <v>5</v>
      </c>
      <c r="K8" s="340" t="s">
        <v>919</v>
      </c>
      <c r="L8" s="349">
        <v>64</v>
      </c>
      <c r="M8" s="349">
        <v>88</v>
      </c>
      <c r="N8" s="350">
        <f t="shared" ref="N8" si="4">SUM(L8/M8)*100</f>
        <v>72.727272727272734</v>
      </c>
      <c r="O8" s="349">
        <v>4</v>
      </c>
      <c r="P8" s="349">
        <v>6</v>
      </c>
      <c r="Q8" s="350">
        <f t="shared" ref="Q8" si="5">SUM(O8/P8)*100</f>
        <v>66.666666666666657</v>
      </c>
      <c r="R8" s="349">
        <v>1</v>
      </c>
      <c r="S8" s="349">
        <v>1</v>
      </c>
      <c r="T8" s="7">
        <v>89</v>
      </c>
      <c r="U8" s="7">
        <v>103</v>
      </c>
      <c r="V8" s="156">
        <v>86</v>
      </c>
      <c r="W8" s="7">
        <v>1</v>
      </c>
      <c r="X8" s="7">
        <v>3</v>
      </c>
      <c r="Y8" s="156">
        <v>33</v>
      </c>
      <c r="Z8" s="94"/>
      <c r="AA8" s="95"/>
      <c r="AB8" s="206"/>
      <c r="AC8" s="151">
        <v>4</v>
      </c>
      <c r="AD8" s="7">
        <v>6</v>
      </c>
      <c r="AE8" s="156">
        <f t="shared" ref="AE8" si="6">SUM(AC8/AD8)*100</f>
        <v>66.666666666666657</v>
      </c>
      <c r="AF8" s="151">
        <v>0</v>
      </c>
      <c r="AG8" s="7">
        <v>1</v>
      </c>
      <c r="AH8" s="156">
        <f t="shared" ref="AH8" si="7">SUM(AF8/AG8)*100</f>
        <v>0</v>
      </c>
      <c r="AI8" s="151">
        <v>38</v>
      </c>
      <c r="AJ8" s="7">
        <v>49</v>
      </c>
      <c r="AK8" s="156">
        <f t="shared" ref="AK8" si="8">SUM(AI8/AJ8)*100</f>
        <v>77.551020408163268</v>
      </c>
      <c r="AL8" s="151">
        <v>34</v>
      </c>
      <c r="AM8" s="7">
        <v>42</v>
      </c>
      <c r="AN8" s="156">
        <f t="shared" ref="AN8" si="9">SUM(AL8/AM8)*100</f>
        <v>80.952380952380949</v>
      </c>
      <c r="AO8" s="151">
        <v>31</v>
      </c>
      <c r="AP8" s="7">
        <v>38</v>
      </c>
      <c r="AQ8" s="156">
        <v>81.578947368421055</v>
      </c>
      <c r="AR8" s="392">
        <v>25</v>
      </c>
      <c r="AS8" s="156">
        <v>40</v>
      </c>
      <c r="AT8" s="156">
        <v>62.5</v>
      </c>
      <c r="AU8" s="156">
        <v>29</v>
      </c>
      <c r="AV8" s="156">
        <v>38</v>
      </c>
      <c r="AW8" s="156">
        <v>76.31578947368422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  <c r="BC8" s="7" t="s">
        <v>21</v>
      </c>
    </row>
    <row r="9" spans="1:63" ht="14.95" customHeight="1" thickBot="1" x14ac:dyDescent="0.3">
      <c r="A9" s="340" t="s">
        <v>805</v>
      </c>
      <c r="B9" s="346">
        <v>0</v>
      </c>
      <c r="C9" s="410">
        <v>0</v>
      </c>
      <c r="D9" s="348">
        <v>0</v>
      </c>
      <c r="E9" s="411">
        <f t="shared" si="0"/>
        <v>0</v>
      </c>
      <c r="F9" s="214" t="s">
        <v>805</v>
      </c>
      <c r="G9" s="79">
        <v>0</v>
      </c>
      <c r="H9" s="360">
        <v>0</v>
      </c>
      <c r="I9" s="249">
        <v>0</v>
      </c>
      <c r="J9" s="216">
        <f t="shared" si="1"/>
        <v>0</v>
      </c>
      <c r="K9" s="341" t="s">
        <v>333</v>
      </c>
      <c r="L9" s="349">
        <v>8</v>
      </c>
      <c r="M9" s="349">
        <v>13</v>
      </c>
      <c r="N9" s="350">
        <f t="shared" ref="N9" si="10">SUM(L9/M9)*100</f>
        <v>61.53846153846154</v>
      </c>
      <c r="O9" s="349" t="s">
        <v>21</v>
      </c>
      <c r="P9" s="349" t="s">
        <v>21</v>
      </c>
      <c r="Q9" s="350" t="s">
        <v>21</v>
      </c>
      <c r="R9" s="345">
        <v>2</v>
      </c>
      <c r="S9" s="345">
        <v>2</v>
      </c>
      <c r="T9" s="7">
        <v>31</v>
      </c>
      <c r="U9" s="7">
        <v>35</v>
      </c>
      <c r="V9" s="7">
        <v>87</v>
      </c>
      <c r="W9" s="7">
        <v>18</v>
      </c>
      <c r="X9" s="7">
        <v>26</v>
      </c>
      <c r="Y9" s="7">
        <v>69</v>
      </c>
      <c r="Z9" s="94"/>
      <c r="AA9" s="95"/>
      <c r="AB9" s="206"/>
      <c r="AC9" s="151">
        <v>18</v>
      </c>
      <c r="AD9" s="7">
        <v>26</v>
      </c>
      <c r="AE9" s="156">
        <f>SUM(AC9/AD9)*100</f>
        <v>69.230769230769226</v>
      </c>
      <c r="AF9" s="85">
        <v>1</v>
      </c>
      <c r="AG9" s="80">
        <v>1</v>
      </c>
      <c r="AH9" s="179">
        <f>SUM(AF9/AG9)*100</f>
        <v>100</v>
      </c>
      <c r="AI9" s="151">
        <v>14</v>
      </c>
      <c r="AJ9" s="7">
        <v>20</v>
      </c>
      <c r="AK9" s="156">
        <f t="shared" ref="AK9" si="11">SUM(AI9/AJ9)*100</f>
        <v>70</v>
      </c>
      <c r="AL9" s="6">
        <v>15</v>
      </c>
      <c r="AM9" s="7">
        <v>20</v>
      </c>
      <c r="AN9" s="156">
        <f>SUM(AL9/AM9)*100</f>
        <v>75</v>
      </c>
      <c r="AO9" s="151">
        <v>7</v>
      </c>
      <c r="AP9" s="7">
        <v>8</v>
      </c>
      <c r="AQ9" s="156">
        <f>SUM(AO9/AP9)*100</f>
        <v>87.5</v>
      </c>
      <c r="AR9" s="151">
        <v>7</v>
      </c>
      <c r="AS9" s="7">
        <v>9</v>
      </c>
      <c r="AT9" s="156">
        <f>SUM(AR9/AS9)*100</f>
        <v>77.777777777777786</v>
      </c>
      <c r="AU9" s="7">
        <v>3</v>
      </c>
      <c r="AV9" s="7">
        <v>3</v>
      </c>
      <c r="AW9" s="156">
        <f>SUM(AU9/AV9)*100</f>
        <v>100</v>
      </c>
      <c r="AX9" s="7">
        <v>3</v>
      </c>
      <c r="AY9" s="7">
        <v>4</v>
      </c>
      <c r="AZ9" s="156">
        <f>SUM(AX9/AY9)*100</f>
        <v>75</v>
      </c>
      <c r="BA9" s="155" t="s">
        <v>21</v>
      </c>
      <c r="BB9" s="155" t="s">
        <v>21</v>
      </c>
      <c r="BC9" s="155" t="s">
        <v>21</v>
      </c>
    </row>
    <row r="10" spans="1:63" ht="14.95" customHeight="1" thickBot="1" x14ac:dyDescent="0.3">
      <c r="A10" s="340" t="s">
        <v>833</v>
      </c>
      <c r="B10" s="346">
        <v>0</v>
      </c>
      <c r="C10" s="410">
        <v>0</v>
      </c>
      <c r="D10" s="348">
        <v>1</v>
      </c>
      <c r="E10" s="411">
        <f t="shared" si="0"/>
        <v>1</v>
      </c>
      <c r="F10" s="214" t="s">
        <v>833</v>
      </c>
      <c r="G10" s="79">
        <v>0</v>
      </c>
      <c r="H10" s="360">
        <v>0</v>
      </c>
      <c r="I10" s="249">
        <v>5</v>
      </c>
      <c r="J10" s="216">
        <f t="shared" si="1"/>
        <v>5</v>
      </c>
      <c r="K10" s="341" t="s">
        <v>613</v>
      </c>
      <c r="L10" s="349" t="s">
        <v>21</v>
      </c>
      <c r="M10" s="349" t="s">
        <v>21</v>
      </c>
      <c r="N10" s="350" t="s">
        <v>21</v>
      </c>
      <c r="O10" s="349" t="s">
        <v>21</v>
      </c>
      <c r="P10" s="349" t="s">
        <v>21</v>
      </c>
      <c r="Q10" s="350" t="s">
        <v>21</v>
      </c>
      <c r="R10" s="349">
        <v>4</v>
      </c>
      <c r="S10" s="349">
        <v>4</v>
      </c>
      <c r="T10" s="151">
        <v>6</v>
      </c>
      <c r="U10" s="7">
        <v>7</v>
      </c>
      <c r="V10" s="156">
        <v>85.714285714285708</v>
      </c>
      <c r="W10" s="151" t="s">
        <v>21</v>
      </c>
      <c r="X10" s="7" t="s">
        <v>21</v>
      </c>
      <c r="Y10" s="156" t="s">
        <v>21</v>
      </c>
      <c r="Z10" s="94"/>
      <c r="AA10" s="95"/>
      <c r="AB10" s="206"/>
      <c r="AC10" s="151" t="s">
        <v>21</v>
      </c>
      <c r="AD10" s="7" t="s">
        <v>21</v>
      </c>
      <c r="AE10" s="156" t="s">
        <v>21</v>
      </c>
      <c r="AF10" s="85" t="s">
        <v>21</v>
      </c>
      <c r="AG10" s="80" t="s">
        <v>21</v>
      </c>
      <c r="AH10" s="179" t="s">
        <v>21</v>
      </c>
      <c r="AI10" s="6" t="s">
        <v>21</v>
      </c>
      <c r="AJ10" s="7" t="s">
        <v>21</v>
      </c>
      <c r="AK10" s="7" t="s">
        <v>21</v>
      </c>
      <c r="AL10" s="6" t="s">
        <v>21</v>
      </c>
      <c r="AM10" s="7" t="s">
        <v>21</v>
      </c>
      <c r="AN10" s="7" t="s">
        <v>21</v>
      </c>
      <c r="AO10" s="7" t="s">
        <v>21</v>
      </c>
      <c r="AP10" s="7" t="s">
        <v>21</v>
      </c>
      <c r="AQ10" s="7" t="s">
        <v>21</v>
      </c>
      <c r="AR10" s="7" t="s">
        <v>21</v>
      </c>
      <c r="AS10" s="7" t="s">
        <v>21</v>
      </c>
      <c r="AT10" s="7" t="s">
        <v>21</v>
      </c>
      <c r="AU10" s="7" t="s">
        <v>21</v>
      </c>
      <c r="AV10" s="7" t="s">
        <v>21</v>
      </c>
      <c r="AW10" s="7" t="s">
        <v>21</v>
      </c>
      <c r="AX10" s="7" t="s">
        <v>21</v>
      </c>
      <c r="AY10" s="7" t="s">
        <v>21</v>
      </c>
      <c r="AZ10" s="7" t="s">
        <v>21</v>
      </c>
      <c r="BA10" s="7" t="s">
        <v>21</v>
      </c>
      <c r="BB10" s="7" t="s">
        <v>21</v>
      </c>
      <c r="BC10" s="7" t="s">
        <v>21</v>
      </c>
      <c r="BE10" s="4"/>
      <c r="BF10" s="4"/>
      <c r="BG10" s="4"/>
    </row>
    <row r="11" spans="1:63" ht="14.95" customHeight="1" thickBot="1" x14ac:dyDescent="0.3">
      <c r="A11" s="340" t="s">
        <v>95</v>
      </c>
      <c r="B11" s="346">
        <v>7</v>
      </c>
      <c r="C11" s="410">
        <v>4</v>
      </c>
      <c r="D11" s="348">
        <v>0</v>
      </c>
      <c r="E11" s="411">
        <f t="shared" si="0"/>
        <v>11</v>
      </c>
      <c r="F11" s="214" t="s">
        <v>95</v>
      </c>
      <c r="G11" s="79">
        <v>35</v>
      </c>
      <c r="H11" s="360">
        <v>20</v>
      </c>
      <c r="I11" s="249">
        <v>0</v>
      </c>
      <c r="J11" s="216">
        <f t="shared" si="1"/>
        <v>55</v>
      </c>
      <c r="BA11" s="4"/>
    </row>
    <row r="12" spans="1:63" ht="14.95" customHeight="1" thickBot="1" x14ac:dyDescent="0.3">
      <c r="A12" s="340" t="s">
        <v>959</v>
      </c>
      <c r="B12" s="346">
        <v>1</v>
      </c>
      <c r="C12" s="410">
        <v>2</v>
      </c>
      <c r="D12" s="348">
        <v>0</v>
      </c>
      <c r="E12" s="411">
        <f t="shared" si="0"/>
        <v>3</v>
      </c>
      <c r="F12" s="214" t="s">
        <v>959</v>
      </c>
      <c r="G12" s="79">
        <v>5</v>
      </c>
      <c r="H12" s="360">
        <v>10</v>
      </c>
      <c r="I12" s="249">
        <v>0</v>
      </c>
      <c r="J12" s="216">
        <f t="shared" si="1"/>
        <v>15</v>
      </c>
      <c r="K12" s="455" t="s">
        <v>302</v>
      </c>
      <c r="L12" s="436" t="s">
        <v>20</v>
      </c>
      <c r="M12" s="437"/>
      <c r="N12" s="438"/>
      <c r="O12" s="422" t="s">
        <v>365</v>
      </c>
      <c r="P12" s="423"/>
      <c r="Q12" s="424"/>
      <c r="R12" s="428" t="s">
        <v>854</v>
      </c>
      <c r="S12" s="429"/>
      <c r="T12" s="430"/>
      <c r="U12" s="428" t="s">
        <v>700</v>
      </c>
      <c r="V12" s="429"/>
      <c r="W12" s="430"/>
      <c r="X12" s="86" t="s">
        <v>30</v>
      </c>
      <c r="AC12" s="428" t="s">
        <v>518</v>
      </c>
      <c r="AD12" s="429"/>
      <c r="AE12" s="430"/>
      <c r="AF12" s="428" t="s">
        <v>356</v>
      </c>
      <c r="AG12" s="429"/>
      <c r="AH12" s="430"/>
      <c r="AI12" s="428" t="s">
        <v>272</v>
      </c>
      <c r="AJ12" s="429"/>
      <c r="AK12" s="430"/>
      <c r="AL12" s="428" t="s">
        <v>115</v>
      </c>
      <c r="AM12" s="429"/>
      <c r="AN12" s="430"/>
      <c r="AO12" s="428" t="s">
        <v>83</v>
      </c>
      <c r="AP12" s="429"/>
      <c r="AQ12" s="430"/>
      <c r="AR12" s="428" t="s">
        <v>78</v>
      </c>
      <c r="AS12" s="429"/>
      <c r="AT12" s="430"/>
      <c r="AU12" s="428" t="s">
        <v>60</v>
      </c>
      <c r="AV12" s="429"/>
      <c r="AW12" s="430"/>
      <c r="AZ12" s="4"/>
      <c r="BA12" s="4"/>
      <c r="BB12" s="4"/>
      <c r="BC12" s="4"/>
    </row>
    <row r="13" spans="1:63" ht="14.95" customHeight="1" thickBot="1" x14ac:dyDescent="0.3">
      <c r="A13" s="340" t="s">
        <v>331</v>
      </c>
      <c r="B13" s="346">
        <v>5</v>
      </c>
      <c r="C13" s="410">
        <v>0</v>
      </c>
      <c r="D13" s="348">
        <v>5</v>
      </c>
      <c r="E13" s="411">
        <f t="shared" si="0"/>
        <v>10</v>
      </c>
      <c r="F13" s="214" t="s">
        <v>331</v>
      </c>
      <c r="G13" s="79">
        <v>25</v>
      </c>
      <c r="H13" s="360">
        <v>0</v>
      </c>
      <c r="I13" s="249">
        <v>25</v>
      </c>
      <c r="J13" s="216">
        <f t="shared" si="1"/>
        <v>50</v>
      </c>
      <c r="K13" s="456"/>
      <c r="L13" s="439"/>
      <c r="M13" s="440"/>
      <c r="N13" s="441"/>
      <c r="O13" s="425"/>
      <c r="P13" s="426"/>
      <c r="Q13" s="427"/>
      <c r="R13" s="431"/>
      <c r="S13" s="432"/>
      <c r="T13" s="433"/>
      <c r="U13" s="431"/>
      <c r="V13" s="432"/>
      <c r="W13" s="433"/>
      <c r="AC13" s="431"/>
      <c r="AD13" s="432"/>
      <c r="AE13" s="433"/>
      <c r="AF13" s="431"/>
      <c r="AG13" s="432"/>
      <c r="AH13" s="433"/>
      <c r="AI13" s="431"/>
      <c r="AJ13" s="432"/>
      <c r="AK13" s="433"/>
      <c r="AL13" s="431"/>
      <c r="AM13" s="432"/>
      <c r="AN13" s="433"/>
      <c r="AO13" s="431"/>
      <c r="AP13" s="432"/>
      <c r="AQ13" s="433"/>
      <c r="AR13" s="431"/>
      <c r="AS13" s="432"/>
      <c r="AT13" s="433"/>
      <c r="AU13" s="431"/>
      <c r="AV13" s="432"/>
      <c r="AW13" s="433"/>
    </row>
    <row r="14" spans="1:63" ht="14.95" customHeight="1" thickBot="1" x14ac:dyDescent="0.3">
      <c r="A14" s="340" t="s">
        <v>44</v>
      </c>
      <c r="B14" s="346">
        <v>3</v>
      </c>
      <c r="C14" s="410">
        <v>2</v>
      </c>
      <c r="D14" s="348">
        <v>1</v>
      </c>
      <c r="E14" s="411">
        <f t="shared" si="0"/>
        <v>6</v>
      </c>
      <c r="F14" s="214" t="s">
        <v>44</v>
      </c>
      <c r="G14" s="79">
        <v>15</v>
      </c>
      <c r="H14" s="360">
        <v>10</v>
      </c>
      <c r="I14" s="249">
        <v>5</v>
      </c>
      <c r="J14" s="216">
        <f t="shared" si="1"/>
        <v>30</v>
      </c>
      <c r="K14" s="278"/>
      <c r="L14" s="3" t="s">
        <v>74</v>
      </c>
      <c r="M14" s="3" t="s">
        <v>15</v>
      </c>
      <c r="N14" s="3" t="s">
        <v>16</v>
      </c>
      <c r="O14" s="7" t="s">
        <v>74</v>
      </c>
      <c r="P14" s="7" t="s">
        <v>15</v>
      </c>
      <c r="Q14" s="7" t="s">
        <v>16</v>
      </c>
      <c r="R14" s="80" t="s">
        <v>74</v>
      </c>
      <c r="S14" s="80" t="s">
        <v>15</v>
      </c>
      <c r="T14" s="80" t="s">
        <v>16</v>
      </c>
      <c r="U14" s="80" t="s">
        <v>74</v>
      </c>
      <c r="V14" s="80" t="s">
        <v>15</v>
      </c>
      <c r="W14" s="80" t="s">
        <v>16</v>
      </c>
      <c r="AC14" s="85" t="s">
        <v>74</v>
      </c>
      <c r="AD14" s="80" t="s">
        <v>15</v>
      </c>
      <c r="AE14" s="80" t="s">
        <v>16</v>
      </c>
      <c r="AF14" s="85" t="s">
        <v>74</v>
      </c>
      <c r="AG14" s="80" t="s">
        <v>15</v>
      </c>
      <c r="AH14" s="80" t="s">
        <v>16</v>
      </c>
      <c r="AI14" s="85" t="s">
        <v>74</v>
      </c>
      <c r="AJ14" s="80" t="s">
        <v>15</v>
      </c>
      <c r="AK14" s="80" t="s">
        <v>16</v>
      </c>
      <c r="AL14" s="85" t="s">
        <v>74</v>
      </c>
      <c r="AM14" s="80" t="s">
        <v>15</v>
      </c>
      <c r="AN14" s="80" t="s">
        <v>16</v>
      </c>
      <c r="AO14" s="85" t="s">
        <v>74</v>
      </c>
      <c r="AP14" s="80" t="s">
        <v>15</v>
      </c>
      <c r="AQ14" s="80" t="s">
        <v>16</v>
      </c>
      <c r="AR14" s="85" t="s">
        <v>74</v>
      </c>
      <c r="AS14" s="80" t="s">
        <v>15</v>
      </c>
      <c r="AT14" s="80" t="s">
        <v>16</v>
      </c>
      <c r="AU14" s="98" t="s">
        <v>74</v>
      </c>
      <c r="AV14" s="80" t="s">
        <v>15</v>
      </c>
      <c r="AW14" s="80" t="s">
        <v>16</v>
      </c>
    </row>
    <row r="15" spans="1:63" ht="14.95" customHeight="1" thickBot="1" x14ac:dyDescent="0.3">
      <c r="A15" s="340" t="s">
        <v>486</v>
      </c>
      <c r="B15" s="346">
        <v>8</v>
      </c>
      <c r="C15" s="410">
        <v>4</v>
      </c>
      <c r="D15" s="348">
        <v>0</v>
      </c>
      <c r="E15" s="411">
        <f t="shared" si="0"/>
        <v>12</v>
      </c>
      <c r="F15" s="214" t="s">
        <v>486</v>
      </c>
      <c r="G15" s="79">
        <v>40</v>
      </c>
      <c r="H15" s="360">
        <v>20</v>
      </c>
      <c r="I15" s="249">
        <v>0</v>
      </c>
      <c r="J15" s="216">
        <f t="shared" si="1"/>
        <v>60</v>
      </c>
      <c r="K15" s="412" t="s">
        <v>477</v>
      </c>
      <c r="L15" s="413">
        <v>1</v>
      </c>
      <c r="M15" s="413">
        <v>1</v>
      </c>
      <c r="N15" s="414">
        <f t="shared" ref="N15:N17" si="12">SUM(L15/M15)*100</f>
        <v>100</v>
      </c>
      <c r="O15" s="6" t="s">
        <v>21</v>
      </c>
      <c r="P15" s="6" t="s">
        <v>21</v>
      </c>
      <c r="Q15" s="160" t="s">
        <v>21</v>
      </c>
      <c r="R15" s="6">
        <v>5</v>
      </c>
      <c r="S15" s="6">
        <v>6</v>
      </c>
      <c r="T15" s="160">
        <f t="shared" ref="T15:T17" si="13">SUM(R15/S15)*100</f>
        <v>83.333333333333343</v>
      </c>
      <c r="U15" s="98" t="s">
        <v>21</v>
      </c>
      <c r="V15" s="98" t="s">
        <v>21</v>
      </c>
      <c r="W15" s="98" t="s">
        <v>21</v>
      </c>
      <c r="AC15" s="98" t="s">
        <v>21</v>
      </c>
      <c r="AD15" s="98" t="s">
        <v>21</v>
      </c>
      <c r="AE15" s="98" t="s">
        <v>21</v>
      </c>
      <c r="AF15" s="6" t="s">
        <v>21</v>
      </c>
      <c r="AG15" s="6" t="s">
        <v>21</v>
      </c>
      <c r="AH15" s="6" t="s">
        <v>21</v>
      </c>
      <c r="AI15" s="6" t="s">
        <v>21</v>
      </c>
      <c r="AJ15" s="6" t="s">
        <v>21</v>
      </c>
      <c r="AK15" s="6" t="s">
        <v>21</v>
      </c>
      <c r="AL15" s="6" t="s">
        <v>21</v>
      </c>
      <c r="AM15" s="6" t="s">
        <v>21</v>
      </c>
      <c r="AN15" s="6" t="s">
        <v>21</v>
      </c>
      <c r="AO15" s="6" t="s">
        <v>21</v>
      </c>
      <c r="AP15" s="6" t="s">
        <v>21</v>
      </c>
      <c r="AQ15" s="6" t="s">
        <v>21</v>
      </c>
      <c r="AR15" s="6" t="s">
        <v>21</v>
      </c>
      <c r="AS15" s="6" t="s">
        <v>21</v>
      </c>
      <c r="AT15" s="155" t="s">
        <v>21</v>
      </c>
      <c r="AU15" s="6" t="s">
        <v>21</v>
      </c>
      <c r="AV15" s="155" t="s">
        <v>21</v>
      </c>
      <c r="AW15" s="155" t="s">
        <v>21</v>
      </c>
      <c r="BE15" s="4"/>
      <c r="BF15" s="4"/>
      <c r="BG15" s="4"/>
    </row>
    <row r="16" spans="1:63" ht="14.95" customHeight="1" thickBot="1" x14ac:dyDescent="0.3">
      <c r="A16" s="340" t="s">
        <v>59</v>
      </c>
      <c r="B16" s="346">
        <v>0</v>
      </c>
      <c r="C16" s="410">
        <v>0</v>
      </c>
      <c r="D16" s="348">
        <v>0</v>
      </c>
      <c r="E16" s="411">
        <f t="shared" si="0"/>
        <v>0</v>
      </c>
      <c r="F16" s="214" t="s">
        <v>59</v>
      </c>
      <c r="G16" s="79">
        <v>0</v>
      </c>
      <c r="H16" s="360">
        <v>0</v>
      </c>
      <c r="I16" s="249">
        <v>0</v>
      </c>
      <c r="J16" s="216">
        <f t="shared" si="1"/>
        <v>0</v>
      </c>
      <c r="K16" s="340" t="s">
        <v>919</v>
      </c>
      <c r="L16" s="413">
        <v>4</v>
      </c>
      <c r="M16" s="413">
        <v>8</v>
      </c>
      <c r="N16" s="414">
        <f t="shared" si="12"/>
        <v>50</v>
      </c>
      <c r="O16" s="6">
        <v>9</v>
      </c>
      <c r="P16" s="6">
        <v>13</v>
      </c>
      <c r="Q16" s="160">
        <v>69</v>
      </c>
      <c r="R16" s="7">
        <v>1</v>
      </c>
      <c r="S16" s="7">
        <v>1</v>
      </c>
      <c r="T16" s="156">
        <f t="shared" ref="T16" si="14">SUM(R16/S16)*100</f>
        <v>100</v>
      </c>
      <c r="U16" s="7" t="s">
        <v>21</v>
      </c>
      <c r="V16" s="7" t="s">
        <v>21</v>
      </c>
      <c r="W16" s="156" t="s">
        <v>21</v>
      </c>
      <c r="AC16" s="151">
        <v>1</v>
      </c>
      <c r="AD16" s="7">
        <v>1</v>
      </c>
      <c r="AE16" s="156">
        <f t="shared" ref="AE16" si="15">SUM(AC16/AD16)*100</f>
        <v>100</v>
      </c>
      <c r="AF16" s="151">
        <v>21</v>
      </c>
      <c r="AG16" s="7">
        <v>27</v>
      </c>
      <c r="AH16" s="156">
        <f t="shared" ref="AH16" si="16">SUM(AF16/AG16)*100</f>
        <v>77.777777777777786</v>
      </c>
      <c r="AI16" s="151">
        <v>12</v>
      </c>
      <c r="AJ16" s="7">
        <v>15</v>
      </c>
      <c r="AK16" s="156">
        <f t="shared" ref="AK16" si="17">SUM(AI16/AJ16)*100</f>
        <v>80</v>
      </c>
      <c r="AL16" s="151">
        <v>25</v>
      </c>
      <c r="AM16" s="7">
        <v>34</v>
      </c>
      <c r="AN16" s="156">
        <v>73.529411764705884</v>
      </c>
      <c r="AO16" s="392">
        <v>18</v>
      </c>
      <c r="AP16" s="156">
        <v>26</v>
      </c>
      <c r="AQ16" s="156">
        <v>69.230769230769226</v>
      </c>
      <c r="AR16" s="392">
        <v>13</v>
      </c>
      <c r="AS16" s="156">
        <v>16</v>
      </c>
      <c r="AT16" s="156">
        <v>81.25</v>
      </c>
      <c r="AU16" s="6" t="s">
        <v>21</v>
      </c>
      <c r="AV16" s="155" t="s">
        <v>21</v>
      </c>
      <c r="AW16" s="155" t="s">
        <v>21</v>
      </c>
    </row>
    <row r="17" spans="1:56" ht="14.95" thickBot="1" x14ac:dyDescent="0.3">
      <c r="A17" s="340" t="s">
        <v>358</v>
      </c>
      <c r="B17" s="346">
        <v>0</v>
      </c>
      <c r="C17" s="410">
        <v>0</v>
      </c>
      <c r="D17" s="348">
        <v>0</v>
      </c>
      <c r="E17" s="411">
        <f t="shared" si="0"/>
        <v>0</v>
      </c>
      <c r="F17" s="213" t="s">
        <v>358</v>
      </c>
      <c r="G17" s="79">
        <v>0</v>
      </c>
      <c r="H17" s="360">
        <v>0</v>
      </c>
      <c r="I17" s="249">
        <v>0</v>
      </c>
      <c r="J17" s="216">
        <f t="shared" si="1"/>
        <v>0</v>
      </c>
      <c r="K17" s="341" t="s">
        <v>333</v>
      </c>
      <c r="L17" s="413">
        <v>12</v>
      </c>
      <c r="M17" s="413">
        <v>19</v>
      </c>
      <c r="N17" s="414">
        <f t="shared" si="12"/>
        <v>63.157894736842103</v>
      </c>
      <c r="O17" s="6" t="s">
        <v>21</v>
      </c>
      <c r="P17" s="6" t="s">
        <v>21</v>
      </c>
      <c r="Q17" s="160" t="s">
        <v>21</v>
      </c>
      <c r="R17" s="6">
        <v>3</v>
      </c>
      <c r="S17" s="6">
        <v>4</v>
      </c>
      <c r="T17" s="160">
        <f t="shared" si="13"/>
        <v>75</v>
      </c>
      <c r="U17" s="98">
        <v>3</v>
      </c>
      <c r="V17" s="98">
        <v>5</v>
      </c>
      <c r="W17" s="98">
        <v>60</v>
      </c>
      <c r="AC17" s="98" t="s">
        <v>21</v>
      </c>
      <c r="AD17" s="98" t="s">
        <v>21</v>
      </c>
      <c r="AE17" s="98" t="s">
        <v>21</v>
      </c>
      <c r="AF17" s="6">
        <v>4</v>
      </c>
      <c r="AG17" s="6">
        <v>4</v>
      </c>
      <c r="AH17" s="6">
        <f>SUM(AF17/AG17)*100</f>
        <v>100</v>
      </c>
      <c r="AI17" s="6" t="s">
        <v>21</v>
      </c>
      <c r="AJ17" s="6" t="s">
        <v>21</v>
      </c>
      <c r="AK17" s="6" t="s">
        <v>21</v>
      </c>
      <c r="AL17" s="6">
        <v>7</v>
      </c>
      <c r="AM17" s="6">
        <v>9</v>
      </c>
      <c r="AN17" s="160">
        <f>SUM(AL17/AM17)*100</f>
        <v>77.777777777777786</v>
      </c>
      <c r="AO17" s="6" t="s">
        <v>21</v>
      </c>
      <c r="AP17" s="6" t="s">
        <v>21</v>
      </c>
      <c r="AQ17" s="6" t="s">
        <v>21</v>
      </c>
      <c r="AR17" s="6" t="s">
        <v>21</v>
      </c>
      <c r="AS17" s="7" t="s">
        <v>21</v>
      </c>
      <c r="AT17" s="7" t="s">
        <v>21</v>
      </c>
      <c r="AU17" s="151" t="s">
        <v>21</v>
      </c>
      <c r="AV17" s="7" t="s">
        <v>21</v>
      </c>
      <c r="AW17" s="7" t="s">
        <v>21</v>
      </c>
    </row>
    <row r="18" spans="1:56" ht="14.95" thickBot="1" x14ac:dyDescent="0.3">
      <c r="A18" s="340" t="s">
        <v>46</v>
      </c>
      <c r="B18" s="346">
        <v>0</v>
      </c>
      <c r="C18" s="410">
        <v>0</v>
      </c>
      <c r="D18" s="348">
        <v>1</v>
      </c>
      <c r="E18" s="411">
        <f t="shared" si="0"/>
        <v>1</v>
      </c>
      <c r="F18" s="213" t="s">
        <v>46</v>
      </c>
      <c r="G18" s="79">
        <v>0</v>
      </c>
      <c r="H18" s="360">
        <v>0</v>
      </c>
      <c r="I18" s="249">
        <v>24</v>
      </c>
      <c r="J18" s="216">
        <f t="shared" si="1"/>
        <v>24</v>
      </c>
      <c r="AF18" s="37"/>
      <c r="AG18" s="37"/>
      <c r="AH18" s="37"/>
      <c r="AL18" s="4"/>
      <c r="BA18" s="4"/>
    </row>
    <row r="19" spans="1:56" ht="14.95" thickBot="1" x14ac:dyDescent="0.3">
      <c r="A19" s="340" t="s">
        <v>717</v>
      </c>
      <c r="B19" s="346">
        <v>2</v>
      </c>
      <c r="C19" s="410">
        <v>1</v>
      </c>
      <c r="D19" s="348">
        <v>0</v>
      </c>
      <c r="E19" s="411">
        <f t="shared" si="0"/>
        <v>3</v>
      </c>
      <c r="F19" s="214" t="s">
        <v>717</v>
      </c>
      <c r="G19" s="79">
        <v>10</v>
      </c>
      <c r="H19" s="360">
        <v>5</v>
      </c>
      <c r="I19" s="249">
        <v>0</v>
      </c>
      <c r="J19" s="216">
        <f t="shared" si="1"/>
        <v>15</v>
      </c>
      <c r="K19" s="442" t="s">
        <v>303</v>
      </c>
      <c r="L19" s="428" t="s">
        <v>20</v>
      </c>
      <c r="M19" s="429"/>
      <c r="N19" s="430"/>
      <c r="O19" s="422" t="s">
        <v>365</v>
      </c>
      <c r="P19" s="423"/>
      <c r="Q19" s="424"/>
      <c r="R19" s="428" t="s">
        <v>854</v>
      </c>
      <c r="S19" s="429"/>
      <c r="T19" s="430"/>
      <c r="U19" s="428" t="s">
        <v>700</v>
      </c>
      <c r="V19" s="429"/>
      <c r="W19" s="430"/>
      <c r="AC19" s="428" t="s">
        <v>518</v>
      </c>
      <c r="AD19" s="429"/>
      <c r="AE19" s="430"/>
      <c r="AF19" s="428" t="s">
        <v>356</v>
      </c>
      <c r="AG19" s="429"/>
      <c r="AH19" s="430"/>
      <c r="AI19" s="428" t="s">
        <v>272</v>
      </c>
      <c r="AJ19" s="429"/>
      <c r="AK19" s="430"/>
      <c r="AL19" s="428" t="s">
        <v>115</v>
      </c>
      <c r="AM19" s="429"/>
      <c r="AN19" s="430"/>
      <c r="AO19" s="428" t="s">
        <v>83</v>
      </c>
      <c r="AP19" s="429"/>
      <c r="AQ19" s="430"/>
      <c r="AR19" s="428" t="s">
        <v>78</v>
      </c>
      <c r="AS19" s="429"/>
      <c r="AT19" s="430"/>
      <c r="AU19" s="428" t="s">
        <v>67</v>
      </c>
      <c r="AV19" s="429"/>
      <c r="AW19" s="430"/>
    </row>
    <row r="20" spans="1:56" ht="16.5" customHeight="1" thickBot="1" x14ac:dyDescent="0.3">
      <c r="A20" s="340" t="s">
        <v>306</v>
      </c>
      <c r="B20" s="346">
        <v>0</v>
      </c>
      <c r="C20" s="410">
        <v>0</v>
      </c>
      <c r="D20" s="348">
        <v>2</v>
      </c>
      <c r="E20" s="411">
        <f t="shared" si="0"/>
        <v>2</v>
      </c>
      <c r="F20" s="214" t="s">
        <v>306</v>
      </c>
      <c r="G20" s="79">
        <v>2</v>
      </c>
      <c r="H20" s="360">
        <v>0</v>
      </c>
      <c r="I20" s="249">
        <v>10</v>
      </c>
      <c r="J20" s="216">
        <f t="shared" si="1"/>
        <v>12</v>
      </c>
      <c r="K20" s="443"/>
      <c r="L20" s="431"/>
      <c r="M20" s="432"/>
      <c r="N20" s="433"/>
      <c r="O20" s="425"/>
      <c r="P20" s="426"/>
      <c r="Q20" s="427"/>
      <c r="R20" s="431"/>
      <c r="S20" s="432"/>
      <c r="T20" s="433"/>
      <c r="U20" s="431"/>
      <c r="V20" s="432"/>
      <c r="W20" s="433"/>
      <c r="AC20" s="431"/>
      <c r="AD20" s="432"/>
      <c r="AE20" s="433"/>
      <c r="AF20" s="431"/>
      <c r="AG20" s="432"/>
      <c r="AH20" s="433"/>
      <c r="AI20" s="431"/>
      <c r="AJ20" s="432"/>
      <c r="AK20" s="433"/>
      <c r="AL20" s="431"/>
      <c r="AM20" s="432"/>
      <c r="AN20" s="433"/>
      <c r="AO20" s="431"/>
      <c r="AP20" s="432"/>
      <c r="AQ20" s="433"/>
      <c r="AR20" s="431"/>
      <c r="AS20" s="432"/>
      <c r="AT20" s="433"/>
      <c r="AU20" s="431"/>
      <c r="AV20" s="432"/>
      <c r="AW20" s="433"/>
      <c r="BB20" s="4"/>
      <c r="BC20" s="4"/>
      <c r="BD20" s="4"/>
    </row>
    <row r="21" spans="1:56" ht="14.95" customHeight="1" thickBot="1" x14ac:dyDescent="0.3">
      <c r="A21" s="340" t="s">
        <v>872</v>
      </c>
      <c r="B21" s="346">
        <v>1</v>
      </c>
      <c r="C21" s="410">
        <v>0</v>
      </c>
      <c r="D21" s="348">
        <v>1</v>
      </c>
      <c r="E21" s="411">
        <f t="shared" ref="E21" si="18">SUM(B21:D21)</f>
        <v>2</v>
      </c>
      <c r="F21" s="214" t="s">
        <v>872</v>
      </c>
      <c r="G21" s="79">
        <v>5</v>
      </c>
      <c r="H21" s="360">
        <v>0</v>
      </c>
      <c r="I21" s="249">
        <v>5</v>
      </c>
      <c r="J21" s="216">
        <f t="shared" ref="J21" si="19">SUM(G21:I21)</f>
        <v>10</v>
      </c>
      <c r="K21" s="281"/>
      <c r="L21" s="80" t="s">
        <v>74</v>
      </c>
      <c r="M21" s="80" t="s">
        <v>15</v>
      </c>
      <c r="N21" s="80" t="s">
        <v>16</v>
      </c>
      <c r="O21" s="7" t="s">
        <v>74</v>
      </c>
      <c r="P21" s="7" t="s">
        <v>15</v>
      </c>
      <c r="Q21" s="7" t="s">
        <v>16</v>
      </c>
      <c r="R21" s="7" t="s">
        <v>74</v>
      </c>
      <c r="S21" s="7" t="s">
        <v>15</v>
      </c>
      <c r="T21" s="7" t="s">
        <v>16</v>
      </c>
      <c r="U21" s="7" t="s">
        <v>74</v>
      </c>
      <c r="V21" s="7" t="s">
        <v>15</v>
      </c>
      <c r="W21" s="7" t="s">
        <v>16</v>
      </c>
      <c r="AC21" s="85" t="s">
        <v>74</v>
      </c>
      <c r="AD21" s="80" t="s">
        <v>15</v>
      </c>
      <c r="AE21" s="80" t="s">
        <v>16</v>
      </c>
      <c r="AF21" s="85" t="s">
        <v>74</v>
      </c>
      <c r="AG21" s="80" t="s">
        <v>15</v>
      </c>
      <c r="AH21" s="80" t="s">
        <v>16</v>
      </c>
      <c r="AI21" s="85" t="s">
        <v>74</v>
      </c>
      <c r="AJ21" s="80" t="s">
        <v>15</v>
      </c>
      <c r="AK21" s="80" t="s">
        <v>16</v>
      </c>
      <c r="AL21" s="85" t="s">
        <v>74</v>
      </c>
      <c r="AM21" s="80" t="s">
        <v>15</v>
      </c>
      <c r="AN21" s="80" t="s">
        <v>16</v>
      </c>
      <c r="AO21" s="85" t="s">
        <v>74</v>
      </c>
      <c r="AP21" s="80" t="s">
        <v>15</v>
      </c>
      <c r="AQ21" s="80" t="s">
        <v>16</v>
      </c>
      <c r="AR21" s="85" t="s">
        <v>74</v>
      </c>
      <c r="AS21" s="80" t="s">
        <v>15</v>
      </c>
      <c r="AT21" s="80" t="s">
        <v>16</v>
      </c>
      <c r="AU21" s="98" t="s">
        <v>74</v>
      </c>
      <c r="AV21" s="80" t="s">
        <v>15</v>
      </c>
      <c r="AW21" s="80" t="s">
        <v>16</v>
      </c>
    </row>
    <row r="22" spans="1:56" ht="14.95" customHeight="1" thickBot="1" x14ac:dyDescent="0.3">
      <c r="A22" s="340" t="s">
        <v>41</v>
      </c>
      <c r="B22" s="346">
        <v>1</v>
      </c>
      <c r="C22" s="410">
        <v>1</v>
      </c>
      <c r="D22" s="348">
        <v>1</v>
      </c>
      <c r="E22" s="411">
        <f t="shared" si="0"/>
        <v>3</v>
      </c>
      <c r="F22" s="214" t="s">
        <v>41</v>
      </c>
      <c r="G22" s="79">
        <v>5</v>
      </c>
      <c r="H22" s="360">
        <v>5</v>
      </c>
      <c r="I22" s="249">
        <v>5</v>
      </c>
      <c r="J22" s="216">
        <f t="shared" si="1"/>
        <v>15</v>
      </c>
      <c r="K22" s="412" t="s">
        <v>477</v>
      </c>
      <c r="L22" s="6" t="s">
        <v>21</v>
      </c>
      <c r="M22" s="6" t="s">
        <v>21</v>
      </c>
      <c r="N22" s="160" t="s">
        <v>21</v>
      </c>
      <c r="O22" s="6">
        <v>2</v>
      </c>
      <c r="P22" s="6">
        <v>5</v>
      </c>
      <c r="Q22" s="6">
        <v>100</v>
      </c>
      <c r="R22" s="6">
        <v>1</v>
      </c>
      <c r="S22" s="6">
        <v>4</v>
      </c>
      <c r="T22" s="6">
        <f>SUM(R22/S22)*100</f>
        <v>25</v>
      </c>
      <c r="U22" s="6" t="s">
        <v>21</v>
      </c>
      <c r="V22" s="6" t="s">
        <v>21</v>
      </c>
      <c r="W22" s="160" t="s">
        <v>21</v>
      </c>
      <c r="AC22" s="6" t="s">
        <v>21</v>
      </c>
      <c r="AD22" s="6" t="s">
        <v>21</v>
      </c>
      <c r="AE22" s="160" t="s">
        <v>21</v>
      </c>
      <c r="AF22" s="6" t="s">
        <v>21</v>
      </c>
      <c r="AG22" s="6" t="s">
        <v>21</v>
      </c>
      <c r="AH22" s="160" t="s">
        <v>21</v>
      </c>
      <c r="AI22" s="6" t="s">
        <v>21</v>
      </c>
      <c r="AJ22" s="6" t="s">
        <v>21</v>
      </c>
      <c r="AK22" s="160" t="s">
        <v>21</v>
      </c>
      <c r="AL22" s="6" t="s">
        <v>21</v>
      </c>
      <c r="AM22" s="6" t="s">
        <v>21</v>
      </c>
      <c r="AN22" s="160" t="s">
        <v>21</v>
      </c>
      <c r="AO22" s="6" t="s">
        <v>21</v>
      </c>
      <c r="AP22" s="6" t="s">
        <v>21</v>
      </c>
      <c r="AQ22" s="160" t="s">
        <v>21</v>
      </c>
      <c r="AR22" s="6" t="s">
        <v>21</v>
      </c>
      <c r="AS22" s="6" t="s">
        <v>21</v>
      </c>
      <c r="AT22" s="160" t="s">
        <v>21</v>
      </c>
      <c r="AU22" s="6" t="s">
        <v>21</v>
      </c>
      <c r="AV22" s="6" t="s">
        <v>21</v>
      </c>
      <c r="AW22" s="160" t="s">
        <v>21</v>
      </c>
    </row>
    <row r="23" spans="1:56" ht="14.95" customHeight="1" thickBot="1" x14ac:dyDescent="0.3">
      <c r="A23" s="340" t="s">
        <v>648</v>
      </c>
      <c r="B23" s="346">
        <v>0</v>
      </c>
      <c r="C23" s="410">
        <v>0</v>
      </c>
      <c r="D23" s="348">
        <v>0</v>
      </c>
      <c r="E23" s="411">
        <f t="shared" si="0"/>
        <v>0</v>
      </c>
      <c r="F23" s="214" t="s">
        <v>648</v>
      </c>
      <c r="G23" s="79">
        <v>0</v>
      </c>
      <c r="H23" s="360">
        <v>0</v>
      </c>
      <c r="I23" s="249">
        <v>0</v>
      </c>
      <c r="J23" s="216">
        <f t="shared" si="1"/>
        <v>0</v>
      </c>
      <c r="K23" s="412" t="s">
        <v>918</v>
      </c>
      <c r="L23" s="6" t="s">
        <v>21</v>
      </c>
      <c r="M23" s="6" t="s">
        <v>21</v>
      </c>
      <c r="N23" s="160" t="s">
        <v>21</v>
      </c>
      <c r="O23" s="6">
        <v>1</v>
      </c>
      <c r="P23" s="6">
        <v>1</v>
      </c>
      <c r="Q23" s="6">
        <v>100</v>
      </c>
      <c r="R23" s="6">
        <v>1</v>
      </c>
      <c r="S23" s="6">
        <v>2</v>
      </c>
      <c r="T23" s="6">
        <f>SUM(R23/S23)*100</f>
        <v>50</v>
      </c>
      <c r="U23" s="6">
        <v>10</v>
      </c>
      <c r="V23" s="6">
        <v>12</v>
      </c>
      <c r="W23" s="160">
        <f>SUM(U23/V23)*100</f>
        <v>83.333333333333343</v>
      </c>
      <c r="AC23" s="98" t="s">
        <v>21</v>
      </c>
      <c r="AD23" s="98" t="s">
        <v>21</v>
      </c>
      <c r="AE23" s="98" t="s">
        <v>21</v>
      </c>
      <c r="AF23" s="6" t="s">
        <v>21</v>
      </c>
      <c r="AG23" s="6" t="s">
        <v>21</v>
      </c>
      <c r="AH23" s="6" t="s">
        <v>21</v>
      </c>
      <c r="AI23" s="6" t="s">
        <v>21</v>
      </c>
      <c r="AJ23" s="6" t="s">
        <v>21</v>
      </c>
      <c r="AK23" s="6" t="s">
        <v>21</v>
      </c>
      <c r="AL23" s="6" t="s">
        <v>21</v>
      </c>
      <c r="AM23" s="6" t="s">
        <v>21</v>
      </c>
      <c r="AN23" s="6" t="s">
        <v>21</v>
      </c>
      <c r="AO23" s="6" t="s">
        <v>21</v>
      </c>
      <c r="AP23" s="6" t="s">
        <v>21</v>
      </c>
      <c r="AQ23" s="6" t="s">
        <v>21</v>
      </c>
      <c r="AR23" s="6" t="s">
        <v>21</v>
      </c>
      <c r="AS23" s="6" t="s">
        <v>21</v>
      </c>
      <c r="AT23" s="155" t="s">
        <v>21</v>
      </c>
      <c r="AU23" s="6" t="s">
        <v>21</v>
      </c>
      <c r="AV23" s="155" t="s">
        <v>21</v>
      </c>
      <c r="AW23" s="155" t="s">
        <v>21</v>
      </c>
    </row>
    <row r="24" spans="1:56" ht="14.95" customHeight="1" thickBot="1" x14ac:dyDescent="0.3">
      <c r="A24" s="340" t="s">
        <v>101</v>
      </c>
      <c r="B24" s="346">
        <v>4</v>
      </c>
      <c r="C24" s="410">
        <v>2</v>
      </c>
      <c r="D24" s="348">
        <v>0</v>
      </c>
      <c r="E24" s="411">
        <f t="shared" si="0"/>
        <v>6</v>
      </c>
      <c r="F24" s="214" t="s">
        <v>101</v>
      </c>
      <c r="G24" s="79">
        <v>20</v>
      </c>
      <c r="H24" s="360">
        <v>10</v>
      </c>
      <c r="I24" s="249">
        <v>0</v>
      </c>
      <c r="J24" s="216">
        <f t="shared" si="1"/>
        <v>30</v>
      </c>
      <c r="K24" s="208"/>
      <c r="L24" s="180"/>
      <c r="M24" s="174"/>
      <c r="N24" s="174"/>
      <c r="O24" s="209"/>
      <c r="P24" s="207"/>
      <c r="Q24" s="209"/>
      <c r="R24" s="174"/>
      <c r="S24" s="174"/>
      <c r="T24" s="174"/>
      <c r="U24" s="180"/>
      <c r="V24" s="174"/>
      <c r="W24" s="180"/>
      <c r="AC24" s="174"/>
      <c r="AD24" s="174"/>
      <c r="AE24" s="174"/>
      <c r="AF24" s="180"/>
      <c r="AG24" s="174"/>
      <c r="AH24" s="174"/>
      <c r="AI24" s="174"/>
      <c r="AJ24" s="87"/>
      <c r="AK24" s="87"/>
      <c r="AL24" s="87"/>
      <c r="AM24" s="87"/>
      <c r="AN24" s="87"/>
      <c r="AO24" s="37"/>
      <c r="AP24" s="37"/>
      <c r="AQ24" s="37"/>
      <c r="AS24" s="4"/>
      <c r="AT24" s="4"/>
      <c r="AU24" s="4"/>
    </row>
    <row r="25" spans="1:56" ht="14.95" thickBot="1" x14ac:dyDescent="0.3">
      <c r="A25" s="340" t="s">
        <v>829</v>
      </c>
      <c r="B25" s="346">
        <v>0</v>
      </c>
      <c r="C25" s="410">
        <v>0</v>
      </c>
      <c r="D25" s="348">
        <v>1</v>
      </c>
      <c r="E25" s="411">
        <f t="shared" si="0"/>
        <v>1</v>
      </c>
      <c r="F25" s="214" t="s">
        <v>829</v>
      </c>
      <c r="G25" s="79">
        <v>0</v>
      </c>
      <c r="H25" s="360">
        <v>0</v>
      </c>
      <c r="I25" s="249">
        <v>5</v>
      </c>
      <c r="J25" s="216">
        <f t="shared" si="1"/>
        <v>5</v>
      </c>
      <c r="K25" s="434" t="s">
        <v>116</v>
      </c>
      <c r="L25" s="436" t="s">
        <v>20</v>
      </c>
      <c r="M25" s="437"/>
      <c r="N25" s="438"/>
      <c r="O25" s="422" t="s">
        <v>365</v>
      </c>
      <c r="P25" s="423"/>
      <c r="Q25" s="424"/>
      <c r="R25" s="422" t="s">
        <v>854</v>
      </c>
      <c r="S25" s="423"/>
      <c r="T25" s="424"/>
      <c r="U25" s="428" t="s">
        <v>518</v>
      </c>
      <c r="V25" s="429"/>
      <c r="W25" s="430"/>
      <c r="AC25" s="428" t="s">
        <v>356</v>
      </c>
      <c r="AD25" s="429"/>
      <c r="AE25" s="430"/>
      <c r="AF25" s="428" t="s">
        <v>272</v>
      </c>
      <c r="AG25" s="429"/>
      <c r="AH25" s="430"/>
      <c r="AI25" s="428" t="s">
        <v>115</v>
      </c>
      <c r="AJ25" s="429"/>
      <c r="AK25" s="430"/>
      <c r="AL25" s="428" t="s">
        <v>78</v>
      </c>
      <c r="AM25" s="429"/>
      <c r="AN25" s="430"/>
      <c r="AO25" s="428" t="s">
        <v>60</v>
      </c>
      <c r="AP25" s="429"/>
      <c r="AQ25" s="430"/>
      <c r="AR25" s="37"/>
      <c r="AS25" s="37"/>
      <c r="AT25" s="37"/>
    </row>
    <row r="26" spans="1:56" ht="14.95" thickBot="1" x14ac:dyDescent="0.3">
      <c r="A26" s="340" t="s">
        <v>136</v>
      </c>
      <c r="B26" s="346">
        <v>2</v>
      </c>
      <c r="C26" s="410">
        <v>0</v>
      </c>
      <c r="D26" s="348">
        <v>0</v>
      </c>
      <c r="E26" s="411">
        <f t="shared" si="0"/>
        <v>2</v>
      </c>
      <c r="F26" s="214" t="s">
        <v>136</v>
      </c>
      <c r="G26" s="79">
        <v>10</v>
      </c>
      <c r="H26" s="360">
        <v>0</v>
      </c>
      <c r="I26" s="249">
        <v>0</v>
      </c>
      <c r="J26" s="216">
        <f t="shared" si="1"/>
        <v>10</v>
      </c>
      <c r="K26" s="435"/>
      <c r="L26" s="439"/>
      <c r="M26" s="440"/>
      <c r="N26" s="441"/>
      <c r="O26" s="425"/>
      <c r="P26" s="426"/>
      <c r="Q26" s="427"/>
      <c r="R26" s="425"/>
      <c r="S26" s="426"/>
      <c r="T26" s="427"/>
      <c r="U26" s="431"/>
      <c r="V26" s="432"/>
      <c r="W26" s="433"/>
      <c r="AC26" s="431"/>
      <c r="AD26" s="432"/>
      <c r="AE26" s="433"/>
      <c r="AF26" s="431"/>
      <c r="AG26" s="432"/>
      <c r="AH26" s="433"/>
      <c r="AI26" s="431"/>
      <c r="AJ26" s="432"/>
      <c r="AK26" s="433"/>
      <c r="AL26" s="431"/>
      <c r="AM26" s="432"/>
      <c r="AN26" s="433"/>
      <c r="AO26" s="431"/>
      <c r="AP26" s="432"/>
      <c r="AQ26" s="433"/>
      <c r="AR26" s="37"/>
      <c r="AS26" s="37"/>
      <c r="AT26" s="37"/>
    </row>
    <row r="27" spans="1:56" ht="14.95" thickBot="1" x14ac:dyDescent="0.3">
      <c r="A27" s="340" t="s">
        <v>324</v>
      </c>
      <c r="B27" s="346">
        <v>0</v>
      </c>
      <c r="C27" s="410">
        <v>0</v>
      </c>
      <c r="D27" s="348">
        <v>0</v>
      </c>
      <c r="E27" s="411">
        <f t="shared" si="0"/>
        <v>0</v>
      </c>
      <c r="F27" s="214" t="s">
        <v>324</v>
      </c>
      <c r="G27" s="79">
        <v>0</v>
      </c>
      <c r="H27" s="360">
        <v>0</v>
      </c>
      <c r="I27" s="249">
        <v>0</v>
      </c>
      <c r="J27" s="216">
        <f t="shared" si="1"/>
        <v>0</v>
      </c>
      <c r="K27" s="250" t="s">
        <v>30</v>
      </c>
      <c r="L27" s="3" t="s">
        <v>74</v>
      </c>
      <c r="M27" s="3" t="s">
        <v>15</v>
      </c>
      <c r="N27" s="3" t="s">
        <v>16</v>
      </c>
      <c r="O27" s="7" t="s">
        <v>74</v>
      </c>
      <c r="P27" s="7" t="s">
        <v>15</v>
      </c>
      <c r="Q27" s="7" t="s">
        <v>16</v>
      </c>
      <c r="R27" s="7" t="s">
        <v>74</v>
      </c>
      <c r="S27" s="7" t="s">
        <v>15</v>
      </c>
      <c r="T27" s="7" t="s">
        <v>16</v>
      </c>
      <c r="U27" s="80" t="s">
        <v>74</v>
      </c>
      <c r="V27" s="80" t="s">
        <v>15</v>
      </c>
      <c r="W27" s="80" t="s">
        <v>16</v>
      </c>
      <c r="AC27" s="85" t="s">
        <v>74</v>
      </c>
      <c r="AD27" s="80" t="s">
        <v>15</v>
      </c>
      <c r="AE27" s="80" t="s">
        <v>16</v>
      </c>
      <c r="AF27" s="98" t="s">
        <v>74</v>
      </c>
      <c r="AG27" s="80" t="s">
        <v>15</v>
      </c>
      <c r="AH27" s="80" t="s">
        <v>16</v>
      </c>
      <c r="AI27" s="85" t="s">
        <v>74</v>
      </c>
      <c r="AJ27" s="80" t="s">
        <v>15</v>
      </c>
      <c r="AK27" s="80" t="s">
        <v>16</v>
      </c>
      <c r="AL27" s="85" t="s">
        <v>74</v>
      </c>
      <c r="AM27" s="80" t="s">
        <v>15</v>
      </c>
      <c r="AN27" s="80" t="s">
        <v>16</v>
      </c>
      <c r="AO27" s="85" t="s">
        <v>74</v>
      </c>
      <c r="AP27" s="80" t="s">
        <v>15</v>
      </c>
      <c r="AQ27" s="80" t="s">
        <v>16</v>
      </c>
      <c r="AR27" s="37"/>
      <c r="AS27" s="37"/>
      <c r="AT27" s="37"/>
    </row>
    <row r="28" spans="1:56" ht="14.95" thickBot="1" x14ac:dyDescent="0.3">
      <c r="A28" s="340" t="s">
        <v>362</v>
      </c>
      <c r="B28" s="346">
        <v>8</v>
      </c>
      <c r="C28" s="410">
        <v>1</v>
      </c>
      <c r="D28" s="348">
        <v>2</v>
      </c>
      <c r="E28" s="411">
        <f t="shared" si="0"/>
        <v>11</v>
      </c>
      <c r="F28" s="214" t="s">
        <v>362</v>
      </c>
      <c r="G28" s="79">
        <v>40</v>
      </c>
      <c r="H28" s="360">
        <v>5</v>
      </c>
      <c r="I28" s="249">
        <v>10</v>
      </c>
      <c r="J28" s="216">
        <f t="shared" si="1"/>
        <v>55</v>
      </c>
      <c r="K28" s="412" t="s">
        <v>477</v>
      </c>
      <c r="L28" s="349">
        <v>0</v>
      </c>
      <c r="M28" s="349">
        <v>1</v>
      </c>
      <c r="N28" s="350">
        <v>0</v>
      </c>
      <c r="O28" s="7" t="s">
        <v>21</v>
      </c>
      <c r="P28" s="7" t="s">
        <v>21</v>
      </c>
      <c r="Q28" s="156" t="s">
        <v>21</v>
      </c>
      <c r="R28" s="7">
        <v>2</v>
      </c>
      <c r="S28" s="7">
        <v>3</v>
      </c>
      <c r="T28" s="156">
        <f>SUM(R28/S28)*100</f>
        <v>66.666666666666657</v>
      </c>
      <c r="U28" s="80" t="s">
        <v>21</v>
      </c>
      <c r="V28" s="80" t="s">
        <v>21</v>
      </c>
      <c r="W28" s="179" t="s">
        <v>21</v>
      </c>
      <c r="AC28" s="85" t="s">
        <v>21</v>
      </c>
      <c r="AD28" s="80" t="s">
        <v>21</v>
      </c>
      <c r="AE28" s="179" t="s">
        <v>21</v>
      </c>
      <c r="AF28" s="98" t="s">
        <v>21</v>
      </c>
      <c r="AG28" s="80" t="s">
        <v>21</v>
      </c>
      <c r="AH28" s="179" t="s">
        <v>21</v>
      </c>
      <c r="AI28" s="80" t="s">
        <v>21</v>
      </c>
      <c r="AJ28" s="80" t="s">
        <v>21</v>
      </c>
      <c r="AK28" s="179" t="s">
        <v>21</v>
      </c>
      <c r="AL28" s="80" t="s">
        <v>21</v>
      </c>
      <c r="AM28" s="80" t="s">
        <v>21</v>
      </c>
      <c r="AN28" s="179" t="s">
        <v>21</v>
      </c>
      <c r="AO28" s="80" t="s">
        <v>21</v>
      </c>
      <c r="AP28" s="80" t="s">
        <v>21</v>
      </c>
      <c r="AQ28" s="179" t="s">
        <v>21</v>
      </c>
      <c r="AR28" s="37"/>
      <c r="AS28" s="37"/>
      <c r="AT28" s="37"/>
      <c r="BA28" s="4"/>
    </row>
    <row r="29" spans="1:56" ht="14.95" customHeight="1" thickBot="1" x14ac:dyDescent="0.3">
      <c r="A29" s="340" t="s">
        <v>96</v>
      </c>
      <c r="B29" s="346">
        <v>2</v>
      </c>
      <c r="C29" s="410">
        <v>1</v>
      </c>
      <c r="D29" s="348">
        <v>0</v>
      </c>
      <c r="E29" s="411">
        <f t="shared" si="0"/>
        <v>3</v>
      </c>
      <c r="F29" s="214" t="s">
        <v>96</v>
      </c>
      <c r="G29" s="79">
        <v>10</v>
      </c>
      <c r="H29" s="360">
        <v>5</v>
      </c>
      <c r="I29" s="249">
        <v>0</v>
      </c>
      <c r="J29" s="216">
        <f t="shared" si="1"/>
        <v>15</v>
      </c>
      <c r="K29" s="412" t="s">
        <v>46</v>
      </c>
      <c r="L29" s="349">
        <v>9</v>
      </c>
      <c r="M29" s="349">
        <v>11</v>
      </c>
      <c r="N29" s="350">
        <v>80</v>
      </c>
      <c r="O29" s="7">
        <v>3</v>
      </c>
      <c r="P29" s="7">
        <v>4</v>
      </c>
      <c r="Q29" s="156">
        <v>75</v>
      </c>
      <c r="R29" s="7" t="s">
        <v>21</v>
      </c>
      <c r="S29" s="7" t="s">
        <v>21</v>
      </c>
      <c r="T29" s="156" t="s">
        <v>21</v>
      </c>
      <c r="U29" s="80" t="s">
        <v>21</v>
      </c>
      <c r="V29" s="80" t="s">
        <v>21</v>
      </c>
      <c r="W29" s="179" t="s">
        <v>21</v>
      </c>
      <c r="AC29" s="85" t="s">
        <v>21</v>
      </c>
      <c r="AD29" s="80" t="s">
        <v>21</v>
      </c>
      <c r="AE29" s="179" t="s">
        <v>21</v>
      </c>
      <c r="AF29" s="6" t="s">
        <v>21</v>
      </c>
      <c r="AG29" s="6" t="s">
        <v>21</v>
      </c>
      <c r="AH29" s="6" t="s">
        <v>21</v>
      </c>
      <c r="AI29" s="6" t="s">
        <v>21</v>
      </c>
      <c r="AJ29" s="6" t="s">
        <v>21</v>
      </c>
      <c r="AK29" s="6" t="s">
        <v>21</v>
      </c>
      <c r="AL29" s="6" t="s">
        <v>21</v>
      </c>
      <c r="AM29" s="6" t="s">
        <v>21</v>
      </c>
      <c r="AN29" s="6" t="s">
        <v>21</v>
      </c>
      <c r="AO29" s="6" t="s">
        <v>21</v>
      </c>
      <c r="AP29" s="6" t="s">
        <v>21</v>
      </c>
      <c r="AQ29" s="6" t="s">
        <v>21</v>
      </c>
      <c r="AR29" s="37"/>
      <c r="AS29" s="37"/>
      <c r="AT29" s="37"/>
    </row>
    <row r="30" spans="1:56" ht="14.95" customHeight="1" thickBot="1" x14ac:dyDescent="0.3">
      <c r="A30" s="340" t="s">
        <v>602</v>
      </c>
      <c r="B30" s="346">
        <v>1</v>
      </c>
      <c r="C30" s="410">
        <v>0</v>
      </c>
      <c r="D30" s="348">
        <v>2</v>
      </c>
      <c r="E30" s="411">
        <f t="shared" si="0"/>
        <v>3</v>
      </c>
      <c r="F30" s="214" t="s">
        <v>602</v>
      </c>
      <c r="G30" s="79">
        <v>5</v>
      </c>
      <c r="H30" s="360">
        <v>0</v>
      </c>
      <c r="I30" s="249">
        <v>10</v>
      </c>
      <c r="J30" s="216">
        <f t="shared" si="1"/>
        <v>15</v>
      </c>
      <c r="K30" s="415" t="s">
        <v>306</v>
      </c>
      <c r="L30" s="349" t="s">
        <v>21</v>
      </c>
      <c r="M30" s="349" t="s">
        <v>21</v>
      </c>
      <c r="N30" s="350" t="s">
        <v>21</v>
      </c>
      <c r="O30" s="7">
        <v>1</v>
      </c>
      <c r="P30" s="7">
        <v>1</v>
      </c>
      <c r="Q30" s="156">
        <v>100</v>
      </c>
      <c r="R30" s="7" t="s">
        <v>21</v>
      </c>
      <c r="S30" s="7" t="s">
        <v>21</v>
      </c>
      <c r="T30" s="156" t="s">
        <v>21</v>
      </c>
      <c r="U30" s="80" t="s">
        <v>21</v>
      </c>
      <c r="V30" s="80" t="s">
        <v>21</v>
      </c>
      <c r="W30" s="179" t="s">
        <v>21</v>
      </c>
      <c r="AC30" s="85" t="s">
        <v>21</v>
      </c>
      <c r="AD30" s="80" t="s">
        <v>21</v>
      </c>
      <c r="AE30" s="179" t="s">
        <v>21</v>
      </c>
      <c r="AF30" s="6" t="s">
        <v>21</v>
      </c>
      <c r="AG30" s="6" t="s">
        <v>21</v>
      </c>
      <c r="AH30" s="6" t="s">
        <v>21</v>
      </c>
      <c r="AI30" s="6" t="s">
        <v>21</v>
      </c>
      <c r="AJ30" s="6" t="s">
        <v>21</v>
      </c>
      <c r="AK30" s="6" t="s">
        <v>21</v>
      </c>
      <c r="AL30" s="6" t="s">
        <v>21</v>
      </c>
      <c r="AM30" s="6" t="s">
        <v>21</v>
      </c>
      <c r="AN30" s="6" t="s">
        <v>21</v>
      </c>
      <c r="AO30" s="6" t="s">
        <v>21</v>
      </c>
      <c r="AP30" s="6" t="s">
        <v>21</v>
      </c>
      <c r="AQ30" s="6" t="s">
        <v>21</v>
      </c>
      <c r="AR30" s="37"/>
      <c r="AS30" s="37"/>
      <c r="AT30" s="37"/>
    </row>
    <row r="31" spans="1:56" ht="14.95" thickBot="1" x14ac:dyDescent="0.3">
      <c r="A31" s="340" t="s">
        <v>5</v>
      </c>
      <c r="B31" s="346">
        <v>2</v>
      </c>
      <c r="C31" s="410">
        <v>0</v>
      </c>
      <c r="D31" s="348">
        <v>1</v>
      </c>
      <c r="E31" s="411">
        <f t="shared" si="0"/>
        <v>3</v>
      </c>
      <c r="F31" s="214" t="s">
        <v>5</v>
      </c>
      <c r="G31" s="79">
        <v>14</v>
      </c>
      <c r="H31" s="360">
        <v>0</v>
      </c>
      <c r="I31" s="249">
        <v>7</v>
      </c>
      <c r="J31" s="216">
        <f t="shared" si="1"/>
        <v>21</v>
      </c>
      <c r="K31" s="341" t="s">
        <v>333</v>
      </c>
      <c r="L31" s="349">
        <v>6</v>
      </c>
      <c r="M31" s="349">
        <v>6</v>
      </c>
      <c r="N31" s="350">
        <v>100</v>
      </c>
      <c r="O31" s="7" t="s">
        <v>21</v>
      </c>
      <c r="P31" s="7" t="s">
        <v>21</v>
      </c>
      <c r="Q31" s="156" t="s">
        <v>21</v>
      </c>
      <c r="R31" s="7" t="s">
        <v>21</v>
      </c>
      <c r="S31" s="7" t="s">
        <v>21</v>
      </c>
      <c r="T31" s="156" t="s">
        <v>21</v>
      </c>
      <c r="U31" s="80" t="s">
        <v>21</v>
      </c>
      <c r="V31" s="80" t="s">
        <v>21</v>
      </c>
      <c r="W31" s="179" t="s">
        <v>21</v>
      </c>
      <c r="AC31" s="6" t="s">
        <v>21</v>
      </c>
      <c r="AD31" s="155" t="s">
        <v>21</v>
      </c>
      <c r="AE31" s="155" t="s">
        <v>21</v>
      </c>
      <c r="AF31" s="6" t="s">
        <v>21</v>
      </c>
      <c r="AG31" s="155" t="s">
        <v>21</v>
      </c>
      <c r="AH31" s="155" t="s">
        <v>21</v>
      </c>
      <c r="AI31" s="151">
        <v>3</v>
      </c>
      <c r="AJ31" s="7">
        <v>4</v>
      </c>
      <c r="AK31" s="156">
        <f>SUM(AI31/AJ31)*100</f>
        <v>75</v>
      </c>
      <c r="AL31" s="151">
        <v>27</v>
      </c>
      <c r="AM31" s="7">
        <v>36</v>
      </c>
      <c r="AN31" s="156">
        <f>SUM(AL31/AM31)*100</f>
        <v>75</v>
      </c>
      <c r="AO31" s="6" t="s">
        <v>21</v>
      </c>
      <c r="AP31" s="155" t="s">
        <v>21</v>
      </c>
      <c r="AQ31" s="155" t="s">
        <v>21</v>
      </c>
      <c r="AR31" s="158"/>
      <c r="AS31" s="158"/>
      <c r="AT31" s="158"/>
      <c r="AU31" s="122"/>
      <c r="AV31" s="122"/>
      <c r="AW31" s="122"/>
    </row>
    <row r="32" spans="1:56" ht="14.95" thickBot="1" x14ac:dyDescent="0.3">
      <c r="A32" s="340" t="s">
        <v>111</v>
      </c>
      <c r="B32" s="346">
        <v>3</v>
      </c>
      <c r="C32" s="410">
        <v>0</v>
      </c>
      <c r="D32" s="348">
        <v>0</v>
      </c>
      <c r="E32" s="411">
        <f t="shared" si="0"/>
        <v>3</v>
      </c>
      <c r="F32" s="214" t="s">
        <v>111</v>
      </c>
      <c r="G32" s="79">
        <v>15</v>
      </c>
      <c r="H32" s="360">
        <v>0</v>
      </c>
      <c r="I32" s="249">
        <v>0</v>
      </c>
      <c r="J32" s="216">
        <f t="shared" si="1"/>
        <v>15</v>
      </c>
      <c r="K32" s="341" t="s">
        <v>519</v>
      </c>
      <c r="L32" s="349" t="s">
        <v>21</v>
      </c>
      <c r="M32" s="349" t="s">
        <v>21</v>
      </c>
      <c r="N32" s="350" t="s">
        <v>21</v>
      </c>
      <c r="O32" s="7" t="s">
        <v>21</v>
      </c>
      <c r="P32" s="7" t="s">
        <v>21</v>
      </c>
      <c r="Q32" s="156" t="s">
        <v>21</v>
      </c>
      <c r="R32" s="7" t="s">
        <v>21</v>
      </c>
      <c r="S32" s="7" t="s">
        <v>21</v>
      </c>
      <c r="T32" s="156" t="s">
        <v>21</v>
      </c>
      <c r="U32" s="80" t="s">
        <v>21</v>
      </c>
      <c r="V32" s="80" t="s">
        <v>21</v>
      </c>
      <c r="W32" s="179" t="s">
        <v>21</v>
      </c>
      <c r="AC32" s="85" t="s">
        <v>21</v>
      </c>
      <c r="AD32" s="80" t="s">
        <v>21</v>
      </c>
      <c r="AE32" s="179" t="s">
        <v>21</v>
      </c>
      <c r="AF32" s="6">
        <v>1</v>
      </c>
      <c r="AG32" s="155">
        <v>1</v>
      </c>
      <c r="AH32" s="155">
        <v>100</v>
      </c>
      <c r="AI32" s="151" t="s">
        <v>21</v>
      </c>
      <c r="AJ32" s="7" t="s">
        <v>21</v>
      </c>
      <c r="AK32" s="7" t="s">
        <v>21</v>
      </c>
      <c r="AL32" s="6" t="s">
        <v>21</v>
      </c>
      <c r="AM32" s="7" t="s">
        <v>21</v>
      </c>
      <c r="AN32" s="7" t="s">
        <v>21</v>
      </c>
      <c r="AO32" s="6" t="s">
        <v>21</v>
      </c>
      <c r="AP32" s="7" t="s">
        <v>21</v>
      </c>
      <c r="AQ32" s="7" t="s">
        <v>21</v>
      </c>
      <c r="AR32" s="158"/>
      <c r="AS32" s="158"/>
      <c r="AT32" s="158"/>
      <c r="AU32" s="122"/>
      <c r="AV32" s="122"/>
      <c r="AW32" s="122"/>
    </row>
    <row r="33" spans="1:49" ht="15.8" customHeight="1" thickBot="1" x14ac:dyDescent="0.3">
      <c r="A33" s="340" t="s">
        <v>286</v>
      </c>
      <c r="B33" s="346">
        <v>3</v>
      </c>
      <c r="C33" s="410">
        <v>0</v>
      </c>
      <c r="D33" s="348">
        <v>0</v>
      </c>
      <c r="E33" s="411">
        <f t="shared" si="0"/>
        <v>3</v>
      </c>
      <c r="F33" s="214" t="s">
        <v>286</v>
      </c>
      <c r="G33" s="79">
        <v>15</v>
      </c>
      <c r="H33" s="360">
        <v>0</v>
      </c>
      <c r="I33" s="249">
        <v>0</v>
      </c>
      <c r="J33" s="216">
        <f t="shared" si="1"/>
        <v>15</v>
      </c>
      <c r="K33" s="341" t="s">
        <v>613</v>
      </c>
      <c r="L33" s="349">
        <v>4</v>
      </c>
      <c r="M33" s="349">
        <v>7</v>
      </c>
      <c r="N33" s="350">
        <v>57</v>
      </c>
      <c r="O33" s="7">
        <v>2</v>
      </c>
      <c r="P33" s="7">
        <v>3</v>
      </c>
      <c r="Q33" s="156">
        <v>66.666666666666657</v>
      </c>
      <c r="R33" s="7">
        <v>3</v>
      </c>
      <c r="S33" s="7">
        <v>3</v>
      </c>
      <c r="T33" s="156">
        <f t="shared" ref="T33" si="20">SUM(R33/S33)*100</f>
        <v>100</v>
      </c>
      <c r="U33" s="80" t="s">
        <v>21</v>
      </c>
      <c r="V33" s="80" t="s">
        <v>21</v>
      </c>
      <c r="W33" s="179" t="s">
        <v>21</v>
      </c>
      <c r="AC33" s="85" t="s">
        <v>21</v>
      </c>
      <c r="AD33" s="80" t="s">
        <v>21</v>
      </c>
      <c r="AE33" s="179" t="s">
        <v>21</v>
      </c>
      <c r="AF33" s="98" t="s">
        <v>21</v>
      </c>
      <c r="AG33" s="80" t="s">
        <v>21</v>
      </c>
      <c r="AH33" s="179" t="s">
        <v>21</v>
      </c>
      <c r="AI33" s="151" t="s">
        <v>21</v>
      </c>
      <c r="AJ33" s="7" t="s">
        <v>21</v>
      </c>
      <c r="AK33" s="7" t="s">
        <v>21</v>
      </c>
      <c r="AL33" s="6" t="s">
        <v>21</v>
      </c>
      <c r="AM33" s="7" t="s">
        <v>21</v>
      </c>
      <c r="AN33" s="7" t="s">
        <v>21</v>
      </c>
      <c r="AO33" s="6" t="s">
        <v>21</v>
      </c>
      <c r="AP33" s="7" t="s">
        <v>21</v>
      </c>
      <c r="AQ33" s="7" t="s">
        <v>21</v>
      </c>
      <c r="AR33" s="158"/>
      <c r="AS33" s="158"/>
      <c r="AT33" s="158"/>
      <c r="AU33" s="122"/>
      <c r="AV33" s="122"/>
      <c r="AW33" s="122"/>
    </row>
    <row r="34" spans="1:49" ht="15.8" customHeight="1" thickBot="1" x14ac:dyDescent="0.3">
      <c r="A34" s="340" t="s">
        <v>661</v>
      </c>
      <c r="B34" s="346">
        <v>1</v>
      </c>
      <c r="C34" s="410">
        <v>0</v>
      </c>
      <c r="D34" s="348">
        <v>1</v>
      </c>
      <c r="E34" s="411">
        <f t="shared" ref="E34:E48" si="21">SUM(B34:D34)</f>
        <v>2</v>
      </c>
      <c r="F34" s="214" t="s">
        <v>661</v>
      </c>
      <c r="G34" s="79">
        <v>5</v>
      </c>
      <c r="H34" s="360">
        <v>0</v>
      </c>
      <c r="I34" s="249">
        <v>5</v>
      </c>
      <c r="J34" s="216">
        <f t="shared" ref="J34:J48" si="22">SUM(G34:I34)</f>
        <v>10</v>
      </c>
      <c r="K34" s="451" t="s">
        <v>863</v>
      </c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AP34" s="4"/>
      <c r="AQ34" s="4"/>
      <c r="AR34" s="4"/>
    </row>
    <row r="35" spans="1:49" ht="14.95" thickBot="1" x14ac:dyDescent="0.3">
      <c r="A35" s="340" t="s">
        <v>923</v>
      </c>
      <c r="B35" s="346">
        <v>0</v>
      </c>
      <c r="C35" s="410">
        <v>0</v>
      </c>
      <c r="D35" s="348">
        <v>0</v>
      </c>
      <c r="E35" s="411">
        <f t="shared" si="21"/>
        <v>0</v>
      </c>
      <c r="F35" s="214" t="s">
        <v>923</v>
      </c>
      <c r="G35" s="79">
        <v>155</v>
      </c>
      <c r="H35" s="360">
        <v>9</v>
      </c>
      <c r="I35" s="249">
        <v>0</v>
      </c>
      <c r="J35" s="216">
        <f t="shared" si="22"/>
        <v>164</v>
      </c>
      <c r="K35" s="451" t="s">
        <v>784</v>
      </c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</row>
    <row r="36" spans="1:49" ht="14.95" thickBot="1" x14ac:dyDescent="0.3">
      <c r="A36" s="340" t="s">
        <v>750</v>
      </c>
      <c r="B36" s="346">
        <v>0</v>
      </c>
      <c r="C36" s="410">
        <v>0</v>
      </c>
      <c r="D36" s="348">
        <v>0</v>
      </c>
      <c r="E36" s="411">
        <f t="shared" si="21"/>
        <v>0</v>
      </c>
      <c r="F36" s="214" t="s">
        <v>750</v>
      </c>
      <c r="G36" s="79">
        <v>0</v>
      </c>
      <c r="H36" s="360">
        <v>0</v>
      </c>
      <c r="I36" s="249">
        <v>0</v>
      </c>
      <c r="J36" s="216">
        <f t="shared" si="22"/>
        <v>0</v>
      </c>
      <c r="K36" s="451" t="s">
        <v>1045</v>
      </c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</row>
    <row r="37" spans="1:49" ht="14.95" thickBot="1" x14ac:dyDescent="0.3">
      <c r="A37" s="340" t="s">
        <v>980</v>
      </c>
      <c r="B37" s="346">
        <v>2</v>
      </c>
      <c r="C37" s="410">
        <v>0</v>
      </c>
      <c r="D37" s="348">
        <v>0</v>
      </c>
      <c r="E37" s="411">
        <f t="shared" si="21"/>
        <v>2</v>
      </c>
      <c r="F37" s="214" t="s">
        <v>980</v>
      </c>
      <c r="G37" s="79">
        <v>10</v>
      </c>
      <c r="H37" s="360">
        <v>0</v>
      </c>
      <c r="I37" s="249">
        <v>0</v>
      </c>
      <c r="J37" s="216">
        <f t="shared" si="22"/>
        <v>10</v>
      </c>
      <c r="K37" s="45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</row>
    <row r="38" spans="1:49" ht="14.95" thickBot="1" x14ac:dyDescent="0.3">
      <c r="A38" s="340" t="s">
        <v>918</v>
      </c>
      <c r="B38" s="346">
        <v>8</v>
      </c>
      <c r="C38" s="410">
        <v>0</v>
      </c>
      <c r="D38" s="348">
        <v>0</v>
      </c>
      <c r="E38" s="411">
        <f t="shared" si="21"/>
        <v>8</v>
      </c>
      <c r="F38" s="214" t="s">
        <v>918</v>
      </c>
      <c r="G38" s="79">
        <v>57</v>
      </c>
      <c r="H38" s="360">
        <v>28</v>
      </c>
      <c r="I38" s="249">
        <v>12</v>
      </c>
      <c r="J38" s="216">
        <f t="shared" si="22"/>
        <v>97</v>
      </c>
      <c r="K38" s="211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49" ht="14.95" thickBot="1" x14ac:dyDescent="0.3">
      <c r="A39" s="340" t="s">
        <v>695</v>
      </c>
      <c r="B39" s="346">
        <v>0</v>
      </c>
      <c r="C39" s="410">
        <v>0</v>
      </c>
      <c r="D39" s="348">
        <v>1</v>
      </c>
      <c r="E39" s="411">
        <f t="shared" si="21"/>
        <v>1</v>
      </c>
      <c r="F39" s="214" t="s">
        <v>695</v>
      </c>
      <c r="G39" s="79">
        <v>0</v>
      </c>
      <c r="H39" s="360">
        <v>0</v>
      </c>
      <c r="I39" s="249">
        <v>5</v>
      </c>
      <c r="J39" s="216">
        <f t="shared" si="22"/>
        <v>5</v>
      </c>
    </row>
    <row r="40" spans="1:49" ht="14.95" thickBot="1" x14ac:dyDescent="0.3">
      <c r="A40" s="340" t="s">
        <v>975</v>
      </c>
      <c r="B40" s="346">
        <v>2</v>
      </c>
      <c r="C40" s="410">
        <v>0</v>
      </c>
      <c r="D40" s="348">
        <v>0</v>
      </c>
      <c r="E40" s="411">
        <f t="shared" si="21"/>
        <v>2</v>
      </c>
      <c r="F40" s="214" t="s">
        <v>975</v>
      </c>
      <c r="G40" s="79">
        <v>10</v>
      </c>
      <c r="H40" s="360">
        <v>0</v>
      </c>
      <c r="I40" s="249">
        <v>0</v>
      </c>
      <c r="J40" s="216">
        <f t="shared" si="22"/>
        <v>10</v>
      </c>
      <c r="AJ40" s="4"/>
      <c r="AK40" s="4"/>
      <c r="AL40" s="4"/>
      <c r="AM40" s="4"/>
      <c r="AN40" s="4"/>
    </row>
    <row r="41" spans="1:49" ht="14.95" customHeight="1" thickBot="1" x14ac:dyDescent="0.3">
      <c r="A41" s="340" t="s">
        <v>98</v>
      </c>
      <c r="B41" s="346">
        <v>0</v>
      </c>
      <c r="C41" s="410">
        <v>0</v>
      </c>
      <c r="D41" s="348">
        <v>0</v>
      </c>
      <c r="E41" s="411">
        <f t="shared" si="21"/>
        <v>0</v>
      </c>
      <c r="F41" s="214" t="s">
        <v>98</v>
      </c>
      <c r="G41" s="79">
        <v>0</v>
      </c>
      <c r="H41" s="360">
        <v>0</v>
      </c>
      <c r="I41" s="249">
        <v>0</v>
      </c>
      <c r="J41" s="216">
        <f t="shared" si="22"/>
        <v>0</v>
      </c>
    </row>
    <row r="42" spans="1:49" ht="14.95" customHeight="1" thickBot="1" x14ac:dyDescent="0.3">
      <c r="A42" s="340" t="s">
        <v>97</v>
      </c>
      <c r="B42" s="346">
        <v>0</v>
      </c>
      <c r="C42" s="410">
        <v>0</v>
      </c>
      <c r="D42" s="348">
        <v>1</v>
      </c>
      <c r="E42" s="411">
        <f t="shared" si="21"/>
        <v>1</v>
      </c>
      <c r="F42" s="214" t="s">
        <v>97</v>
      </c>
      <c r="G42" s="79">
        <v>0</v>
      </c>
      <c r="H42" s="360">
        <v>0</v>
      </c>
      <c r="I42" s="249">
        <v>5</v>
      </c>
      <c r="J42" s="216">
        <f t="shared" si="22"/>
        <v>5</v>
      </c>
      <c r="AO42" s="4"/>
    </row>
    <row r="43" spans="1:49" ht="14.95" customHeight="1" thickBot="1" x14ac:dyDescent="0.3">
      <c r="A43" s="340" t="s">
        <v>850</v>
      </c>
      <c r="B43" s="346">
        <v>0</v>
      </c>
      <c r="C43" s="410">
        <v>0</v>
      </c>
      <c r="D43" s="348">
        <v>0</v>
      </c>
      <c r="E43" s="411">
        <f t="shared" si="21"/>
        <v>0</v>
      </c>
      <c r="F43" s="214" t="s">
        <v>850</v>
      </c>
      <c r="G43" s="79">
        <v>0</v>
      </c>
      <c r="H43" s="360">
        <v>0</v>
      </c>
      <c r="I43" s="249">
        <v>0</v>
      </c>
      <c r="J43" s="216">
        <f t="shared" si="22"/>
        <v>0</v>
      </c>
    </row>
    <row r="44" spans="1:49" ht="14.95" customHeight="1" thickBot="1" x14ac:dyDescent="0.3">
      <c r="A44" s="340" t="s">
        <v>113</v>
      </c>
      <c r="B44" s="346">
        <v>0</v>
      </c>
      <c r="C44" s="410">
        <v>0</v>
      </c>
      <c r="D44" s="348">
        <v>0</v>
      </c>
      <c r="E44" s="411">
        <f t="shared" si="21"/>
        <v>0</v>
      </c>
      <c r="F44" s="214" t="s">
        <v>113</v>
      </c>
      <c r="G44" s="79">
        <v>0</v>
      </c>
      <c r="H44" s="360">
        <v>0</v>
      </c>
      <c r="I44" s="249">
        <v>0</v>
      </c>
      <c r="J44" s="216">
        <f t="shared" si="22"/>
        <v>0</v>
      </c>
    </row>
    <row r="45" spans="1:49" ht="14.95" thickBot="1" x14ac:dyDescent="0.3">
      <c r="A45" s="340" t="s">
        <v>516</v>
      </c>
      <c r="B45" s="346">
        <v>0</v>
      </c>
      <c r="C45" s="410">
        <v>0</v>
      </c>
      <c r="D45" s="348">
        <v>0</v>
      </c>
      <c r="E45" s="411">
        <f t="shared" si="21"/>
        <v>0</v>
      </c>
      <c r="F45" s="214" t="s">
        <v>516</v>
      </c>
      <c r="G45" s="79">
        <v>0</v>
      </c>
      <c r="H45" s="360">
        <v>0</v>
      </c>
      <c r="I45" s="249">
        <v>0</v>
      </c>
      <c r="J45" s="216">
        <f t="shared" si="22"/>
        <v>0</v>
      </c>
    </row>
    <row r="46" spans="1:49" ht="14.95" thickBot="1" x14ac:dyDescent="0.3">
      <c r="A46" s="340" t="s">
        <v>613</v>
      </c>
      <c r="B46" s="346">
        <v>0</v>
      </c>
      <c r="C46" s="410">
        <v>0</v>
      </c>
      <c r="D46" s="348">
        <v>1</v>
      </c>
      <c r="E46" s="411">
        <f t="shared" si="21"/>
        <v>1</v>
      </c>
      <c r="F46" s="213" t="s">
        <v>613</v>
      </c>
      <c r="G46" s="79">
        <v>0</v>
      </c>
      <c r="H46" s="360">
        <v>0</v>
      </c>
      <c r="I46" s="249">
        <v>14</v>
      </c>
      <c r="J46" s="216">
        <f t="shared" si="22"/>
        <v>14</v>
      </c>
    </row>
    <row r="47" spans="1:49" ht="14.95" thickBot="1" x14ac:dyDescent="0.3">
      <c r="A47" s="340" t="s">
        <v>163</v>
      </c>
      <c r="B47" s="346">
        <v>0</v>
      </c>
      <c r="C47" s="410">
        <v>0</v>
      </c>
      <c r="D47" s="348">
        <v>0</v>
      </c>
      <c r="E47" s="411">
        <f t="shared" si="21"/>
        <v>0</v>
      </c>
      <c r="F47" s="213" t="s">
        <v>163</v>
      </c>
      <c r="G47" s="79">
        <v>0</v>
      </c>
      <c r="H47" s="360">
        <v>0</v>
      </c>
      <c r="I47" s="249">
        <v>0</v>
      </c>
      <c r="J47" s="216">
        <f t="shared" si="22"/>
        <v>0</v>
      </c>
    </row>
    <row r="48" spans="1:49" ht="14.95" thickBot="1" x14ac:dyDescent="0.3">
      <c r="A48" s="340" t="s">
        <v>3</v>
      </c>
      <c r="B48" s="346">
        <f>SUM(B3:B47)</f>
        <v>75</v>
      </c>
      <c r="C48" s="410">
        <f>SUM(C3:C47)</f>
        <v>20</v>
      </c>
      <c r="D48" s="348">
        <f>SUM(D3:D47)</f>
        <v>24</v>
      </c>
      <c r="E48" s="411">
        <f t="shared" si="21"/>
        <v>119</v>
      </c>
      <c r="F48" s="213" t="s">
        <v>3</v>
      </c>
      <c r="G48" s="79">
        <f>SUM(G3:G47)</f>
        <v>563</v>
      </c>
      <c r="H48" s="360">
        <f>SUM(H3:H47)</f>
        <v>139</v>
      </c>
      <c r="I48" s="249">
        <f>SUM(I3:I47)</f>
        <v>162</v>
      </c>
      <c r="J48" s="216">
        <f t="shared" si="22"/>
        <v>864</v>
      </c>
    </row>
    <row r="49" spans="1:10" x14ac:dyDescent="0.25">
      <c r="A49" s="444"/>
      <c r="B49" s="445"/>
      <c r="C49" s="445"/>
      <c r="D49" s="445"/>
      <c r="E49" s="445"/>
      <c r="F49" s="445"/>
      <c r="G49" s="445"/>
      <c r="H49" s="445"/>
      <c r="I49" s="96"/>
    </row>
    <row r="50" spans="1:10" ht="14.95" thickBot="1" x14ac:dyDescent="0.3">
      <c r="A50" t="s">
        <v>884</v>
      </c>
      <c r="B50" s="135"/>
      <c r="C50" s="96"/>
      <c r="D50" s="96"/>
      <c r="E50" s="67"/>
      <c r="F50" s="37"/>
      <c r="G50" s="136"/>
      <c r="H50" s="97"/>
      <c r="I50" s="97"/>
      <c r="J50" s="37"/>
    </row>
    <row r="51" spans="1:10" ht="14.95" thickBot="1" x14ac:dyDescent="0.3">
      <c r="A51" s="341" t="s">
        <v>0</v>
      </c>
      <c r="B51" s="342" t="s">
        <v>355</v>
      </c>
      <c r="C51" s="408" t="s">
        <v>42</v>
      </c>
      <c r="D51" s="344" t="s">
        <v>564</v>
      </c>
      <c r="E51" s="409" t="s">
        <v>1</v>
      </c>
      <c r="F51" s="212" t="s">
        <v>2</v>
      </c>
      <c r="G51" s="111" t="s">
        <v>355</v>
      </c>
      <c r="H51" s="359" t="s">
        <v>42</v>
      </c>
      <c r="I51" s="248" t="s">
        <v>564</v>
      </c>
      <c r="J51" s="215" t="s">
        <v>1</v>
      </c>
    </row>
    <row r="52" spans="1:10" ht="14.95" thickBot="1" x14ac:dyDescent="0.3">
      <c r="A52" s="340" t="s">
        <v>486</v>
      </c>
      <c r="B52" s="346">
        <v>8</v>
      </c>
      <c r="C52" s="410">
        <v>4</v>
      </c>
      <c r="D52" s="348">
        <v>0</v>
      </c>
      <c r="E52" s="411">
        <f t="shared" ref="E52:E96" si="23">SUM(B52:D52)</f>
        <v>12</v>
      </c>
      <c r="F52" s="213" t="s">
        <v>923</v>
      </c>
      <c r="G52" s="79">
        <v>155</v>
      </c>
      <c r="H52" s="360">
        <v>9</v>
      </c>
      <c r="I52" s="249">
        <v>0</v>
      </c>
      <c r="J52" s="216">
        <f t="shared" ref="J52:J96" si="24">SUM(G52:I52)</f>
        <v>164</v>
      </c>
    </row>
    <row r="53" spans="1:10" ht="14.95" thickBot="1" x14ac:dyDescent="0.3">
      <c r="A53" s="340" t="s">
        <v>95</v>
      </c>
      <c r="B53" s="346">
        <v>7</v>
      </c>
      <c r="C53" s="410">
        <v>4</v>
      </c>
      <c r="D53" s="348">
        <v>0</v>
      </c>
      <c r="E53" s="411">
        <f t="shared" si="23"/>
        <v>11</v>
      </c>
      <c r="F53" s="213" t="s">
        <v>918</v>
      </c>
      <c r="G53" s="79">
        <v>57</v>
      </c>
      <c r="H53" s="360">
        <v>28</v>
      </c>
      <c r="I53" s="249">
        <v>12</v>
      </c>
      <c r="J53" s="216">
        <f t="shared" si="24"/>
        <v>97</v>
      </c>
    </row>
    <row r="54" spans="1:10" ht="14.95" thickBot="1" x14ac:dyDescent="0.3">
      <c r="A54" s="340" t="s">
        <v>362</v>
      </c>
      <c r="B54" s="346">
        <v>8</v>
      </c>
      <c r="C54" s="410">
        <v>1</v>
      </c>
      <c r="D54" s="348">
        <v>2</v>
      </c>
      <c r="E54" s="411">
        <f t="shared" si="23"/>
        <v>11</v>
      </c>
      <c r="F54" s="213" t="s">
        <v>486</v>
      </c>
      <c r="G54" s="79">
        <v>40</v>
      </c>
      <c r="H54" s="360">
        <v>20</v>
      </c>
      <c r="I54" s="249">
        <v>0</v>
      </c>
      <c r="J54" s="216">
        <f t="shared" si="24"/>
        <v>60</v>
      </c>
    </row>
    <row r="55" spans="1:10" ht="14.95" thickBot="1" x14ac:dyDescent="0.3">
      <c r="A55" s="340" t="s">
        <v>331</v>
      </c>
      <c r="B55" s="346">
        <v>5</v>
      </c>
      <c r="C55" s="410">
        <v>0</v>
      </c>
      <c r="D55" s="348">
        <v>5</v>
      </c>
      <c r="E55" s="411">
        <f t="shared" si="23"/>
        <v>10</v>
      </c>
      <c r="F55" s="214" t="s">
        <v>95</v>
      </c>
      <c r="G55" s="79">
        <v>35</v>
      </c>
      <c r="H55" s="360">
        <v>20</v>
      </c>
      <c r="I55" s="249">
        <v>0</v>
      </c>
      <c r="J55" s="216">
        <f t="shared" si="24"/>
        <v>55</v>
      </c>
    </row>
    <row r="56" spans="1:10" ht="14.95" thickBot="1" x14ac:dyDescent="0.3">
      <c r="A56" s="340" t="s">
        <v>916</v>
      </c>
      <c r="B56" s="346">
        <v>6</v>
      </c>
      <c r="C56" s="410">
        <v>2</v>
      </c>
      <c r="D56" s="348">
        <v>0</v>
      </c>
      <c r="E56" s="411">
        <f t="shared" si="23"/>
        <v>8</v>
      </c>
      <c r="F56" s="214" t="s">
        <v>362</v>
      </c>
      <c r="G56" s="79">
        <v>40</v>
      </c>
      <c r="H56" s="360">
        <v>5</v>
      </c>
      <c r="I56" s="249">
        <v>10</v>
      </c>
      <c r="J56" s="216">
        <f t="shared" si="24"/>
        <v>55</v>
      </c>
    </row>
    <row r="57" spans="1:10" ht="14.95" thickBot="1" x14ac:dyDescent="0.3">
      <c r="A57" s="340" t="s">
        <v>918</v>
      </c>
      <c r="B57" s="346">
        <v>8</v>
      </c>
      <c r="C57" s="410">
        <v>0</v>
      </c>
      <c r="D57" s="348">
        <v>0</v>
      </c>
      <c r="E57" s="411">
        <f t="shared" si="23"/>
        <v>8</v>
      </c>
      <c r="F57" s="214" t="s">
        <v>331</v>
      </c>
      <c r="G57" s="79">
        <v>25</v>
      </c>
      <c r="H57" s="360">
        <v>0</v>
      </c>
      <c r="I57" s="249">
        <v>25</v>
      </c>
      <c r="J57" s="216">
        <f t="shared" si="24"/>
        <v>50</v>
      </c>
    </row>
    <row r="58" spans="1:10" ht="14.95" thickBot="1" x14ac:dyDescent="0.3">
      <c r="A58" s="340" t="s">
        <v>44</v>
      </c>
      <c r="B58" s="346">
        <v>3</v>
      </c>
      <c r="C58" s="410">
        <v>2</v>
      </c>
      <c r="D58" s="348">
        <v>1</v>
      </c>
      <c r="E58" s="411">
        <f t="shared" si="23"/>
        <v>6</v>
      </c>
      <c r="F58" s="214" t="s">
        <v>916</v>
      </c>
      <c r="G58" s="79">
        <v>30</v>
      </c>
      <c r="H58" s="360">
        <v>10</v>
      </c>
      <c r="I58" s="249">
        <v>0</v>
      </c>
      <c r="J58" s="216">
        <f t="shared" si="24"/>
        <v>40</v>
      </c>
    </row>
    <row r="59" spans="1:10" ht="14.95" thickBot="1" x14ac:dyDescent="0.3">
      <c r="A59" s="340" t="s">
        <v>101</v>
      </c>
      <c r="B59" s="346">
        <v>4</v>
      </c>
      <c r="C59" s="410">
        <v>2</v>
      </c>
      <c r="D59" s="348">
        <v>0</v>
      </c>
      <c r="E59" s="411">
        <f t="shared" si="23"/>
        <v>6</v>
      </c>
      <c r="F59" s="214" t="s">
        <v>44</v>
      </c>
      <c r="G59" s="79">
        <v>15</v>
      </c>
      <c r="H59" s="360">
        <v>10</v>
      </c>
      <c r="I59" s="249">
        <v>5</v>
      </c>
      <c r="J59" s="216">
        <f t="shared" si="24"/>
        <v>30</v>
      </c>
    </row>
    <row r="60" spans="1:10" ht="14.95" thickBot="1" x14ac:dyDescent="0.3">
      <c r="A60" s="340" t="s">
        <v>71</v>
      </c>
      <c r="B60" s="346">
        <v>1</v>
      </c>
      <c r="C60" s="410">
        <v>0</v>
      </c>
      <c r="D60" s="348">
        <v>2</v>
      </c>
      <c r="E60" s="411">
        <f t="shared" si="23"/>
        <v>3</v>
      </c>
      <c r="F60" s="214" t="s">
        <v>101</v>
      </c>
      <c r="G60" s="79">
        <v>20</v>
      </c>
      <c r="H60" s="360">
        <v>10</v>
      </c>
      <c r="I60" s="249">
        <v>0</v>
      </c>
      <c r="J60" s="216">
        <f t="shared" si="24"/>
        <v>30</v>
      </c>
    </row>
    <row r="61" spans="1:10" ht="14.95" thickBot="1" x14ac:dyDescent="0.3">
      <c r="A61" s="340" t="s">
        <v>959</v>
      </c>
      <c r="B61" s="346">
        <v>1</v>
      </c>
      <c r="C61" s="410">
        <v>2</v>
      </c>
      <c r="D61" s="348">
        <v>0</v>
      </c>
      <c r="E61" s="411">
        <f t="shared" si="23"/>
        <v>3</v>
      </c>
      <c r="F61" s="214" t="s">
        <v>46</v>
      </c>
      <c r="G61" s="79">
        <v>0</v>
      </c>
      <c r="H61" s="360">
        <v>0</v>
      </c>
      <c r="I61" s="249">
        <v>24</v>
      </c>
      <c r="J61" s="216">
        <f t="shared" si="24"/>
        <v>24</v>
      </c>
    </row>
    <row r="62" spans="1:10" ht="14.95" thickBot="1" x14ac:dyDescent="0.3">
      <c r="A62" s="340" t="s">
        <v>717</v>
      </c>
      <c r="B62" s="346">
        <v>2</v>
      </c>
      <c r="C62" s="410">
        <v>1</v>
      </c>
      <c r="D62" s="348">
        <v>0</v>
      </c>
      <c r="E62" s="411">
        <f t="shared" si="23"/>
        <v>3</v>
      </c>
      <c r="F62" s="214" t="s">
        <v>5</v>
      </c>
      <c r="G62" s="79">
        <v>14</v>
      </c>
      <c r="H62" s="360">
        <v>0</v>
      </c>
      <c r="I62" s="249">
        <v>7</v>
      </c>
      <c r="J62" s="216">
        <f t="shared" si="24"/>
        <v>21</v>
      </c>
    </row>
    <row r="63" spans="1:10" ht="14.95" thickBot="1" x14ac:dyDescent="0.3">
      <c r="A63" s="340" t="s">
        <v>41</v>
      </c>
      <c r="B63" s="346">
        <v>1</v>
      </c>
      <c r="C63" s="410">
        <v>1</v>
      </c>
      <c r="D63" s="348">
        <v>1</v>
      </c>
      <c r="E63" s="411">
        <f t="shared" si="23"/>
        <v>3</v>
      </c>
      <c r="F63" s="214" t="s">
        <v>71</v>
      </c>
      <c r="G63" s="79">
        <v>5</v>
      </c>
      <c r="H63" s="360">
        <v>0</v>
      </c>
      <c r="I63" s="249">
        <v>10</v>
      </c>
      <c r="J63" s="216">
        <f t="shared" si="24"/>
        <v>15</v>
      </c>
    </row>
    <row r="64" spans="1:10" ht="14.95" thickBot="1" x14ac:dyDescent="0.3">
      <c r="A64" s="340" t="s">
        <v>96</v>
      </c>
      <c r="B64" s="346">
        <v>2</v>
      </c>
      <c r="C64" s="410">
        <v>1</v>
      </c>
      <c r="D64" s="348">
        <v>0</v>
      </c>
      <c r="E64" s="411">
        <f t="shared" si="23"/>
        <v>3</v>
      </c>
      <c r="F64" s="214" t="s">
        <v>959</v>
      </c>
      <c r="G64" s="79">
        <v>5</v>
      </c>
      <c r="H64" s="360">
        <v>10</v>
      </c>
      <c r="I64" s="249">
        <v>0</v>
      </c>
      <c r="J64" s="216">
        <f t="shared" si="24"/>
        <v>15</v>
      </c>
    </row>
    <row r="65" spans="1:10" ht="14.95" thickBot="1" x14ac:dyDescent="0.3">
      <c r="A65" s="340" t="s">
        <v>602</v>
      </c>
      <c r="B65" s="346">
        <v>1</v>
      </c>
      <c r="C65" s="410">
        <v>0</v>
      </c>
      <c r="D65" s="348">
        <v>2</v>
      </c>
      <c r="E65" s="411">
        <f t="shared" si="23"/>
        <v>3</v>
      </c>
      <c r="F65" s="214" t="s">
        <v>717</v>
      </c>
      <c r="G65" s="79">
        <v>10</v>
      </c>
      <c r="H65" s="360">
        <v>5</v>
      </c>
      <c r="I65" s="249">
        <v>0</v>
      </c>
      <c r="J65" s="216">
        <f t="shared" si="24"/>
        <v>15</v>
      </c>
    </row>
    <row r="66" spans="1:10" ht="14.95" thickBot="1" x14ac:dyDescent="0.3">
      <c r="A66" s="340" t="s">
        <v>5</v>
      </c>
      <c r="B66" s="346">
        <v>2</v>
      </c>
      <c r="C66" s="410">
        <v>0</v>
      </c>
      <c r="D66" s="348">
        <v>1</v>
      </c>
      <c r="E66" s="411">
        <f t="shared" si="23"/>
        <v>3</v>
      </c>
      <c r="F66" s="213" t="s">
        <v>41</v>
      </c>
      <c r="G66" s="79">
        <v>5</v>
      </c>
      <c r="H66" s="360">
        <v>5</v>
      </c>
      <c r="I66" s="249">
        <v>5</v>
      </c>
      <c r="J66" s="216">
        <f t="shared" si="24"/>
        <v>15</v>
      </c>
    </row>
    <row r="67" spans="1:10" ht="14.95" thickBot="1" x14ac:dyDescent="0.3">
      <c r="A67" s="340" t="s">
        <v>111</v>
      </c>
      <c r="B67" s="346">
        <v>3</v>
      </c>
      <c r="C67" s="410">
        <v>0</v>
      </c>
      <c r="D67" s="348">
        <v>0</v>
      </c>
      <c r="E67" s="411">
        <f t="shared" si="23"/>
        <v>3</v>
      </c>
      <c r="F67" s="213" t="s">
        <v>96</v>
      </c>
      <c r="G67" s="79">
        <v>10</v>
      </c>
      <c r="H67" s="360">
        <v>5</v>
      </c>
      <c r="I67" s="249">
        <v>0</v>
      </c>
      <c r="J67" s="216">
        <f t="shared" si="24"/>
        <v>15</v>
      </c>
    </row>
    <row r="68" spans="1:10" ht="14.95" thickBot="1" x14ac:dyDescent="0.3">
      <c r="A68" s="340" t="s">
        <v>286</v>
      </c>
      <c r="B68" s="346">
        <v>3</v>
      </c>
      <c r="C68" s="410">
        <v>0</v>
      </c>
      <c r="D68" s="348">
        <v>0</v>
      </c>
      <c r="E68" s="411">
        <f t="shared" si="23"/>
        <v>3</v>
      </c>
      <c r="F68" s="214" t="s">
        <v>602</v>
      </c>
      <c r="G68" s="79">
        <v>5</v>
      </c>
      <c r="H68" s="360">
        <v>0</v>
      </c>
      <c r="I68" s="249">
        <v>10</v>
      </c>
      <c r="J68" s="216">
        <f t="shared" si="24"/>
        <v>15</v>
      </c>
    </row>
    <row r="69" spans="1:10" ht="14.95" thickBot="1" x14ac:dyDescent="0.3">
      <c r="A69" s="340" t="s">
        <v>306</v>
      </c>
      <c r="B69" s="346">
        <v>0</v>
      </c>
      <c r="C69" s="410">
        <v>0</v>
      </c>
      <c r="D69" s="348">
        <v>2</v>
      </c>
      <c r="E69" s="411">
        <f t="shared" si="23"/>
        <v>2</v>
      </c>
      <c r="F69" s="214" t="s">
        <v>111</v>
      </c>
      <c r="G69" s="79">
        <v>15</v>
      </c>
      <c r="H69" s="360">
        <v>0</v>
      </c>
      <c r="I69" s="249">
        <v>0</v>
      </c>
      <c r="J69" s="216">
        <f t="shared" si="24"/>
        <v>15</v>
      </c>
    </row>
    <row r="70" spans="1:10" ht="14.95" thickBot="1" x14ac:dyDescent="0.3">
      <c r="A70" s="340" t="s">
        <v>872</v>
      </c>
      <c r="B70" s="346">
        <v>1</v>
      </c>
      <c r="C70" s="410">
        <v>0</v>
      </c>
      <c r="D70" s="348">
        <v>1</v>
      </c>
      <c r="E70" s="411">
        <f t="shared" si="23"/>
        <v>2</v>
      </c>
      <c r="F70" s="214" t="s">
        <v>286</v>
      </c>
      <c r="G70" s="79">
        <v>15</v>
      </c>
      <c r="H70" s="360">
        <v>0</v>
      </c>
      <c r="I70" s="249">
        <v>0</v>
      </c>
      <c r="J70" s="216">
        <f t="shared" si="24"/>
        <v>15</v>
      </c>
    </row>
    <row r="71" spans="1:10" ht="14.95" thickBot="1" x14ac:dyDescent="0.3">
      <c r="A71" s="340" t="s">
        <v>136</v>
      </c>
      <c r="B71" s="346">
        <v>2</v>
      </c>
      <c r="C71" s="410">
        <v>0</v>
      </c>
      <c r="D71" s="348">
        <v>0</v>
      </c>
      <c r="E71" s="411">
        <f t="shared" si="23"/>
        <v>2</v>
      </c>
      <c r="F71" s="214" t="s">
        <v>613</v>
      </c>
      <c r="G71" s="79">
        <v>0</v>
      </c>
      <c r="H71" s="360">
        <v>0</v>
      </c>
      <c r="I71" s="249">
        <v>14</v>
      </c>
      <c r="J71" s="216">
        <f t="shared" si="24"/>
        <v>14</v>
      </c>
    </row>
    <row r="72" spans="1:10" ht="14.95" thickBot="1" x14ac:dyDescent="0.3">
      <c r="A72" s="340" t="s">
        <v>661</v>
      </c>
      <c r="B72" s="346">
        <v>1</v>
      </c>
      <c r="C72" s="410">
        <v>0</v>
      </c>
      <c r="D72" s="348">
        <v>1</v>
      </c>
      <c r="E72" s="411">
        <f t="shared" si="23"/>
        <v>2</v>
      </c>
      <c r="F72" s="214" t="s">
        <v>477</v>
      </c>
      <c r="G72" s="79">
        <v>10</v>
      </c>
      <c r="H72" s="360">
        <v>2</v>
      </c>
      <c r="I72" s="249">
        <v>0</v>
      </c>
      <c r="J72" s="216">
        <f t="shared" si="24"/>
        <v>12</v>
      </c>
    </row>
    <row r="73" spans="1:10" ht="14.95" thickBot="1" x14ac:dyDescent="0.3">
      <c r="A73" s="340" t="s">
        <v>980</v>
      </c>
      <c r="B73" s="346">
        <v>2</v>
      </c>
      <c r="C73" s="410">
        <v>0</v>
      </c>
      <c r="D73" s="348">
        <v>0</v>
      </c>
      <c r="E73" s="411">
        <f t="shared" si="23"/>
        <v>2</v>
      </c>
      <c r="F73" s="214" t="s">
        <v>306</v>
      </c>
      <c r="G73" s="79">
        <v>2</v>
      </c>
      <c r="H73" s="360">
        <v>0</v>
      </c>
      <c r="I73" s="249">
        <v>10</v>
      </c>
      <c r="J73" s="216">
        <f t="shared" si="24"/>
        <v>12</v>
      </c>
    </row>
    <row r="74" spans="1:10" ht="14.95" thickBot="1" x14ac:dyDescent="0.3">
      <c r="A74" s="340" t="s">
        <v>975</v>
      </c>
      <c r="B74" s="346">
        <v>2</v>
      </c>
      <c r="C74" s="410">
        <v>0</v>
      </c>
      <c r="D74" s="348">
        <v>0</v>
      </c>
      <c r="E74" s="411">
        <f t="shared" si="23"/>
        <v>2</v>
      </c>
      <c r="F74" s="214" t="s">
        <v>872</v>
      </c>
      <c r="G74" s="79">
        <v>5</v>
      </c>
      <c r="H74" s="360">
        <v>0</v>
      </c>
      <c r="I74" s="249">
        <v>5</v>
      </c>
      <c r="J74" s="216">
        <f t="shared" si="24"/>
        <v>10</v>
      </c>
    </row>
    <row r="75" spans="1:10" ht="14.95" thickBot="1" x14ac:dyDescent="0.3">
      <c r="A75" s="340" t="s">
        <v>112</v>
      </c>
      <c r="B75" s="346">
        <v>1</v>
      </c>
      <c r="C75" s="410">
        <v>0</v>
      </c>
      <c r="D75" s="348">
        <v>0</v>
      </c>
      <c r="E75" s="411">
        <f t="shared" si="23"/>
        <v>1</v>
      </c>
      <c r="F75" s="214" t="s">
        <v>136</v>
      </c>
      <c r="G75" s="79">
        <v>10</v>
      </c>
      <c r="H75" s="360">
        <v>0</v>
      </c>
      <c r="I75" s="249">
        <v>0</v>
      </c>
      <c r="J75" s="216">
        <f t="shared" si="24"/>
        <v>10</v>
      </c>
    </row>
    <row r="76" spans="1:10" ht="14.95" thickBot="1" x14ac:dyDescent="0.3">
      <c r="A76" s="340" t="s">
        <v>514</v>
      </c>
      <c r="B76" s="346">
        <v>1</v>
      </c>
      <c r="C76" s="410">
        <v>0</v>
      </c>
      <c r="D76" s="348">
        <v>0</v>
      </c>
      <c r="E76" s="411">
        <f t="shared" si="23"/>
        <v>1</v>
      </c>
      <c r="F76" s="214" t="s">
        <v>661</v>
      </c>
      <c r="G76" s="79">
        <v>5</v>
      </c>
      <c r="H76" s="360">
        <v>0</v>
      </c>
      <c r="I76" s="249">
        <v>5</v>
      </c>
      <c r="J76" s="216">
        <f t="shared" si="24"/>
        <v>10</v>
      </c>
    </row>
    <row r="77" spans="1:10" ht="14.95" thickBot="1" x14ac:dyDescent="0.3">
      <c r="A77" s="340" t="s">
        <v>833</v>
      </c>
      <c r="B77" s="346">
        <v>0</v>
      </c>
      <c r="C77" s="410">
        <v>0</v>
      </c>
      <c r="D77" s="348">
        <v>1</v>
      </c>
      <c r="E77" s="411">
        <f t="shared" si="23"/>
        <v>1</v>
      </c>
      <c r="F77" s="214" t="s">
        <v>980</v>
      </c>
      <c r="G77" s="79">
        <v>10</v>
      </c>
      <c r="H77" s="360">
        <v>0</v>
      </c>
      <c r="I77" s="249">
        <v>0</v>
      </c>
      <c r="J77" s="216">
        <f t="shared" si="24"/>
        <v>10</v>
      </c>
    </row>
    <row r="78" spans="1:10" ht="14.95" thickBot="1" x14ac:dyDescent="0.3">
      <c r="A78" s="340" t="s">
        <v>46</v>
      </c>
      <c r="B78" s="346">
        <v>0</v>
      </c>
      <c r="C78" s="410">
        <v>0</v>
      </c>
      <c r="D78" s="348">
        <v>1</v>
      </c>
      <c r="E78" s="411">
        <f t="shared" si="23"/>
        <v>1</v>
      </c>
      <c r="F78" s="214" t="s">
        <v>975</v>
      </c>
      <c r="G78" s="79">
        <v>10</v>
      </c>
      <c r="H78" s="360">
        <v>0</v>
      </c>
      <c r="I78" s="249">
        <v>0</v>
      </c>
      <c r="J78" s="216">
        <f t="shared" si="24"/>
        <v>10</v>
      </c>
    </row>
    <row r="79" spans="1:10" ht="14.95" thickBot="1" x14ac:dyDescent="0.3">
      <c r="A79" s="340" t="s">
        <v>829</v>
      </c>
      <c r="B79" s="346">
        <v>0</v>
      </c>
      <c r="C79" s="410">
        <v>0</v>
      </c>
      <c r="D79" s="348">
        <v>1</v>
      </c>
      <c r="E79" s="411">
        <f t="shared" si="23"/>
        <v>1</v>
      </c>
      <c r="F79" s="214" t="s">
        <v>112</v>
      </c>
      <c r="G79" s="79">
        <v>5</v>
      </c>
      <c r="H79" s="360">
        <v>0</v>
      </c>
      <c r="I79" s="249">
        <v>0</v>
      </c>
      <c r="J79" s="216">
        <f t="shared" si="24"/>
        <v>5</v>
      </c>
    </row>
    <row r="80" spans="1:10" ht="14.95" thickBot="1" x14ac:dyDescent="0.3">
      <c r="A80" s="340" t="s">
        <v>695</v>
      </c>
      <c r="B80" s="346">
        <v>0</v>
      </c>
      <c r="C80" s="410">
        <v>0</v>
      </c>
      <c r="D80" s="348">
        <v>1</v>
      </c>
      <c r="E80" s="411">
        <f t="shared" si="23"/>
        <v>1</v>
      </c>
      <c r="F80" s="214" t="s">
        <v>514</v>
      </c>
      <c r="G80" s="79">
        <v>5</v>
      </c>
      <c r="H80" s="360">
        <v>0</v>
      </c>
      <c r="I80" s="249">
        <v>0</v>
      </c>
      <c r="J80" s="216">
        <f t="shared" si="24"/>
        <v>5</v>
      </c>
    </row>
    <row r="81" spans="1:10" ht="14.95" thickBot="1" x14ac:dyDescent="0.3">
      <c r="A81" s="340" t="s">
        <v>97</v>
      </c>
      <c r="B81" s="346">
        <v>0</v>
      </c>
      <c r="C81" s="410">
        <v>0</v>
      </c>
      <c r="D81" s="348">
        <v>1</v>
      </c>
      <c r="E81" s="411">
        <f t="shared" si="23"/>
        <v>1</v>
      </c>
      <c r="F81" s="214" t="s">
        <v>833</v>
      </c>
      <c r="G81" s="79">
        <v>0</v>
      </c>
      <c r="H81" s="360">
        <v>0</v>
      </c>
      <c r="I81" s="249">
        <v>5</v>
      </c>
      <c r="J81" s="216">
        <f t="shared" si="24"/>
        <v>5</v>
      </c>
    </row>
    <row r="82" spans="1:10" ht="14.95" thickBot="1" x14ac:dyDescent="0.3">
      <c r="A82" s="340" t="s">
        <v>613</v>
      </c>
      <c r="B82" s="346">
        <v>0</v>
      </c>
      <c r="C82" s="410">
        <v>0</v>
      </c>
      <c r="D82" s="348">
        <v>1</v>
      </c>
      <c r="E82" s="411">
        <f t="shared" si="23"/>
        <v>1</v>
      </c>
      <c r="F82" s="214" t="s">
        <v>829</v>
      </c>
      <c r="G82" s="79">
        <v>0</v>
      </c>
      <c r="H82" s="360">
        <v>0</v>
      </c>
      <c r="I82" s="249">
        <v>5</v>
      </c>
      <c r="J82" s="216">
        <f t="shared" si="24"/>
        <v>5</v>
      </c>
    </row>
    <row r="83" spans="1:10" ht="14.95" thickBot="1" x14ac:dyDescent="0.3">
      <c r="A83" s="340" t="s">
        <v>477</v>
      </c>
      <c r="B83" s="346">
        <v>0</v>
      </c>
      <c r="C83" s="410">
        <v>0</v>
      </c>
      <c r="D83" s="348">
        <v>0</v>
      </c>
      <c r="E83" s="411">
        <f t="shared" si="23"/>
        <v>0</v>
      </c>
      <c r="F83" s="214" t="s">
        <v>695</v>
      </c>
      <c r="G83" s="79">
        <v>0</v>
      </c>
      <c r="H83" s="360">
        <v>0</v>
      </c>
      <c r="I83" s="249">
        <v>5</v>
      </c>
      <c r="J83" s="216">
        <f t="shared" si="24"/>
        <v>5</v>
      </c>
    </row>
    <row r="84" spans="1:10" ht="14.95" thickBot="1" x14ac:dyDescent="0.3">
      <c r="A84" s="340" t="s">
        <v>330</v>
      </c>
      <c r="B84" s="346">
        <v>0</v>
      </c>
      <c r="C84" s="410">
        <v>0</v>
      </c>
      <c r="D84" s="348">
        <v>0</v>
      </c>
      <c r="E84" s="411">
        <f t="shared" si="23"/>
        <v>0</v>
      </c>
      <c r="F84" s="214" t="s">
        <v>97</v>
      </c>
      <c r="G84" s="79">
        <v>0</v>
      </c>
      <c r="H84" s="360">
        <v>0</v>
      </c>
      <c r="I84" s="249">
        <v>5</v>
      </c>
      <c r="J84" s="216">
        <f t="shared" si="24"/>
        <v>5</v>
      </c>
    </row>
    <row r="85" spans="1:10" ht="14.95" thickBot="1" x14ac:dyDescent="0.3">
      <c r="A85" s="340" t="s">
        <v>805</v>
      </c>
      <c r="B85" s="346">
        <v>0</v>
      </c>
      <c r="C85" s="410">
        <v>0</v>
      </c>
      <c r="D85" s="348">
        <v>0</v>
      </c>
      <c r="E85" s="411">
        <f t="shared" si="23"/>
        <v>0</v>
      </c>
      <c r="F85" s="214" t="s">
        <v>330</v>
      </c>
      <c r="G85" s="79">
        <v>0</v>
      </c>
      <c r="H85" s="360">
        <v>0</v>
      </c>
      <c r="I85" s="249">
        <v>0</v>
      </c>
      <c r="J85" s="216">
        <f t="shared" si="24"/>
        <v>0</v>
      </c>
    </row>
    <row r="86" spans="1:10" ht="14.95" thickBot="1" x14ac:dyDescent="0.3">
      <c r="A86" s="340" t="s">
        <v>59</v>
      </c>
      <c r="B86" s="346">
        <v>0</v>
      </c>
      <c r="C86" s="410">
        <v>0</v>
      </c>
      <c r="D86" s="348">
        <v>0</v>
      </c>
      <c r="E86" s="411">
        <f t="shared" si="23"/>
        <v>0</v>
      </c>
      <c r="F86" s="214" t="s">
        <v>805</v>
      </c>
      <c r="G86" s="79">
        <v>0</v>
      </c>
      <c r="H86" s="360">
        <v>0</v>
      </c>
      <c r="I86" s="249">
        <v>0</v>
      </c>
      <c r="J86" s="216">
        <f t="shared" si="24"/>
        <v>0</v>
      </c>
    </row>
    <row r="87" spans="1:10" ht="14.95" thickBot="1" x14ac:dyDescent="0.3">
      <c r="A87" s="340" t="s">
        <v>358</v>
      </c>
      <c r="B87" s="346">
        <v>0</v>
      </c>
      <c r="C87" s="410">
        <v>0</v>
      </c>
      <c r="D87" s="348">
        <v>0</v>
      </c>
      <c r="E87" s="411">
        <f t="shared" si="23"/>
        <v>0</v>
      </c>
      <c r="F87" s="214" t="s">
        <v>59</v>
      </c>
      <c r="G87" s="79">
        <v>0</v>
      </c>
      <c r="H87" s="360">
        <v>0</v>
      </c>
      <c r="I87" s="249">
        <v>0</v>
      </c>
      <c r="J87" s="216">
        <f t="shared" si="24"/>
        <v>0</v>
      </c>
    </row>
    <row r="88" spans="1:10" ht="14.95" thickBot="1" x14ac:dyDescent="0.3">
      <c r="A88" s="340" t="s">
        <v>648</v>
      </c>
      <c r="B88" s="346">
        <v>0</v>
      </c>
      <c r="C88" s="410">
        <v>0</v>
      </c>
      <c r="D88" s="348">
        <v>0</v>
      </c>
      <c r="E88" s="411">
        <f t="shared" si="23"/>
        <v>0</v>
      </c>
      <c r="F88" s="214" t="s">
        <v>358</v>
      </c>
      <c r="G88" s="79">
        <v>0</v>
      </c>
      <c r="H88" s="360">
        <v>0</v>
      </c>
      <c r="I88" s="249">
        <v>0</v>
      </c>
      <c r="J88" s="216">
        <f t="shared" si="24"/>
        <v>0</v>
      </c>
    </row>
    <row r="89" spans="1:10" ht="14.95" thickBot="1" x14ac:dyDescent="0.3">
      <c r="A89" s="340" t="s">
        <v>324</v>
      </c>
      <c r="B89" s="346">
        <v>0</v>
      </c>
      <c r="C89" s="410">
        <v>0</v>
      </c>
      <c r="D89" s="348">
        <v>0</v>
      </c>
      <c r="E89" s="411">
        <f t="shared" si="23"/>
        <v>0</v>
      </c>
      <c r="F89" s="214" t="s">
        <v>648</v>
      </c>
      <c r="G89" s="79">
        <v>0</v>
      </c>
      <c r="H89" s="360">
        <v>0</v>
      </c>
      <c r="I89" s="249">
        <v>0</v>
      </c>
      <c r="J89" s="216">
        <f t="shared" si="24"/>
        <v>0</v>
      </c>
    </row>
    <row r="90" spans="1:10" ht="14.95" thickBot="1" x14ac:dyDescent="0.3">
      <c r="A90" s="340" t="s">
        <v>923</v>
      </c>
      <c r="B90" s="346">
        <v>0</v>
      </c>
      <c r="C90" s="410">
        <v>0</v>
      </c>
      <c r="D90" s="348">
        <v>0</v>
      </c>
      <c r="E90" s="411">
        <f t="shared" si="23"/>
        <v>0</v>
      </c>
      <c r="F90" s="214" t="s">
        <v>324</v>
      </c>
      <c r="G90" s="79">
        <v>0</v>
      </c>
      <c r="H90" s="360">
        <v>0</v>
      </c>
      <c r="I90" s="249">
        <v>0</v>
      </c>
      <c r="J90" s="216">
        <f t="shared" si="24"/>
        <v>0</v>
      </c>
    </row>
    <row r="91" spans="1:10" ht="14.95" thickBot="1" x14ac:dyDescent="0.3">
      <c r="A91" s="340" t="s">
        <v>750</v>
      </c>
      <c r="B91" s="346">
        <v>0</v>
      </c>
      <c r="C91" s="410">
        <v>0</v>
      </c>
      <c r="D91" s="348">
        <v>0</v>
      </c>
      <c r="E91" s="411">
        <f t="shared" si="23"/>
        <v>0</v>
      </c>
      <c r="F91" s="214" t="s">
        <v>750</v>
      </c>
      <c r="G91" s="79">
        <v>0</v>
      </c>
      <c r="H91" s="360">
        <v>0</v>
      </c>
      <c r="I91" s="249">
        <v>0</v>
      </c>
      <c r="J91" s="216">
        <f t="shared" si="24"/>
        <v>0</v>
      </c>
    </row>
    <row r="92" spans="1:10" ht="14.95" thickBot="1" x14ac:dyDescent="0.3">
      <c r="A92" s="340" t="s">
        <v>98</v>
      </c>
      <c r="B92" s="346">
        <v>0</v>
      </c>
      <c r="C92" s="410">
        <v>0</v>
      </c>
      <c r="D92" s="348">
        <v>0</v>
      </c>
      <c r="E92" s="411">
        <f t="shared" si="23"/>
        <v>0</v>
      </c>
      <c r="F92" s="214" t="s">
        <v>98</v>
      </c>
      <c r="G92" s="79">
        <v>0</v>
      </c>
      <c r="H92" s="360">
        <v>0</v>
      </c>
      <c r="I92" s="249">
        <v>0</v>
      </c>
      <c r="J92" s="216">
        <f t="shared" si="24"/>
        <v>0</v>
      </c>
    </row>
    <row r="93" spans="1:10" ht="14.95" thickBot="1" x14ac:dyDescent="0.3">
      <c r="A93" s="340" t="s">
        <v>850</v>
      </c>
      <c r="B93" s="346">
        <v>0</v>
      </c>
      <c r="C93" s="410">
        <v>0</v>
      </c>
      <c r="D93" s="348">
        <v>0</v>
      </c>
      <c r="E93" s="411">
        <f t="shared" si="23"/>
        <v>0</v>
      </c>
      <c r="F93" s="214" t="s">
        <v>850</v>
      </c>
      <c r="G93" s="79">
        <v>0</v>
      </c>
      <c r="H93" s="360">
        <v>0</v>
      </c>
      <c r="I93" s="249">
        <v>0</v>
      </c>
      <c r="J93" s="216">
        <f t="shared" si="24"/>
        <v>0</v>
      </c>
    </row>
    <row r="94" spans="1:10" ht="14.95" thickBot="1" x14ac:dyDescent="0.3">
      <c r="A94" s="340" t="s">
        <v>113</v>
      </c>
      <c r="B94" s="346">
        <v>0</v>
      </c>
      <c r="C94" s="410">
        <v>0</v>
      </c>
      <c r="D94" s="348">
        <v>0</v>
      </c>
      <c r="E94" s="411">
        <f t="shared" si="23"/>
        <v>0</v>
      </c>
      <c r="F94" s="214" t="s">
        <v>113</v>
      </c>
      <c r="G94" s="79">
        <v>0</v>
      </c>
      <c r="H94" s="360">
        <v>0</v>
      </c>
      <c r="I94" s="249">
        <v>0</v>
      </c>
      <c r="J94" s="216">
        <f t="shared" si="24"/>
        <v>0</v>
      </c>
    </row>
    <row r="95" spans="1:10" ht="14.3" customHeight="1" thickBot="1" x14ac:dyDescent="0.3">
      <c r="A95" s="340" t="s">
        <v>516</v>
      </c>
      <c r="B95" s="346">
        <v>0</v>
      </c>
      <c r="C95" s="410">
        <v>0</v>
      </c>
      <c r="D95" s="348">
        <v>0</v>
      </c>
      <c r="E95" s="411">
        <f t="shared" si="23"/>
        <v>0</v>
      </c>
      <c r="F95" s="213" t="s">
        <v>516</v>
      </c>
      <c r="G95" s="79">
        <v>0</v>
      </c>
      <c r="H95" s="360">
        <v>0</v>
      </c>
      <c r="I95" s="249">
        <v>0</v>
      </c>
      <c r="J95" s="216">
        <f t="shared" si="24"/>
        <v>0</v>
      </c>
    </row>
    <row r="96" spans="1:10" ht="14.95" thickBot="1" x14ac:dyDescent="0.3">
      <c r="A96" s="340" t="s">
        <v>163</v>
      </c>
      <c r="B96" s="346">
        <v>0</v>
      </c>
      <c r="C96" s="410">
        <v>0</v>
      </c>
      <c r="D96" s="348">
        <v>0</v>
      </c>
      <c r="E96" s="411">
        <f t="shared" si="23"/>
        <v>0</v>
      </c>
      <c r="F96" s="213" t="s">
        <v>163</v>
      </c>
      <c r="G96" s="79">
        <v>0</v>
      </c>
      <c r="H96" s="360">
        <v>0</v>
      </c>
      <c r="I96" s="249">
        <v>0</v>
      </c>
      <c r="J96" s="216">
        <f t="shared" si="24"/>
        <v>0</v>
      </c>
    </row>
    <row r="97" spans="1:10" ht="14.95" thickBot="1" x14ac:dyDescent="0.3">
      <c r="A97" s="340" t="s">
        <v>3</v>
      </c>
      <c r="B97" s="346">
        <f>SUM(B52:B96)</f>
        <v>75</v>
      </c>
      <c r="C97" s="410">
        <f>SUM(C52:C96)</f>
        <v>20</v>
      </c>
      <c r="D97" s="348">
        <f>SUM(D52:D96)</f>
        <v>24</v>
      </c>
      <c r="E97" s="411">
        <f t="shared" ref="E97" si="25">SUM(B97:D97)</f>
        <v>119</v>
      </c>
      <c r="F97" s="213" t="s">
        <v>3</v>
      </c>
      <c r="G97" s="79">
        <f>SUM(G52:G96)</f>
        <v>563</v>
      </c>
      <c r="H97" s="360">
        <f>SUM(H52:H96)</f>
        <v>139</v>
      </c>
      <c r="I97" s="249">
        <f>SUM(I52:I96)</f>
        <v>162</v>
      </c>
      <c r="J97" s="216">
        <f t="shared" ref="J97" si="26">SUM(G97:I97)</f>
        <v>864</v>
      </c>
    </row>
    <row r="98" spans="1:10" x14ac:dyDescent="0.25">
      <c r="A98" s="420" t="s">
        <v>57</v>
      </c>
      <c r="B98" s="421"/>
      <c r="C98" s="421"/>
      <c r="D98" s="421"/>
      <c r="E98" s="421"/>
      <c r="F98" s="421"/>
      <c r="G98" s="421"/>
      <c r="H98" s="421"/>
      <c r="I98" s="421"/>
      <c r="J98" s="421"/>
    </row>
  </sheetData>
  <sortState xmlns:xlrd2="http://schemas.microsoft.com/office/spreadsheetml/2017/richdata2" ref="F52:J96">
    <sortCondition descending="1" ref="J52:J96"/>
  </sortState>
  <mergeCells count="56">
    <mergeCell ref="A1:J1"/>
    <mergeCell ref="R1:S2"/>
    <mergeCell ref="R12:T13"/>
    <mergeCell ref="K12:K13"/>
    <mergeCell ref="K1:K2"/>
    <mergeCell ref="L1:N2"/>
    <mergeCell ref="L12:N13"/>
    <mergeCell ref="O12:Q13"/>
    <mergeCell ref="O1:Q2"/>
    <mergeCell ref="K37:Y37"/>
    <mergeCell ref="AI19:AK20"/>
    <mergeCell ref="AI25:AK26"/>
    <mergeCell ref="K34:Y34"/>
    <mergeCell ref="K35:Y35"/>
    <mergeCell ref="K36:Y36"/>
    <mergeCell ref="AI1:AK2"/>
    <mergeCell ref="W1:Y2"/>
    <mergeCell ref="T1:V2"/>
    <mergeCell ref="AF1:AH2"/>
    <mergeCell ref="AI12:AK13"/>
    <mergeCell ref="U12:W13"/>
    <mergeCell ref="AC1:AE2"/>
    <mergeCell ref="AC12:AE13"/>
    <mergeCell ref="AF12:AH13"/>
    <mergeCell ref="AL25:AN26"/>
    <mergeCell ref="BA1:BC2"/>
    <mergeCell ref="AU1:AW2"/>
    <mergeCell ref="AR1:AT2"/>
    <mergeCell ref="AX1:AZ2"/>
    <mergeCell ref="AU12:AW13"/>
    <mergeCell ref="AR12:AT13"/>
    <mergeCell ref="AL19:AN20"/>
    <mergeCell ref="AO1:AQ2"/>
    <mergeCell ref="AO12:AQ13"/>
    <mergeCell ref="AR19:AT20"/>
    <mergeCell ref="AU19:AW20"/>
    <mergeCell ref="AO25:AQ26"/>
    <mergeCell ref="AO19:AQ20"/>
    <mergeCell ref="AL1:AN2"/>
    <mergeCell ref="AL12:AN13"/>
    <mergeCell ref="A98:J98"/>
    <mergeCell ref="O19:Q20"/>
    <mergeCell ref="O25:Q26"/>
    <mergeCell ref="AF19:AH20"/>
    <mergeCell ref="AF25:AH26"/>
    <mergeCell ref="K25:K26"/>
    <mergeCell ref="L25:N26"/>
    <mergeCell ref="AC19:AE20"/>
    <mergeCell ref="AC25:AE26"/>
    <mergeCell ref="U19:W20"/>
    <mergeCell ref="K19:K20"/>
    <mergeCell ref="L19:N20"/>
    <mergeCell ref="R19:T20"/>
    <mergeCell ref="R25:T26"/>
    <mergeCell ref="A49:H49"/>
    <mergeCell ref="U25:W2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BC104"/>
  <sheetViews>
    <sheetView workbookViewId="0">
      <selection activeCell="J19" sqref="J19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2" width="5.75" customWidth="1"/>
    <col min="53" max="55" width="5.625" customWidth="1"/>
  </cols>
  <sheetData>
    <row r="1" spans="1:55" ht="17" thickBot="1" x14ac:dyDescent="0.3">
      <c r="A1" s="522" t="s">
        <v>861</v>
      </c>
      <c r="B1" s="523"/>
      <c r="C1" s="523"/>
      <c r="D1" s="523"/>
      <c r="E1" s="523"/>
      <c r="F1" s="523"/>
      <c r="G1" s="523"/>
      <c r="H1" s="523"/>
      <c r="I1" s="523"/>
      <c r="J1" s="524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163"/>
      <c r="AA1" s="95"/>
      <c r="AB1" s="95"/>
      <c r="AC1" s="422" t="s">
        <v>701</v>
      </c>
      <c r="AD1" s="423"/>
      <c r="AE1" s="424"/>
      <c r="AF1" s="422" t="s">
        <v>518</v>
      </c>
      <c r="AG1" s="423"/>
      <c r="AH1" s="424"/>
      <c r="AI1" s="422" t="s">
        <v>356</v>
      </c>
      <c r="AJ1" s="423"/>
      <c r="AK1" s="424"/>
      <c r="AL1" s="422" t="s">
        <v>272</v>
      </c>
      <c r="AM1" s="423"/>
      <c r="AN1" s="424"/>
      <c r="AO1" s="422" t="s">
        <v>115</v>
      </c>
      <c r="AP1" s="423"/>
      <c r="AQ1" s="424"/>
      <c r="AR1" s="422" t="s">
        <v>83</v>
      </c>
      <c r="AS1" s="423"/>
      <c r="AT1" s="424"/>
      <c r="AU1" s="422" t="s">
        <v>78</v>
      </c>
      <c r="AV1" s="423"/>
      <c r="AW1" s="424"/>
      <c r="AX1" s="422" t="s">
        <v>60</v>
      </c>
      <c r="AY1" s="423"/>
      <c r="AZ1" s="424"/>
      <c r="BA1" s="422" t="s">
        <v>73</v>
      </c>
      <c r="BB1" s="423"/>
      <c r="BC1" s="424"/>
    </row>
    <row r="2" spans="1:55" ht="14.95" customHeight="1" thickBot="1" x14ac:dyDescent="0.3">
      <c r="A2" s="314" t="s">
        <v>0</v>
      </c>
      <c r="B2" s="218" t="s">
        <v>355</v>
      </c>
      <c r="C2" s="284" t="s">
        <v>42</v>
      </c>
      <c r="D2" s="260" t="s">
        <v>564</v>
      </c>
      <c r="E2" s="316" t="s">
        <v>1</v>
      </c>
      <c r="F2" s="266" t="s">
        <v>2</v>
      </c>
      <c r="G2" s="265" t="s">
        <v>355</v>
      </c>
      <c r="H2" s="395" t="s">
        <v>42</v>
      </c>
      <c r="I2" s="263" t="s">
        <v>564</v>
      </c>
      <c r="J2" s="264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95"/>
      <c r="AA2" s="95"/>
      <c r="AB2" s="95"/>
      <c r="AC2" s="425"/>
      <c r="AD2" s="426"/>
      <c r="AE2" s="427"/>
      <c r="AF2" s="425"/>
      <c r="AG2" s="426"/>
      <c r="AH2" s="427"/>
      <c r="AI2" s="425"/>
      <c r="AJ2" s="426"/>
      <c r="AK2" s="427"/>
      <c r="AL2" s="425"/>
      <c r="AM2" s="426"/>
      <c r="AN2" s="427"/>
      <c r="AO2" s="425"/>
      <c r="AP2" s="426"/>
      <c r="AQ2" s="427"/>
      <c r="AR2" s="425"/>
      <c r="AS2" s="426"/>
      <c r="AT2" s="427"/>
      <c r="AU2" s="425"/>
      <c r="AV2" s="426"/>
      <c r="AW2" s="427"/>
      <c r="AX2" s="425"/>
      <c r="AY2" s="426"/>
      <c r="AZ2" s="427"/>
      <c r="BA2" s="425"/>
      <c r="BB2" s="426"/>
      <c r="BC2" s="427"/>
    </row>
    <row r="3" spans="1:55" ht="14.95" customHeight="1" thickBot="1" x14ac:dyDescent="0.3">
      <c r="A3" s="315" t="s">
        <v>500</v>
      </c>
      <c r="B3" s="219">
        <v>0</v>
      </c>
      <c r="C3" s="285">
        <v>0</v>
      </c>
      <c r="D3" s="261">
        <v>0</v>
      </c>
      <c r="E3" s="317">
        <f>SUM(B3:D3)</f>
        <v>0</v>
      </c>
      <c r="F3" s="267" t="s">
        <v>500</v>
      </c>
      <c r="G3" s="268">
        <v>0</v>
      </c>
      <c r="H3" s="396">
        <v>0</v>
      </c>
      <c r="I3" s="269">
        <v>0</v>
      </c>
      <c r="J3" s="270">
        <f>SUM(G3:I3)</f>
        <v>0</v>
      </c>
      <c r="K3" s="234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151" t="s">
        <v>74</v>
      </c>
      <c r="X3" s="7" t="s">
        <v>15</v>
      </c>
      <c r="Y3" s="7" t="s">
        <v>16</v>
      </c>
      <c r="Z3" s="95"/>
      <c r="AA3" s="95"/>
      <c r="AB3" s="95"/>
      <c r="AC3" s="151" t="s">
        <v>74</v>
      </c>
      <c r="AD3" s="7" t="s">
        <v>15</v>
      </c>
      <c r="AE3" s="7" t="s">
        <v>16</v>
      </c>
      <c r="AF3" s="151" t="s">
        <v>74</v>
      </c>
      <c r="AG3" s="7" t="s">
        <v>15</v>
      </c>
      <c r="AH3" s="7" t="s">
        <v>16</v>
      </c>
      <c r="AI3" s="151" t="s">
        <v>74</v>
      </c>
      <c r="AJ3" s="7" t="s">
        <v>15</v>
      </c>
      <c r="AK3" s="7" t="s">
        <v>16</v>
      </c>
      <c r="AL3" s="151" t="s">
        <v>74</v>
      </c>
      <c r="AM3" s="7" t="s">
        <v>15</v>
      </c>
      <c r="AN3" s="7" t="s">
        <v>16</v>
      </c>
      <c r="AO3" s="151" t="s">
        <v>74</v>
      </c>
      <c r="AP3" s="7" t="s">
        <v>15</v>
      </c>
      <c r="AQ3" s="7" t="s">
        <v>16</v>
      </c>
      <c r="AR3" s="151" t="s">
        <v>74</v>
      </c>
      <c r="AS3" s="7" t="s">
        <v>15</v>
      </c>
      <c r="AT3" s="7" t="s">
        <v>16</v>
      </c>
      <c r="AU3" s="7" t="s">
        <v>74</v>
      </c>
      <c r="AV3" s="7" t="s">
        <v>15</v>
      </c>
      <c r="AW3" s="7" t="s">
        <v>16</v>
      </c>
      <c r="AX3" s="7" t="s">
        <v>74</v>
      </c>
      <c r="AY3" s="7" t="s">
        <v>15</v>
      </c>
      <c r="AZ3" s="7" t="s">
        <v>16</v>
      </c>
      <c r="BA3" s="7" t="s">
        <v>74</v>
      </c>
      <c r="BB3" s="7" t="s">
        <v>15</v>
      </c>
      <c r="BC3" s="7" t="s">
        <v>16</v>
      </c>
    </row>
    <row r="4" spans="1:55" ht="14.95" customHeight="1" thickBot="1" x14ac:dyDescent="0.3">
      <c r="A4" s="315" t="s">
        <v>682</v>
      </c>
      <c r="B4" s="219">
        <v>0</v>
      </c>
      <c r="C4" s="285">
        <v>0</v>
      </c>
      <c r="D4" s="261">
        <v>3</v>
      </c>
      <c r="E4" s="317">
        <f>SUM(B4:D4)</f>
        <v>3</v>
      </c>
      <c r="F4" s="267" t="s">
        <v>682</v>
      </c>
      <c r="G4" s="268">
        <v>0</v>
      </c>
      <c r="H4" s="396">
        <v>0</v>
      </c>
      <c r="I4" s="269">
        <v>15</v>
      </c>
      <c r="J4" s="270">
        <f>SUM(G4:I4)</f>
        <v>15</v>
      </c>
      <c r="K4" s="315" t="s">
        <v>776</v>
      </c>
      <c r="L4" s="317" t="s">
        <v>21</v>
      </c>
      <c r="M4" s="317" t="s">
        <v>21</v>
      </c>
      <c r="N4" s="317" t="s">
        <v>21</v>
      </c>
      <c r="O4" s="317" t="s">
        <v>21</v>
      </c>
      <c r="P4" s="317" t="s">
        <v>21</v>
      </c>
      <c r="Q4" s="318" t="s">
        <v>21</v>
      </c>
      <c r="R4" s="317" t="s">
        <v>25</v>
      </c>
      <c r="S4" s="317">
        <v>2</v>
      </c>
      <c r="T4" s="7" t="s">
        <v>21</v>
      </c>
      <c r="U4" s="7" t="s">
        <v>21</v>
      </c>
      <c r="V4" s="7" t="s">
        <v>21</v>
      </c>
      <c r="W4" s="7" t="s">
        <v>21</v>
      </c>
      <c r="X4" s="7" t="s">
        <v>21</v>
      </c>
      <c r="Y4" s="7" t="s">
        <v>21</v>
      </c>
      <c r="Z4" s="95"/>
      <c r="AA4" s="95"/>
      <c r="AB4" s="95"/>
      <c r="AC4" s="151" t="s">
        <v>21</v>
      </c>
      <c r="AD4" s="7" t="s">
        <v>21</v>
      </c>
      <c r="AE4" s="156" t="s">
        <v>21</v>
      </c>
      <c r="AF4" s="151" t="s">
        <v>21</v>
      </c>
      <c r="AG4" s="7" t="s">
        <v>21</v>
      </c>
      <c r="AH4" s="156" t="s">
        <v>21</v>
      </c>
      <c r="AI4" s="151" t="s">
        <v>21</v>
      </c>
      <c r="AJ4" s="7" t="s">
        <v>21</v>
      </c>
      <c r="AK4" s="156" t="s">
        <v>21</v>
      </c>
      <c r="AL4" s="151" t="s">
        <v>21</v>
      </c>
      <c r="AM4" s="7" t="s">
        <v>21</v>
      </c>
      <c r="AN4" s="156" t="s">
        <v>21</v>
      </c>
      <c r="AO4" s="151" t="s">
        <v>21</v>
      </c>
      <c r="AP4" s="7" t="s">
        <v>21</v>
      </c>
      <c r="AQ4" s="156" t="s">
        <v>21</v>
      </c>
      <c r="AR4" s="151" t="s">
        <v>21</v>
      </c>
      <c r="AS4" s="7" t="s">
        <v>21</v>
      </c>
      <c r="AT4" s="156" t="s">
        <v>21</v>
      </c>
      <c r="AU4" s="151" t="s">
        <v>21</v>
      </c>
      <c r="AV4" s="7" t="s">
        <v>21</v>
      </c>
      <c r="AW4" s="156" t="s">
        <v>21</v>
      </c>
      <c r="AX4" s="151" t="s">
        <v>21</v>
      </c>
      <c r="AY4" s="7" t="s">
        <v>21</v>
      </c>
      <c r="AZ4" s="156" t="s">
        <v>21</v>
      </c>
      <c r="BA4" s="151" t="s">
        <v>21</v>
      </c>
      <c r="BB4" s="7" t="s">
        <v>21</v>
      </c>
      <c r="BC4" s="156" t="s">
        <v>21</v>
      </c>
    </row>
    <row r="5" spans="1:55" ht="14.95" customHeight="1" thickBot="1" x14ac:dyDescent="0.3">
      <c r="A5" s="315" t="s">
        <v>650</v>
      </c>
      <c r="B5" s="219">
        <v>0</v>
      </c>
      <c r="C5" s="285">
        <v>0</v>
      </c>
      <c r="D5" s="261">
        <v>0</v>
      </c>
      <c r="E5" s="317">
        <f t="shared" ref="E5:E50" si="0">SUM(B5:D5)</f>
        <v>0</v>
      </c>
      <c r="F5" s="267" t="s">
        <v>650</v>
      </c>
      <c r="G5" s="268">
        <v>0</v>
      </c>
      <c r="H5" s="396">
        <v>0</v>
      </c>
      <c r="I5" s="269">
        <v>0</v>
      </c>
      <c r="J5" s="270">
        <f t="shared" ref="J5:J51" si="1">SUM(G5:I5)</f>
        <v>0</v>
      </c>
      <c r="K5" s="315" t="s">
        <v>507</v>
      </c>
      <c r="L5" s="317">
        <v>41</v>
      </c>
      <c r="M5" s="317">
        <v>58</v>
      </c>
      <c r="N5" s="318">
        <f t="shared" ref="N5" si="2">SUM(L5/M5)*100</f>
        <v>70.689655172413794</v>
      </c>
      <c r="O5" s="317" t="s">
        <v>21</v>
      </c>
      <c r="P5" s="317" t="s">
        <v>21</v>
      </c>
      <c r="Q5" s="318" t="s">
        <v>21</v>
      </c>
      <c r="R5" s="317">
        <v>6</v>
      </c>
      <c r="S5" s="317">
        <v>6</v>
      </c>
      <c r="T5" s="7">
        <v>55</v>
      </c>
      <c r="U5" s="7">
        <v>71</v>
      </c>
      <c r="V5" s="156">
        <v>77.464788732394368</v>
      </c>
      <c r="W5" s="7">
        <v>55</v>
      </c>
      <c r="X5" s="7">
        <v>65</v>
      </c>
      <c r="Y5" s="156">
        <f>SUM(W5/X5)*100</f>
        <v>84.615384615384613</v>
      </c>
      <c r="Z5" s="95"/>
      <c r="AA5" s="95"/>
      <c r="AB5" s="95"/>
      <c r="AC5" s="151">
        <v>47</v>
      </c>
      <c r="AD5" s="7">
        <v>56</v>
      </c>
      <c r="AE5" s="156">
        <f>(AC5/AD5)*100</f>
        <v>83.928571428571431</v>
      </c>
      <c r="AF5" s="151">
        <v>27</v>
      </c>
      <c r="AG5" s="7">
        <v>36</v>
      </c>
      <c r="AH5" s="156">
        <f>SUM(AF5/AG5)*100</f>
        <v>75</v>
      </c>
      <c r="AI5" s="151">
        <v>59</v>
      </c>
      <c r="AJ5" s="7">
        <v>80</v>
      </c>
      <c r="AK5" s="156">
        <f>SUM(AI5/AJ5)*100</f>
        <v>73.75</v>
      </c>
      <c r="AL5" s="151">
        <v>82</v>
      </c>
      <c r="AM5" s="7">
        <v>105</v>
      </c>
      <c r="AN5" s="156">
        <f>SUM(AL5/AM5)*100</f>
        <v>78.095238095238102</v>
      </c>
      <c r="AO5" s="151">
        <v>31</v>
      </c>
      <c r="AP5" s="7">
        <v>43</v>
      </c>
      <c r="AQ5" s="156">
        <f>SUM(AO5/AP5)*100</f>
        <v>72.093023255813947</v>
      </c>
      <c r="AR5" s="151">
        <v>43</v>
      </c>
      <c r="AS5" s="7">
        <v>55</v>
      </c>
      <c r="AT5" s="156">
        <f>SUM(AR5/AS5)*100</f>
        <v>78.181818181818187</v>
      </c>
      <c r="AU5" s="7">
        <v>50</v>
      </c>
      <c r="AV5" s="7">
        <v>61</v>
      </c>
      <c r="AW5" s="156">
        <f>SUM(AU5/AV5)*100</f>
        <v>81.967213114754102</v>
      </c>
      <c r="AX5" s="7">
        <v>58</v>
      </c>
      <c r="AY5" s="7">
        <v>75</v>
      </c>
      <c r="AZ5" s="156">
        <f>SUM(AX5/AY5)*100</f>
        <v>77.333333333333329</v>
      </c>
      <c r="BA5" s="7">
        <v>46</v>
      </c>
      <c r="BB5" s="7">
        <v>62</v>
      </c>
      <c r="BC5" s="7">
        <v>74</v>
      </c>
    </row>
    <row r="6" spans="1:55" ht="14.95" customHeight="1" thickBot="1" x14ac:dyDescent="0.3">
      <c r="A6" s="315" t="s">
        <v>681</v>
      </c>
      <c r="B6" s="219">
        <v>0</v>
      </c>
      <c r="C6" s="285">
        <v>0</v>
      </c>
      <c r="D6" s="261">
        <v>0</v>
      </c>
      <c r="E6" s="317">
        <f t="shared" si="0"/>
        <v>0</v>
      </c>
      <c r="F6" s="267" t="s">
        <v>681</v>
      </c>
      <c r="G6" s="268">
        <v>0</v>
      </c>
      <c r="H6" s="396">
        <v>0</v>
      </c>
      <c r="I6" s="269">
        <v>0</v>
      </c>
      <c r="J6" s="270">
        <f t="shared" si="1"/>
        <v>0</v>
      </c>
      <c r="K6" s="315" t="s">
        <v>533</v>
      </c>
      <c r="L6" s="317">
        <v>13</v>
      </c>
      <c r="M6" s="317">
        <v>18</v>
      </c>
      <c r="N6" s="318">
        <f t="shared" ref="N6" si="3">SUM(L6/M6)*100</f>
        <v>72.222222222222214</v>
      </c>
      <c r="O6" s="317" t="s">
        <v>21</v>
      </c>
      <c r="P6" s="317" t="s">
        <v>21</v>
      </c>
      <c r="Q6" s="318" t="s">
        <v>21</v>
      </c>
      <c r="R6" s="317">
        <v>-1</v>
      </c>
      <c r="S6" s="317">
        <v>-1</v>
      </c>
      <c r="T6" s="7">
        <v>1</v>
      </c>
      <c r="U6" s="7">
        <v>1</v>
      </c>
      <c r="V6" s="156">
        <v>100</v>
      </c>
      <c r="W6" s="7">
        <v>66</v>
      </c>
      <c r="X6" s="7">
        <v>87</v>
      </c>
      <c r="Y6" s="156">
        <f>SUM(W6/X6)*100</f>
        <v>75.862068965517238</v>
      </c>
      <c r="Z6" s="95"/>
      <c r="AA6" s="95"/>
      <c r="AB6" s="95"/>
      <c r="AC6" s="151" t="s">
        <v>21</v>
      </c>
      <c r="AD6" s="7" t="s">
        <v>21</v>
      </c>
      <c r="AE6" s="156" t="s">
        <v>21</v>
      </c>
      <c r="AF6" s="151">
        <v>5</v>
      </c>
      <c r="AG6" s="7">
        <v>9</v>
      </c>
      <c r="AH6" s="156">
        <f>SUM(AF6/AG6)*100</f>
        <v>55.555555555555557</v>
      </c>
      <c r="AI6" s="151">
        <v>21</v>
      </c>
      <c r="AJ6" s="7">
        <v>27</v>
      </c>
      <c r="AK6" s="156">
        <f>SUM(AI6/AJ6)*100</f>
        <v>77.777777777777786</v>
      </c>
      <c r="AL6" s="151">
        <v>26</v>
      </c>
      <c r="AM6" s="7">
        <v>38</v>
      </c>
      <c r="AN6" s="156">
        <f>SUM(AL6/AM6)*100</f>
        <v>68.421052631578945</v>
      </c>
      <c r="AO6" s="151">
        <v>54</v>
      </c>
      <c r="AP6" s="7">
        <v>78</v>
      </c>
      <c r="AQ6" s="156">
        <f>SUM(AO6/AP6)*100</f>
        <v>69.230769230769226</v>
      </c>
      <c r="AR6" s="151">
        <v>4</v>
      </c>
      <c r="AS6" s="7">
        <v>4</v>
      </c>
      <c r="AT6" s="156">
        <f>SUM(AR6/AS6)*100</f>
        <v>100</v>
      </c>
      <c r="AU6" s="7">
        <v>14</v>
      </c>
      <c r="AV6" s="7">
        <v>17</v>
      </c>
      <c r="AW6" s="156">
        <f>SUM(AU6/AV6)*100</f>
        <v>82.35294117647058</v>
      </c>
      <c r="AX6" s="7" t="s">
        <v>21</v>
      </c>
      <c r="AY6" s="7" t="s">
        <v>21</v>
      </c>
      <c r="AZ6" s="7" t="s">
        <v>21</v>
      </c>
      <c r="BA6" s="7" t="s">
        <v>21</v>
      </c>
      <c r="BB6" s="7" t="s">
        <v>21</v>
      </c>
      <c r="BC6" s="7" t="s">
        <v>21</v>
      </c>
    </row>
    <row r="7" spans="1:55" ht="14.95" customHeight="1" thickBot="1" x14ac:dyDescent="0.3">
      <c r="A7" s="315" t="s">
        <v>1048</v>
      </c>
      <c r="B7" s="219">
        <v>3</v>
      </c>
      <c r="C7" s="285">
        <v>0</v>
      </c>
      <c r="D7" s="261">
        <v>0</v>
      </c>
      <c r="E7" s="317">
        <f t="shared" si="0"/>
        <v>3</v>
      </c>
      <c r="F7" s="267" t="s">
        <v>1048</v>
      </c>
      <c r="G7" s="268">
        <v>15</v>
      </c>
      <c r="H7" s="396">
        <v>0</v>
      </c>
      <c r="I7" s="269">
        <v>0</v>
      </c>
      <c r="J7" s="270">
        <f t="shared" si="1"/>
        <v>15</v>
      </c>
      <c r="K7" s="315" t="s">
        <v>510</v>
      </c>
      <c r="L7" s="317">
        <v>2</v>
      </c>
      <c r="M7" s="317">
        <v>4</v>
      </c>
      <c r="N7" s="318">
        <f t="shared" ref="N7" si="4">SUM(L7/M7)*100</f>
        <v>50</v>
      </c>
      <c r="O7" s="317" t="s">
        <v>21</v>
      </c>
      <c r="P7" s="317" t="s">
        <v>21</v>
      </c>
      <c r="Q7" s="318" t="s">
        <v>21</v>
      </c>
      <c r="R7" s="317">
        <v>-2</v>
      </c>
      <c r="S7" s="317">
        <v>1</v>
      </c>
      <c r="T7" s="7">
        <v>26</v>
      </c>
      <c r="U7" s="7">
        <v>39</v>
      </c>
      <c r="V7" s="156">
        <v>66.666666666666657</v>
      </c>
      <c r="W7" s="7">
        <v>6</v>
      </c>
      <c r="X7" s="7">
        <v>8</v>
      </c>
      <c r="Y7" s="156">
        <f>SUM(W7/X7)*100</f>
        <v>75</v>
      </c>
      <c r="Z7" s="95"/>
      <c r="AA7" s="95"/>
      <c r="AB7" s="95"/>
      <c r="AC7" s="151">
        <v>1</v>
      </c>
      <c r="AD7" s="7">
        <v>4</v>
      </c>
      <c r="AE7" s="156">
        <v>25</v>
      </c>
      <c r="AF7" s="151">
        <v>5</v>
      </c>
      <c r="AG7" s="7">
        <v>6</v>
      </c>
      <c r="AH7" s="156">
        <f>SUM(AF7/AG7)*100</f>
        <v>83.333333333333343</v>
      </c>
      <c r="AI7" s="151">
        <v>9</v>
      </c>
      <c r="AJ7" s="7">
        <v>14</v>
      </c>
      <c r="AK7" s="156">
        <f t="shared" ref="AK7" si="5">SUM(AI7/AJ7)*100</f>
        <v>64.285714285714292</v>
      </c>
      <c r="AL7" s="151" t="s">
        <v>21</v>
      </c>
      <c r="AM7" s="7" t="s">
        <v>21</v>
      </c>
      <c r="AN7" s="7" t="s">
        <v>21</v>
      </c>
      <c r="AO7" s="151">
        <v>4</v>
      </c>
      <c r="AP7" s="7">
        <v>9</v>
      </c>
      <c r="AQ7" s="156">
        <f>SUM(AO7/AP7)*100</f>
        <v>44.444444444444443</v>
      </c>
      <c r="AR7" s="151">
        <v>13</v>
      </c>
      <c r="AS7" s="7">
        <v>15</v>
      </c>
      <c r="AT7" s="156">
        <f>SUM(AR7/AS7)*100</f>
        <v>86.666666666666671</v>
      </c>
      <c r="AU7" s="7">
        <v>28</v>
      </c>
      <c r="AV7" s="7">
        <v>37</v>
      </c>
      <c r="AW7" s="156">
        <f>SUM(AU7/AV7)*100</f>
        <v>75.675675675675677</v>
      </c>
      <c r="AX7" s="7">
        <v>19</v>
      </c>
      <c r="AY7" s="7">
        <v>23</v>
      </c>
      <c r="AZ7" s="156">
        <f>SUM(AX7/AY7)*100</f>
        <v>82.608695652173907</v>
      </c>
      <c r="BA7" s="7">
        <v>1</v>
      </c>
      <c r="BB7" s="7">
        <v>1</v>
      </c>
      <c r="BC7" s="7">
        <v>100</v>
      </c>
    </row>
    <row r="8" spans="1:55" ht="14.95" customHeight="1" thickBot="1" x14ac:dyDescent="0.3">
      <c r="A8" s="315" t="s">
        <v>967</v>
      </c>
      <c r="B8" s="219">
        <v>3</v>
      </c>
      <c r="C8" s="285">
        <v>2</v>
      </c>
      <c r="D8" s="261">
        <v>0</v>
      </c>
      <c r="E8" s="317">
        <f t="shared" si="0"/>
        <v>5</v>
      </c>
      <c r="F8" s="267" t="s">
        <v>967</v>
      </c>
      <c r="G8" s="268">
        <v>15</v>
      </c>
      <c r="H8" s="396">
        <v>10</v>
      </c>
      <c r="I8" s="269">
        <v>0</v>
      </c>
      <c r="J8" s="270">
        <f t="shared" si="1"/>
        <v>25</v>
      </c>
      <c r="K8" s="315" t="s">
        <v>849</v>
      </c>
      <c r="L8" s="317">
        <v>7</v>
      </c>
      <c r="M8" s="317">
        <v>10</v>
      </c>
      <c r="N8" s="318">
        <f t="shared" ref="N8" si="6">SUM(L8/M8)*100</f>
        <v>70</v>
      </c>
      <c r="O8" s="317" t="s">
        <v>21</v>
      </c>
      <c r="P8" s="317" t="s">
        <v>21</v>
      </c>
      <c r="Q8" s="318" t="s">
        <v>21</v>
      </c>
      <c r="R8" s="317">
        <v>2</v>
      </c>
      <c r="S8" s="317">
        <v>2</v>
      </c>
      <c r="T8" s="7">
        <v>7</v>
      </c>
      <c r="U8" s="7">
        <v>12</v>
      </c>
      <c r="V8" s="156">
        <v>58.333333333333336</v>
      </c>
      <c r="W8" s="7">
        <v>2</v>
      </c>
      <c r="X8" s="7">
        <v>2</v>
      </c>
      <c r="Y8" s="156">
        <f>SUM(W8/X8)*100</f>
        <v>100</v>
      </c>
      <c r="Z8" s="95"/>
      <c r="AA8" s="95"/>
      <c r="AB8" s="95"/>
      <c r="AC8" s="151">
        <v>19</v>
      </c>
      <c r="AD8" s="7">
        <v>28</v>
      </c>
      <c r="AE8" s="156">
        <v>67.857142857142861</v>
      </c>
      <c r="AF8" s="151">
        <v>41</v>
      </c>
      <c r="AG8" s="7">
        <v>61</v>
      </c>
      <c r="AH8" s="156">
        <f>(AF8/AG8)*100</f>
        <v>67.213114754098356</v>
      </c>
      <c r="AI8" s="151" t="s">
        <v>21</v>
      </c>
      <c r="AJ8" s="7" t="s">
        <v>21</v>
      </c>
      <c r="AK8" s="7" t="s">
        <v>21</v>
      </c>
      <c r="AL8" s="151" t="s">
        <v>21</v>
      </c>
      <c r="AM8" s="7" t="s">
        <v>21</v>
      </c>
      <c r="AN8" s="7" t="s">
        <v>21</v>
      </c>
      <c r="AO8" s="151" t="s">
        <v>21</v>
      </c>
      <c r="AP8" s="7" t="s">
        <v>21</v>
      </c>
      <c r="AQ8" s="7" t="s">
        <v>21</v>
      </c>
      <c r="AR8" s="151" t="s">
        <v>21</v>
      </c>
      <c r="AS8" s="7" t="s">
        <v>21</v>
      </c>
      <c r="AT8" s="7" t="s">
        <v>21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  <c r="BC8" s="7" t="s">
        <v>21</v>
      </c>
    </row>
    <row r="9" spans="1:55" ht="14.95" customHeight="1" thickBot="1" x14ac:dyDescent="0.3">
      <c r="A9" s="315" t="s">
        <v>532</v>
      </c>
      <c r="B9" s="219">
        <v>0</v>
      </c>
      <c r="C9" s="285">
        <v>0</v>
      </c>
      <c r="D9" s="261">
        <v>0</v>
      </c>
      <c r="E9" s="317">
        <f t="shared" si="0"/>
        <v>0</v>
      </c>
      <c r="F9" s="267" t="s">
        <v>532</v>
      </c>
      <c r="G9" s="268">
        <v>0</v>
      </c>
      <c r="H9" s="396">
        <v>0</v>
      </c>
      <c r="I9" s="269">
        <v>0</v>
      </c>
      <c r="J9" s="270">
        <f t="shared" si="1"/>
        <v>0</v>
      </c>
      <c r="K9" s="314" t="s">
        <v>562</v>
      </c>
      <c r="L9" s="317">
        <v>10</v>
      </c>
      <c r="M9" s="317">
        <v>12</v>
      </c>
      <c r="N9" s="318">
        <f t="shared" ref="N9" si="7">SUM(L9/M9)*100</f>
        <v>83.333333333333343</v>
      </c>
      <c r="O9" s="317">
        <v>4</v>
      </c>
      <c r="P9" s="317">
        <v>4</v>
      </c>
      <c r="Q9" s="318">
        <f t="shared" ref="Q9" si="8">SUM(O9/P9)*100</f>
        <v>100</v>
      </c>
      <c r="R9" s="319">
        <v>4</v>
      </c>
      <c r="S9" s="319">
        <v>4</v>
      </c>
      <c r="T9" s="7">
        <v>7</v>
      </c>
      <c r="U9" s="7">
        <v>9</v>
      </c>
      <c r="V9" s="7">
        <v>77.777777777777786</v>
      </c>
      <c r="W9" s="7">
        <v>1</v>
      </c>
      <c r="X9" s="7">
        <v>2</v>
      </c>
      <c r="Y9" s="6">
        <f>SUM(W9/X9)*100</f>
        <v>50</v>
      </c>
      <c r="Z9" s="95"/>
      <c r="AA9" s="95"/>
      <c r="AB9" s="95"/>
      <c r="AC9" s="151" t="s">
        <v>21</v>
      </c>
      <c r="AD9" s="7" t="s">
        <v>21</v>
      </c>
      <c r="AE9" s="156" t="s">
        <v>21</v>
      </c>
      <c r="AF9" s="151">
        <v>3</v>
      </c>
      <c r="AG9" s="7">
        <v>3</v>
      </c>
      <c r="AH9" s="7">
        <v>100</v>
      </c>
      <c r="AI9" s="151">
        <v>5</v>
      </c>
      <c r="AJ9" s="7">
        <v>10</v>
      </c>
      <c r="AK9" s="7">
        <v>50</v>
      </c>
      <c r="AL9" s="151">
        <v>4</v>
      </c>
      <c r="AM9" s="7">
        <v>5</v>
      </c>
      <c r="AN9" s="156">
        <v>80</v>
      </c>
      <c r="AO9" s="151">
        <v>1</v>
      </c>
      <c r="AP9" s="7">
        <v>3</v>
      </c>
      <c r="AQ9" s="156">
        <v>33.333333333333329</v>
      </c>
      <c r="AR9" s="151">
        <v>13</v>
      </c>
      <c r="AS9" s="7">
        <v>20</v>
      </c>
      <c r="AT9" s="7">
        <v>65</v>
      </c>
      <c r="AU9" s="7">
        <v>3</v>
      </c>
      <c r="AV9" s="7">
        <v>3</v>
      </c>
      <c r="AW9" s="7">
        <v>100</v>
      </c>
      <c r="AX9" s="9">
        <v>2</v>
      </c>
      <c r="AY9" s="9">
        <v>6</v>
      </c>
      <c r="AZ9" s="224">
        <v>33.333333333333329</v>
      </c>
      <c r="BA9" s="6" t="s">
        <v>21</v>
      </c>
      <c r="BB9" s="6" t="s">
        <v>21</v>
      </c>
      <c r="BC9" s="6" t="s">
        <v>21</v>
      </c>
    </row>
    <row r="10" spans="1:55" ht="14.95" customHeight="1" thickBot="1" x14ac:dyDescent="0.3">
      <c r="A10" s="315" t="s">
        <v>511</v>
      </c>
      <c r="B10" s="219">
        <v>1</v>
      </c>
      <c r="C10" s="285">
        <v>1</v>
      </c>
      <c r="D10" s="261">
        <v>0</v>
      </c>
      <c r="E10" s="317">
        <f t="shared" si="0"/>
        <v>2</v>
      </c>
      <c r="F10" s="267" t="s">
        <v>511</v>
      </c>
      <c r="G10" s="268">
        <v>31</v>
      </c>
      <c r="H10" s="396">
        <v>5</v>
      </c>
      <c r="I10" s="269">
        <v>0</v>
      </c>
      <c r="J10" s="270">
        <f t="shared" si="1"/>
        <v>36</v>
      </c>
      <c r="K10" s="314" t="s">
        <v>23</v>
      </c>
      <c r="L10" s="317" t="s">
        <v>21</v>
      </c>
      <c r="M10" s="317" t="s">
        <v>21</v>
      </c>
      <c r="N10" s="318" t="s">
        <v>21</v>
      </c>
      <c r="O10" s="317" t="s">
        <v>21</v>
      </c>
      <c r="P10" s="317" t="s">
        <v>21</v>
      </c>
      <c r="Q10" s="318" t="s">
        <v>21</v>
      </c>
      <c r="R10" s="373" t="s">
        <v>25</v>
      </c>
      <c r="S10" s="319">
        <v>3</v>
      </c>
      <c r="T10" s="151" t="s">
        <v>21</v>
      </c>
      <c r="U10" s="7" t="s">
        <v>21</v>
      </c>
      <c r="V10" s="156" t="s">
        <v>21</v>
      </c>
      <c r="W10" s="151" t="s">
        <v>21</v>
      </c>
      <c r="X10" s="7" t="s">
        <v>21</v>
      </c>
      <c r="Y10" s="156" t="s">
        <v>21</v>
      </c>
      <c r="Z10" s="371"/>
      <c r="AA10" s="372"/>
      <c r="AB10" s="372"/>
      <c r="AC10" s="151" t="s">
        <v>21</v>
      </c>
      <c r="AD10" s="7" t="s">
        <v>21</v>
      </c>
      <c r="AE10" s="156" t="s">
        <v>21</v>
      </c>
      <c r="AF10" s="151" t="s">
        <v>21</v>
      </c>
      <c r="AG10" s="7" t="s">
        <v>21</v>
      </c>
      <c r="AH10" s="156" t="s">
        <v>21</v>
      </c>
      <c r="AI10" s="151" t="s">
        <v>21</v>
      </c>
      <c r="AJ10" s="7" t="s">
        <v>21</v>
      </c>
      <c r="AK10" s="156" t="s">
        <v>21</v>
      </c>
      <c r="AL10" s="151" t="s">
        <v>21</v>
      </c>
      <c r="AM10" s="7" t="s">
        <v>21</v>
      </c>
      <c r="AN10" s="156" t="s">
        <v>21</v>
      </c>
      <c r="AO10" s="151" t="s">
        <v>21</v>
      </c>
      <c r="AP10" s="7" t="s">
        <v>21</v>
      </c>
      <c r="AQ10" s="156" t="s">
        <v>21</v>
      </c>
      <c r="AR10" s="151" t="s">
        <v>21</v>
      </c>
      <c r="AS10" s="7" t="s">
        <v>21</v>
      </c>
      <c r="AT10" s="156" t="s">
        <v>21</v>
      </c>
      <c r="AU10" s="151" t="s">
        <v>21</v>
      </c>
      <c r="AV10" s="7" t="s">
        <v>21</v>
      </c>
      <c r="AW10" s="156" t="s">
        <v>21</v>
      </c>
      <c r="AX10" s="151" t="s">
        <v>21</v>
      </c>
      <c r="AY10" s="7" t="s">
        <v>21</v>
      </c>
      <c r="AZ10" s="156" t="s">
        <v>21</v>
      </c>
      <c r="BA10" s="151" t="s">
        <v>21</v>
      </c>
      <c r="BB10" s="7" t="s">
        <v>21</v>
      </c>
      <c r="BC10" s="156" t="s">
        <v>21</v>
      </c>
    </row>
    <row r="11" spans="1:55" ht="14.95" customHeight="1" thickBot="1" x14ac:dyDescent="0.3">
      <c r="A11" s="315" t="s">
        <v>835</v>
      </c>
      <c r="B11" s="219">
        <v>5</v>
      </c>
      <c r="C11" s="285">
        <v>2</v>
      </c>
      <c r="D11" s="261">
        <v>0</v>
      </c>
      <c r="E11" s="317">
        <f t="shared" si="0"/>
        <v>7</v>
      </c>
      <c r="F11" s="267" t="s">
        <v>835</v>
      </c>
      <c r="G11" s="268">
        <v>25</v>
      </c>
      <c r="H11" s="396">
        <v>10</v>
      </c>
      <c r="I11" s="269">
        <v>0</v>
      </c>
      <c r="J11" s="270">
        <f t="shared" si="1"/>
        <v>35</v>
      </c>
      <c r="K11" s="56"/>
      <c r="L11" s="53"/>
      <c r="M11" s="52"/>
      <c r="N11" s="52"/>
      <c r="O11" s="53"/>
      <c r="P11" s="52"/>
      <c r="Q11" s="54"/>
      <c r="R11" s="55"/>
      <c r="S11" s="36"/>
      <c r="T11" s="36"/>
      <c r="U11" s="36"/>
      <c r="V11" s="36"/>
    </row>
    <row r="12" spans="1:55" ht="14.95" customHeight="1" thickBot="1" x14ac:dyDescent="0.3">
      <c r="A12" s="315" t="s">
        <v>504</v>
      </c>
      <c r="B12" s="219">
        <v>0</v>
      </c>
      <c r="C12" s="285">
        <v>0</v>
      </c>
      <c r="D12" s="261">
        <v>1</v>
      </c>
      <c r="E12" s="317">
        <f t="shared" si="0"/>
        <v>1</v>
      </c>
      <c r="F12" s="267" t="s">
        <v>504</v>
      </c>
      <c r="G12" s="268">
        <v>0</v>
      </c>
      <c r="H12" s="396">
        <v>0</v>
      </c>
      <c r="I12" s="269">
        <v>5</v>
      </c>
      <c r="J12" s="270">
        <f t="shared" si="1"/>
        <v>5</v>
      </c>
      <c r="K12" s="455" t="s">
        <v>302</v>
      </c>
      <c r="L12" s="436" t="s">
        <v>20</v>
      </c>
      <c r="M12" s="437"/>
      <c r="N12" s="438"/>
      <c r="O12" s="428" t="s">
        <v>365</v>
      </c>
      <c r="P12" s="429"/>
      <c r="Q12" s="430"/>
      <c r="R12" s="422" t="s">
        <v>854</v>
      </c>
      <c r="S12" s="446"/>
      <c r="T12" s="447"/>
      <c r="U12" s="422" t="s">
        <v>700</v>
      </c>
      <c r="V12" s="446"/>
      <c r="W12" s="447"/>
      <c r="X12" s="163"/>
      <c r="Y12" s="163"/>
      <c r="Z12" s="163"/>
      <c r="AA12" s="163"/>
      <c r="AB12" s="163"/>
      <c r="AC12" s="422" t="s">
        <v>518</v>
      </c>
      <c r="AD12" s="423"/>
      <c r="AE12" s="424"/>
      <c r="AF12" s="422" t="s">
        <v>356</v>
      </c>
      <c r="AG12" s="423"/>
      <c r="AH12" s="424"/>
      <c r="AI12" s="422" t="s">
        <v>272</v>
      </c>
      <c r="AJ12" s="423"/>
      <c r="AK12" s="424"/>
      <c r="AL12" s="422" t="s">
        <v>115</v>
      </c>
      <c r="AM12" s="423"/>
      <c r="AN12" s="424"/>
      <c r="AO12" s="422" t="s">
        <v>83</v>
      </c>
      <c r="AP12" s="423"/>
      <c r="AQ12" s="424"/>
      <c r="AR12" s="422" t="s">
        <v>78</v>
      </c>
      <c r="AS12" s="423"/>
      <c r="AT12" s="424"/>
      <c r="AU12" s="422" t="s">
        <v>89</v>
      </c>
      <c r="AV12" s="423"/>
      <c r="AW12" s="424"/>
    </row>
    <row r="13" spans="1:55" ht="14.95" customHeight="1" thickBot="1" x14ac:dyDescent="0.3">
      <c r="A13" s="315" t="s">
        <v>528</v>
      </c>
      <c r="B13" s="219">
        <v>0</v>
      </c>
      <c r="C13" s="285">
        <v>0</v>
      </c>
      <c r="D13" s="261">
        <v>0</v>
      </c>
      <c r="E13" s="317">
        <f t="shared" si="0"/>
        <v>0</v>
      </c>
      <c r="F13" s="267" t="s">
        <v>528</v>
      </c>
      <c r="G13" s="268">
        <v>0</v>
      </c>
      <c r="H13" s="396">
        <v>0</v>
      </c>
      <c r="I13" s="269">
        <v>0</v>
      </c>
      <c r="J13" s="270">
        <f t="shared" si="1"/>
        <v>0</v>
      </c>
      <c r="K13" s="456"/>
      <c r="L13" s="439"/>
      <c r="M13" s="440"/>
      <c r="N13" s="441"/>
      <c r="O13" s="431"/>
      <c r="P13" s="432"/>
      <c r="Q13" s="433"/>
      <c r="R13" s="448"/>
      <c r="S13" s="449"/>
      <c r="T13" s="450"/>
      <c r="U13" s="448"/>
      <c r="V13" s="449"/>
      <c r="W13" s="450"/>
      <c r="X13" s="163"/>
      <c r="Y13" s="163"/>
      <c r="Z13" s="163"/>
      <c r="AA13" s="163"/>
      <c r="AB13" s="163"/>
      <c r="AC13" s="425"/>
      <c r="AD13" s="426"/>
      <c r="AE13" s="427"/>
      <c r="AF13" s="425"/>
      <c r="AG13" s="426"/>
      <c r="AH13" s="427"/>
      <c r="AI13" s="425"/>
      <c r="AJ13" s="426"/>
      <c r="AK13" s="427"/>
      <c r="AL13" s="425"/>
      <c r="AM13" s="426"/>
      <c r="AN13" s="427"/>
      <c r="AO13" s="425"/>
      <c r="AP13" s="426"/>
      <c r="AQ13" s="427"/>
      <c r="AR13" s="425"/>
      <c r="AS13" s="426"/>
      <c r="AT13" s="427"/>
      <c r="AU13" s="425"/>
      <c r="AV13" s="426"/>
      <c r="AW13" s="427"/>
    </row>
    <row r="14" spans="1:55" ht="14.95" customHeight="1" thickBot="1" x14ac:dyDescent="0.3">
      <c r="A14" s="315" t="s">
        <v>534</v>
      </c>
      <c r="B14" s="219">
        <v>1</v>
      </c>
      <c r="C14" s="285">
        <v>0</v>
      </c>
      <c r="D14" s="261">
        <v>0</v>
      </c>
      <c r="E14" s="317">
        <f t="shared" si="0"/>
        <v>1</v>
      </c>
      <c r="F14" s="267" t="s">
        <v>534</v>
      </c>
      <c r="G14" s="268">
        <v>5</v>
      </c>
      <c r="H14" s="396">
        <v>0</v>
      </c>
      <c r="I14" s="269">
        <v>0</v>
      </c>
      <c r="J14" s="270">
        <f t="shared" si="1"/>
        <v>5</v>
      </c>
      <c r="K14" s="278" t="s">
        <v>30</v>
      </c>
      <c r="L14" s="3" t="s">
        <v>74</v>
      </c>
      <c r="M14" s="3" t="s">
        <v>15</v>
      </c>
      <c r="N14" s="3" t="s">
        <v>16</v>
      </c>
      <c r="O14" s="80" t="s">
        <v>74</v>
      </c>
      <c r="P14" s="80" t="s">
        <v>15</v>
      </c>
      <c r="Q14" s="80" t="s">
        <v>16</v>
      </c>
      <c r="R14" s="80" t="s">
        <v>74</v>
      </c>
      <c r="S14" s="80" t="s">
        <v>15</v>
      </c>
      <c r="T14" s="80" t="s">
        <v>16</v>
      </c>
      <c r="U14" s="80" t="s">
        <v>74</v>
      </c>
      <c r="V14" s="80" t="s">
        <v>15</v>
      </c>
      <c r="W14" s="80" t="s">
        <v>16</v>
      </c>
      <c r="AC14" s="151" t="s">
        <v>74</v>
      </c>
      <c r="AD14" s="7" t="s">
        <v>15</v>
      </c>
      <c r="AE14" s="7" t="s">
        <v>16</v>
      </c>
      <c r="AF14" s="151" t="s">
        <v>74</v>
      </c>
      <c r="AG14" s="7" t="s">
        <v>15</v>
      </c>
      <c r="AH14" s="7" t="s">
        <v>16</v>
      </c>
      <c r="AI14" s="151" t="s">
        <v>74</v>
      </c>
      <c r="AJ14" s="7" t="s">
        <v>15</v>
      </c>
      <c r="AK14" s="7" t="s">
        <v>16</v>
      </c>
      <c r="AL14" s="151" t="s">
        <v>74</v>
      </c>
      <c r="AM14" s="7" t="s">
        <v>15</v>
      </c>
      <c r="AN14" s="7" t="s">
        <v>16</v>
      </c>
      <c r="AO14" s="151" t="s">
        <v>74</v>
      </c>
      <c r="AP14" s="7" t="s">
        <v>15</v>
      </c>
      <c r="AQ14" s="7" t="s">
        <v>16</v>
      </c>
      <c r="AR14" s="151" t="s">
        <v>74</v>
      </c>
      <c r="AS14" s="7" t="s">
        <v>15</v>
      </c>
      <c r="AT14" s="7" t="s">
        <v>16</v>
      </c>
      <c r="AU14" s="151" t="s">
        <v>74</v>
      </c>
      <c r="AV14" s="7" t="s">
        <v>15</v>
      </c>
      <c r="AW14" s="7" t="s">
        <v>16</v>
      </c>
    </row>
    <row r="15" spans="1:55" ht="14.95" customHeight="1" thickBot="1" x14ac:dyDescent="0.3">
      <c r="A15" s="315" t="s">
        <v>776</v>
      </c>
      <c r="B15" s="219">
        <v>0</v>
      </c>
      <c r="C15" s="285">
        <v>0</v>
      </c>
      <c r="D15" s="261">
        <v>1</v>
      </c>
      <c r="E15" s="317">
        <f t="shared" si="0"/>
        <v>1</v>
      </c>
      <c r="F15" s="267" t="s">
        <v>776</v>
      </c>
      <c r="G15" s="268">
        <v>0</v>
      </c>
      <c r="H15" s="396">
        <v>0</v>
      </c>
      <c r="I15" s="269">
        <v>5</v>
      </c>
      <c r="J15" s="270">
        <f t="shared" si="1"/>
        <v>5</v>
      </c>
      <c r="K15" s="315" t="s">
        <v>507</v>
      </c>
      <c r="L15" s="317">
        <v>16</v>
      </c>
      <c r="M15" s="317">
        <v>25</v>
      </c>
      <c r="N15" s="318">
        <f t="shared" ref="N15" si="9">SUM(L15/M15)*100</f>
        <v>64</v>
      </c>
      <c r="O15" s="7">
        <v>16</v>
      </c>
      <c r="P15" s="7">
        <v>22</v>
      </c>
      <c r="Q15" s="156">
        <v>72.727272727272734</v>
      </c>
      <c r="R15" s="7" t="s">
        <v>21</v>
      </c>
      <c r="S15" s="7" t="s">
        <v>21</v>
      </c>
      <c r="T15" s="156" t="s">
        <v>21</v>
      </c>
      <c r="U15" s="7" t="s">
        <v>21</v>
      </c>
      <c r="V15" s="7" t="s">
        <v>21</v>
      </c>
      <c r="W15" s="156" t="s">
        <v>21</v>
      </c>
      <c r="AC15" s="151">
        <v>7</v>
      </c>
      <c r="AD15" s="7">
        <v>9</v>
      </c>
      <c r="AE15" s="156">
        <f>SUM(AC15/AD15)*100</f>
        <v>77.777777777777786</v>
      </c>
      <c r="AF15" s="151">
        <v>36</v>
      </c>
      <c r="AG15" s="7">
        <v>42</v>
      </c>
      <c r="AH15" s="156">
        <f>SUM(AF15/AG15)*100</f>
        <v>85.714285714285708</v>
      </c>
      <c r="AI15" s="151">
        <v>37</v>
      </c>
      <c r="AJ15" s="7">
        <v>42</v>
      </c>
      <c r="AK15" s="156">
        <f>SUM(AI15/AJ15)*100</f>
        <v>88.095238095238088</v>
      </c>
      <c r="AL15" s="151">
        <v>47</v>
      </c>
      <c r="AM15" s="7">
        <v>57</v>
      </c>
      <c r="AN15" s="156">
        <f>SUM(AL15/AM15)*100</f>
        <v>82.456140350877192</v>
      </c>
      <c r="AO15" s="151">
        <v>48</v>
      </c>
      <c r="AP15" s="7">
        <v>64</v>
      </c>
      <c r="AQ15" s="156">
        <f>SUM(AO15/AP15)*100</f>
        <v>75</v>
      </c>
      <c r="AR15" s="151">
        <v>15</v>
      </c>
      <c r="AS15" s="7">
        <v>19</v>
      </c>
      <c r="AT15" s="156">
        <f>SUM(AR15/AS15)*100</f>
        <v>78.94736842105263</v>
      </c>
      <c r="AU15" s="151">
        <v>24</v>
      </c>
      <c r="AV15" s="7">
        <v>33</v>
      </c>
      <c r="AW15" s="156">
        <f>SUM(AU15/AV15)*100</f>
        <v>72.727272727272734</v>
      </c>
    </row>
    <row r="16" spans="1:55" ht="14.95" customHeight="1" thickBot="1" x14ac:dyDescent="0.3">
      <c r="A16" s="315" t="s">
        <v>507</v>
      </c>
      <c r="B16" s="219">
        <v>1</v>
      </c>
      <c r="C16" s="285">
        <v>0</v>
      </c>
      <c r="D16" s="261">
        <v>0</v>
      </c>
      <c r="E16" s="317">
        <f t="shared" si="0"/>
        <v>1</v>
      </c>
      <c r="F16" s="267" t="s">
        <v>507</v>
      </c>
      <c r="G16" s="268">
        <v>103</v>
      </c>
      <c r="H16" s="396">
        <v>40</v>
      </c>
      <c r="I16" s="269">
        <v>0</v>
      </c>
      <c r="J16" s="270">
        <f t="shared" si="1"/>
        <v>143</v>
      </c>
      <c r="K16" s="315" t="s">
        <v>533</v>
      </c>
      <c r="L16" s="317" t="s">
        <v>21</v>
      </c>
      <c r="M16" s="317" t="s">
        <v>21</v>
      </c>
      <c r="N16" s="318" t="s">
        <v>21</v>
      </c>
      <c r="O16" s="7" t="s">
        <v>21</v>
      </c>
      <c r="P16" s="7" t="s">
        <v>21</v>
      </c>
      <c r="Q16" s="156" t="s">
        <v>21</v>
      </c>
      <c r="R16" s="7" t="s">
        <v>21</v>
      </c>
      <c r="S16" s="7" t="s">
        <v>21</v>
      </c>
      <c r="T16" s="156" t="s">
        <v>21</v>
      </c>
      <c r="U16" s="7" t="s">
        <v>21</v>
      </c>
      <c r="V16" s="7" t="s">
        <v>21</v>
      </c>
      <c r="W16" s="156" t="s">
        <v>21</v>
      </c>
      <c r="AC16" s="151" t="s">
        <v>21</v>
      </c>
      <c r="AD16" s="7" t="s">
        <v>21</v>
      </c>
      <c r="AE16" s="156" t="s">
        <v>21</v>
      </c>
      <c r="AF16" s="151">
        <v>11</v>
      </c>
      <c r="AG16" s="7">
        <v>13</v>
      </c>
      <c r="AH16" s="156">
        <f>SUM(AF16/AG16)*100</f>
        <v>84.615384615384613</v>
      </c>
      <c r="AI16" s="151" t="s">
        <v>21</v>
      </c>
      <c r="AJ16" s="7" t="s">
        <v>21</v>
      </c>
      <c r="AK16" s="7" t="s">
        <v>21</v>
      </c>
      <c r="AL16" s="151">
        <v>2</v>
      </c>
      <c r="AM16" s="7">
        <v>5</v>
      </c>
      <c r="AN16" s="156">
        <f>SUM(AL16/AM16)*100</f>
        <v>40</v>
      </c>
      <c r="AO16" s="151" t="s">
        <v>21</v>
      </c>
      <c r="AP16" s="7" t="s">
        <v>21</v>
      </c>
      <c r="AQ16" s="7" t="s">
        <v>21</v>
      </c>
      <c r="AR16" s="151">
        <v>4</v>
      </c>
      <c r="AS16" s="7">
        <v>4</v>
      </c>
      <c r="AT16" s="156">
        <f>SUM(AR16/AS16)*100</f>
        <v>100</v>
      </c>
      <c r="AU16" s="151" t="s">
        <v>21</v>
      </c>
      <c r="AV16" s="7" t="s">
        <v>21</v>
      </c>
      <c r="AW16" s="7" t="s">
        <v>21</v>
      </c>
    </row>
    <row r="17" spans="1:49" ht="14.95" customHeight="1" thickBot="1" x14ac:dyDescent="0.3">
      <c r="A17" s="315" t="s">
        <v>498</v>
      </c>
      <c r="B17" s="219">
        <v>4</v>
      </c>
      <c r="C17" s="285">
        <v>2</v>
      </c>
      <c r="D17" s="261">
        <v>0</v>
      </c>
      <c r="E17" s="317">
        <f t="shared" si="0"/>
        <v>6</v>
      </c>
      <c r="F17" s="267" t="s">
        <v>498</v>
      </c>
      <c r="G17" s="268">
        <v>20</v>
      </c>
      <c r="H17" s="396">
        <v>10</v>
      </c>
      <c r="I17" s="269">
        <v>0</v>
      </c>
      <c r="J17" s="270">
        <f t="shared" si="1"/>
        <v>30</v>
      </c>
      <c r="K17" s="315" t="s">
        <v>849</v>
      </c>
      <c r="L17" s="317" t="s">
        <v>21</v>
      </c>
      <c r="M17" s="317" t="s">
        <v>21</v>
      </c>
      <c r="N17" s="318" t="s">
        <v>21</v>
      </c>
      <c r="O17" s="7" t="s">
        <v>21</v>
      </c>
      <c r="P17" s="7" t="s">
        <v>21</v>
      </c>
      <c r="Q17" s="156" t="s">
        <v>21</v>
      </c>
      <c r="R17" s="7" t="s">
        <v>21</v>
      </c>
      <c r="S17" s="7" t="s">
        <v>21</v>
      </c>
      <c r="T17" s="156" t="s">
        <v>21</v>
      </c>
      <c r="U17" s="7" t="s">
        <v>21</v>
      </c>
      <c r="V17" s="7" t="s">
        <v>21</v>
      </c>
      <c r="W17" s="156" t="s">
        <v>21</v>
      </c>
      <c r="AC17" s="151">
        <v>10</v>
      </c>
      <c r="AD17" s="7">
        <v>12</v>
      </c>
      <c r="AE17" s="156">
        <f>SUM(AC17/AD17)*100</f>
        <v>83.333333333333343</v>
      </c>
      <c r="AF17" s="151"/>
      <c r="AG17" s="7"/>
      <c r="AH17" s="156"/>
      <c r="AI17" s="151" t="s">
        <v>21</v>
      </c>
      <c r="AJ17" s="7" t="s">
        <v>21</v>
      </c>
      <c r="AK17" s="7" t="s">
        <v>21</v>
      </c>
      <c r="AL17" s="151" t="s">
        <v>21</v>
      </c>
      <c r="AM17" s="7" t="s">
        <v>21</v>
      </c>
      <c r="AN17" s="7" t="s">
        <v>21</v>
      </c>
      <c r="AO17" s="151" t="s">
        <v>21</v>
      </c>
      <c r="AP17" s="7" t="s">
        <v>21</v>
      </c>
      <c r="AQ17" s="7" t="s">
        <v>21</v>
      </c>
      <c r="AR17" s="151" t="s">
        <v>21</v>
      </c>
      <c r="AS17" s="7" t="s">
        <v>21</v>
      </c>
      <c r="AT17" s="7" t="s">
        <v>21</v>
      </c>
      <c r="AU17" s="151" t="s">
        <v>21</v>
      </c>
      <c r="AV17" s="7" t="s">
        <v>21</v>
      </c>
      <c r="AW17" s="7" t="s">
        <v>21</v>
      </c>
    </row>
    <row r="18" spans="1:49" ht="14.95" customHeight="1" thickBot="1" x14ac:dyDescent="0.3">
      <c r="A18" s="315" t="s">
        <v>946</v>
      </c>
      <c r="B18" s="219">
        <v>6</v>
      </c>
      <c r="C18" s="285">
        <v>2</v>
      </c>
      <c r="D18" s="261">
        <v>0</v>
      </c>
      <c r="E18" s="317">
        <f t="shared" si="0"/>
        <v>8</v>
      </c>
      <c r="F18" s="267" t="s">
        <v>946</v>
      </c>
      <c r="G18" s="268">
        <v>30</v>
      </c>
      <c r="H18" s="396">
        <v>10</v>
      </c>
      <c r="I18" s="269">
        <v>0</v>
      </c>
      <c r="J18" s="270">
        <f t="shared" si="1"/>
        <v>40</v>
      </c>
      <c r="K18" s="315" t="s">
        <v>510</v>
      </c>
      <c r="L18" s="317">
        <v>1</v>
      </c>
      <c r="M18" s="317">
        <v>3</v>
      </c>
      <c r="N18" s="318">
        <f t="shared" ref="N18" si="10">SUM(L18/M18)*100</f>
        <v>33.333333333333329</v>
      </c>
      <c r="O18" s="7">
        <v>9</v>
      </c>
      <c r="P18" s="7">
        <v>13</v>
      </c>
      <c r="Q18" s="156">
        <v>69.230769230769226</v>
      </c>
      <c r="R18" s="7" t="s">
        <v>21</v>
      </c>
      <c r="S18" s="7" t="s">
        <v>21</v>
      </c>
      <c r="T18" s="156" t="s">
        <v>21</v>
      </c>
      <c r="U18" s="7" t="s">
        <v>21</v>
      </c>
      <c r="V18" s="7" t="s">
        <v>21</v>
      </c>
      <c r="W18" s="156" t="s">
        <v>21</v>
      </c>
      <c r="AC18" s="151">
        <v>10</v>
      </c>
      <c r="AD18" s="7">
        <v>11</v>
      </c>
      <c r="AE18" s="156">
        <f>SUM(AC18/AD18)*100</f>
        <v>90.909090909090907</v>
      </c>
      <c r="AF18" s="151" t="s">
        <v>21</v>
      </c>
      <c r="AG18" s="7" t="s">
        <v>21</v>
      </c>
      <c r="AH18" s="7" t="s">
        <v>21</v>
      </c>
      <c r="AI18" s="151" t="s">
        <v>21</v>
      </c>
      <c r="AJ18" s="7" t="s">
        <v>21</v>
      </c>
      <c r="AK18" s="7" t="s">
        <v>21</v>
      </c>
      <c r="AL18" s="151" t="s">
        <v>21</v>
      </c>
      <c r="AM18" s="7" t="s">
        <v>21</v>
      </c>
      <c r="AN18" s="7" t="s">
        <v>21</v>
      </c>
      <c r="AO18" s="151" t="s">
        <v>21</v>
      </c>
      <c r="AP18" s="7" t="s">
        <v>21</v>
      </c>
      <c r="AQ18" s="7" t="s">
        <v>21</v>
      </c>
      <c r="AR18" s="151">
        <v>1</v>
      </c>
      <c r="AS18" s="7">
        <v>1</v>
      </c>
      <c r="AT18" s="156">
        <f>SUM(AR18/AS18)*100</f>
        <v>100</v>
      </c>
      <c r="AU18" s="151">
        <v>6</v>
      </c>
      <c r="AV18" s="7">
        <v>8</v>
      </c>
      <c r="AW18" s="156">
        <f>SUM(AU18/AV18)*100</f>
        <v>75</v>
      </c>
    </row>
    <row r="19" spans="1:49" ht="14.95" customHeight="1" thickBot="1" x14ac:dyDescent="0.3">
      <c r="A19" s="315" t="s">
        <v>510</v>
      </c>
      <c r="B19" s="219">
        <v>1</v>
      </c>
      <c r="C19" s="285">
        <v>0</v>
      </c>
      <c r="D19" s="261">
        <v>0</v>
      </c>
      <c r="E19" s="317">
        <f t="shared" si="0"/>
        <v>1</v>
      </c>
      <c r="F19" s="267" t="s">
        <v>510</v>
      </c>
      <c r="G19" s="268">
        <v>9</v>
      </c>
      <c r="H19" s="396">
        <v>2</v>
      </c>
      <c r="I19" s="269">
        <v>0</v>
      </c>
      <c r="J19" s="270">
        <f t="shared" si="1"/>
        <v>11</v>
      </c>
      <c r="K19" s="315" t="s">
        <v>562</v>
      </c>
      <c r="L19" s="317" t="s">
        <v>21</v>
      </c>
      <c r="M19" s="317" t="s">
        <v>21</v>
      </c>
      <c r="N19" s="318" t="s">
        <v>21</v>
      </c>
      <c r="O19" s="7">
        <v>1</v>
      </c>
      <c r="P19" s="7">
        <v>1</v>
      </c>
      <c r="Q19" s="156">
        <v>100</v>
      </c>
      <c r="R19" s="7" t="s">
        <v>21</v>
      </c>
      <c r="S19" s="7" t="s">
        <v>21</v>
      </c>
      <c r="T19" s="156" t="s">
        <v>21</v>
      </c>
      <c r="U19" s="7" t="s">
        <v>21</v>
      </c>
      <c r="V19" s="7" t="s">
        <v>21</v>
      </c>
      <c r="W19" s="156" t="s">
        <v>21</v>
      </c>
      <c r="AC19" s="151">
        <v>3</v>
      </c>
      <c r="AD19" s="7">
        <v>6</v>
      </c>
      <c r="AE19" s="156">
        <f>SUM(AC19/AD19)*100</f>
        <v>50</v>
      </c>
      <c r="AF19" s="151">
        <v>2</v>
      </c>
      <c r="AG19" s="7">
        <v>2</v>
      </c>
      <c r="AH19" s="7">
        <v>100</v>
      </c>
      <c r="AI19" s="151">
        <v>3</v>
      </c>
      <c r="AJ19" s="7">
        <v>4</v>
      </c>
      <c r="AK19" s="156">
        <v>75</v>
      </c>
      <c r="AL19" s="151" t="s">
        <v>21</v>
      </c>
      <c r="AM19" s="7" t="s">
        <v>21</v>
      </c>
      <c r="AN19" s="156" t="s">
        <v>21</v>
      </c>
      <c r="AO19" s="151">
        <v>3</v>
      </c>
      <c r="AP19" s="7">
        <v>10</v>
      </c>
      <c r="AQ19" s="7">
        <v>30</v>
      </c>
      <c r="AR19" s="151">
        <v>1</v>
      </c>
      <c r="AS19" s="7">
        <v>1</v>
      </c>
      <c r="AT19" s="156">
        <v>100</v>
      </c>
      <c r="AU19" s="151" t="s">
        <v>21</v>
      </c>
      <c r="AV19" s="7" t="s">
        <v>21</v>
      </c>
      <c r="AW19" s="7" t="s">
        <v>21</v>
      </c>
    </row>
    <row r="20" spans="1:49" ht="14.95" customHeight="1" thickBot="1" x14ac:dyDescent="0.3">
      <c r="A20" s="315" t="s">
        <v>1008</v>
      </c>
      <c r="B20" s="219">
        <v>2</v>
      </c>
      <c r="C20" s="285">
        <v>0</v>
      </c>
      <c r="D20" s="261">
        <v>0</v>
      </c>
      <c r="E20" s="317">
        <f t="shared" si="0"/>
        <v>2</v>
      </c>
      <c r="F20" s="267" t="s">
        <v>1008</v>
      </c>
      <c r="G20" s="268">
        <v>10</v>
      </c>
      <c r="H20" s="396">
        <v>0</v>
      </c>
      <c r="I20" s="269">
        <v>0</v>
      </c>
      <c r="J20" s="270">
        <f t="shared" si="1"/>
        <v>10</v>
      </c>
    </row>
    <row r="21" spans="1:49" ht="14.95" customHeight="1" thickBot="1" x14ac:dyDescent="0.3">
      <c r="A21" s="315" t="s">
        <v>719</v>
      </c>
      <c r="B21" s="219">
        <v>0</v>
      </c>
      <c r="C21" s="285">
        <v>0</v>
      </c>
      <c r="D21" s="261">
        <v>0</v>
      </c>
      <c r="E21" s="317">
        <f t="shared" si="0"/>
        <v>0</v>
      </c>
      <c r="F21" s="267" t="s">
        <v>719</v>
      </c>
      <c r="G21" s="268">
        <v>0</v>
      </c>
      <c r="H21" s="396">
        <v>0</v>
      </c>
      <c r="I21" s="269">
        <v>0</v>
      </c>
      <c r="J21" s="270">
        <f t="shared" si="1"/>
        <v>0</v>
      </c>
      <c r="K21" s="485" t="s">
        <v>303</v>
      </c>
      <c r="L21" s="422" t="s">
        <v>20</v>
      </c>
      <c r="M21" s="423"/>
      <c r="N21" s="424"/>
      <c r="O21" s="422" t="s">
        <v>365</v>
      </c>
      <c r="P21" s="423"/>
      <c r="Q21" s="424"/>
      <c r="R21" s="422" t="s">
        <v>854</v>
      </c>
      <c r="S21" s="423"/>
      <c r="T21" s="424"/>
      <c r="U21" s="422" t="s">
        <v>700</v>
      </c>
      <c r="V21" s="446"/>
      <c r="W21" s="447"/>
      <c r="AC21" s="422" t="s">
        <v>518</v>
      </c>
      <c r="AD21" s="423"/>
      <c r="AE21" s="424"/>
      <c r="AF21" s="422" t="s">
        <v>356</v>
      </c>
      <c r="AG21" s="423"/>
      <c r="AH21" s="424"/>
      <c r="AI21" s="422" t="s">
        <v>272</v>
      </c>
      <c r="AJ21" s="423"/>
      <c r="AK21" s="424"/>
      <c r="AL21" s="422" t="s">
        <v>115</v>
      </c>
      <c r="AM21" s="423"/>
      <c r="AN21" s="424"/>
      <c r="AO21" s="422" t="s">
        <v>83</v>
      </c>
      <c r="AP21" s="423"/>
      <c r="AQ21" s="424"/>
      <c r="AR21" s="422" t="s">
        <v>78</v>
      </c>
      <c r="AS21" s="423"/>
      <c r="AT21" s="424"/>
      <c r="AU21" s="422" t="s">
        <v>89</v>
      </c>
      <c r="AV21" s="423"/>
      <c r="AW21" s="424"/>
    </row>
    <row r="22" spans="1:49" ht="14.95" customHeight="1" thickBot="1" x14ac:dyDescent="0.3">
      <c r="A22" s="315" t="s">
        <v>306</v>
      </c>
      <c r="B22" s="219">
        <v>0</v>
      </c>
      <c r="C22" s="285">
        <v>0</v>
      </c>
      <c r="D22" s="261">
        <v>2</v>
      </c>
      <c r="E22" s="317">
        <f t="shared" si="0"/>
        <v>2</v>
      </c>
      <c r="F22" s="267" t="s">
        <v>306</v>
      </c>
      <c r="G22" s="268">
        <v>0</v>
      </c>
      <c r="H22" s="396">
        <v>0</v>
      </c>
      <c r="I22" s="269">
        <v>10</v>
      </c>
      <c r="J22" s="270">
        <f t="shared" si="1"/>
        <v>10</v>
      </c>
      <c r="K22" s="486"/>
      <c r="L22" s="425"/>
      <c r="M22" s="426"/>
      <c r="N22" s="427"/>
      <c r="O22" s="425"/>
      <c r="P22" s="426"/>
      <c r="Q22" s="427"/>
      <c r="R22" s="425"/>
      <c r="S22" s="426"/>
      <c r="T22" s="427"/>
      <c r="U22" s="448"/>
      <c r="V22" s="449"/>
      <c r="W22" s="450"/>
      <c r="AC22" s="425"/>
      <c r="AD22" s="426"/>
      <c r="AE22" s="427"/>
      <c r="AF22" s="425"/>
      <c r="AG22" s="426"/>
      <c r="AH22" s="427"/>
      <c r="AI22" s="425"/>
      <c r="AJ22" s="426"/>
      <c r="AK22" s="427"/>
      <c r="AL22" s="425"/>
      <c r="AM22" s="426"/>
      <c r="AN22" s="427"/>
      <c r="AO22" s="425"/>
      <c r="AP22" s="426"/>
      <c r="AQ22" s="427"/>
      <c r="AR22" s="425"/>
      <c r="AS22" s="426"/>
      <c r="AT22" s="427"/>
      <c r="AU22" s="425"/>
      <c r="AV22" s="426"/>
      <c r="AW22" s="427"/>
    </row>
    <row r="23" spans="1:49" ht="14.95" customHeight="1" thickBot="1" x14ac:dyDescent="0.3">
      <c r="A23" s="315" t="s">
        <v>760</v>
      </c>
      <c r="B23" s="219">
        <v>3</v>
      </c>
      <c r="C23" s="285">
        <v>2</v>
      </c>
      <c r="D23" s="261">
        <v>2</v>
      </c>
      <c r="E23" s="317">
        <f t="shared" si="0"/>
        <v>7</v>
      </c>
      <c r="F23" s="267" t="s">
        <v>760</v>
      </c>
      <c r="G23" s="268">
        <v>15</v>
      </c>
      <c r="H23" s="396">
        <v>10</v>
      </c>
      <c r="I23" s="269">
        <v>10</v>
      </c>
      <c r="J23" s="270">
        <f t="shared" si="1"/>
        <v>35</v>
      </c>
      <c r="K23" s="272" t="s">
        <v>30</v>
      </c>
      <c r="L23" s="7" t="s">
        <v>74</v>
      </c>
      <c r="M23" s="7" t="s">
        <v>15</v>
      </c>
      <c r="N23" s="7" t="s">
        <v>16</v>
      </c>
      <c r="O23" s="7" t="s">
        <v>74</v>
      </c>
      <c r="P23" s="7" t="s">
        <v>15</v>
      </c>
      <c r="Q23" s="7" t="s">
        <v>16</v>
      </c>
      <c r="R23" s="7" t="s">
        <v>74</v>
      </c>
      <c r="S23" s="7" t="s">
        <v>15</v>
      </c>
      <c r="T23" s="7" t="s">
        <v>16</v>
      </c>
      <c r="U23" s="80" t="s">
        <v>74</v>
      </c>
      <c r="V23" s="80" t="s">
        <v>15</v>
      </c>
      <c r="W23" s="80" t="s">
        <v>16</v>
      </c>
      <c r="AC23" s="151" t="s">
        <v>74</v>
      </c>
      <c r="AD23" s="7" t="s">
        <v>15</v>
      </c>
      <c r="AE23" s="7" t="s">
        <v>16</v>
      </c>
      <c r="AF23" s="151" t="s">
        <v>74</v>
      </c>
      <c r="AG23" s="7" t="s">
        <v>15</v>
      </c>
      <c r="AH23" s="7" t="s">
        <v>16</v>
      </c>
      <c r="AI23" s="151" t="s">
        <v>74</v>
      </c>
      <c r="AJ23" s="7" t="s">
        <v>15</v>
      </c>
      <c r="AK23" s="7" t="s">
        <v>16</v>
      </c>
      <c r="AL23" s="151" t="s">
        <v>74</v>
      </c>
      <c r="AM23" s="7" t="s">
        <v>15</v>
      </c>
      <c r="AN23" s="7" t="s">
        <v>16</v>
      </c>
      <c r="AO23" s="151" t="s">
        <v>74</v>
      </c>
      <c r="AP23" s="7" t="s">
        <v>15</v>
      </c>
      <c r="AQ23" s="7" t="s">
        <v>16</v>
      </c>
      <c r="AR23" s="151" t="s">
        <v>74</v>
      </c>
      <c r="AS23" s="7" t="s">
        <v>15</v>
      </c>
      <c r="AT23" s="7" t="s">
        <v>16</v>
      </c>
      <c r="AU23" s="151" t="s">
        <v>74</v>
      </c>
      <c r="AV23" s="7" t="s">
        <v>15</v>
      </c>
      <c r="AW23" s="7" t="s">
        <v>16</v>
      </c>
    </row>
    <row r="24" spans="1:49" ht="14.95" customHeight="1" thickBot="1" x14ac:dyDescent="0.3">
      <c r="A24" s="315" t="s">
        <v>499</v>
      </c>
      <c r="B24" s="219">
        <v>0</v>
      </c>
      <c r="C24" s="285">
        <v>0</v>
      </c>
      <c r="D24" s="261">
        <v>0</v>
      </c>
      <c r="E24" s="317">
        <f t="shared" si="0"/>
        <v>0</v>
      </c>
      <c r="F24" s="267" t="s">
        <v>499</v>
      </c>
      <c r="G24" s="268">
        <v>0</v>
      </c>
      <c r="H24" s="396">
        <v>0</v>
      </c>
      <c r="I24" s="269">
        <v>0</v>
      </c>
      <c r="J24" s="270">
        <f t="shared" si="1"/>
        <v>0</v>
      </c>
      <c r="K24" s="315" t="s">
        <v>507</v>
      </c>
      <c r="L24" s="7" t="s">
        <v>21</v>
      </c>
      <c r="M24" s="7" t="s">
        <v>21</v>
      </c>
      <c r="N24" s="156" t="s">
        <v>21</v>
      </c>
      <c r="O24" s="7" t="s">
        <v>21</v>
      </c>
      <c r="P24" s="7" t="s">
        <v>21</v>
      </c>
      <c r="Q24" s="156" t="s">
        <v>21</v>
      </c>
      <c r="R24" s="7">
        <v>25</v>
      </c>
      <c r="S24" s="7">
        <v>30</v>
      </c>
      <c r="T24" s="156">
        <f>SUM(R24/S24)*100</f>
        <v>83.333333333333343</v>
      </c>
      <c r="U24" s="7" t="s">
        <v>21</v>
      </c>
      <c r="V24" s="7" t="s">
        <v>21</v>
      </c>
      <c r="W24" s="156" t="s">
        <v>21</v>
      </c>
      <c r="AC24" s="151" t="s">
        <v>21</v>
      </c>
      <c r="AD24" s="7" t="s">
        <v>21</v>
      </c>
      <c r="AE24" s="156" t="s">
        <v>21</v>
      </c>
      <c r="AF24" s="151" t="s">
        <v>21</v>
      </c>
      <c r="AG24" s="7" t="s">
        <v>21</v>
      </c>
      <c r="AH24" s="156" t="s">
        <v>21</v>
      </c>
      <c r="AI24" s="151" t="s">
        <v>21</v>
      </c>
      <c r="AJ24" s="7" t="s">
        <v>21</v>
      </c>
      <c r="AK24" s="156" t="s">
        <v>21</v>
      </c>
      <c r="AL24" s="6" t="s">
        <v>21</v>
      </c>
      <c r="AM24" s="7" t="s">
        <v>21</v>
      </c>
      <c r="AN24" s="156" t="s">
        <v>21</v>
      </c>
      <c r="AO24" s="7" t="s">
        <v>21</v>
      </c>
      <c r="AP24" s="7" t="s">
        <v>21</v>
      </c>
      <c r="AQ24" s="156" t="s">
        <v>21</v>
      </c>
      <c r="AR24" s="7" t="s">
        <v>21</v>
      </c>
      <c r="AS24" s="7" t="s">
        <v>21</v>
      </c>
      <c r="AT24" s="156" t="s">
        <v>21</v>
      </c>
      <c r="AU24" s="7" t="s">
        <v>21</v>
      </c>
      <c r="AV24" s="7" t="s">
        <v>21</v>
      </c>
      <c r="AW24" s="156" t="s">
        <v>21</v>
      </c>
    </row>
    <row r="25" spans="1:49" ht="14.95" customHeight="1" thickBot="1" x14ac:dyDescent="0.3">
      <c r="A25" s="315" t="s">
        <v>431</v>
      </c>
      <c r="B25" s="219">
        <v>0</v>
      </c>
      <c r="C25" s="285">
        <v>0</v>
      </c>
      <c r="D25" s="261">
        <v>1</v>
      </c>
      <c r="E25" s="317">
        <f t="shared" si="0"/>
        <v>1</v>
      </c>
      <c r="F25" s="267" t="s">
        <v>431</v>
      </c>
      <c r="G25" s="268">
        <v>0</v>
      </c>
      <c r="H25" s="396">
        <v>0</v>
      </c>
      <c r="I25" s="269">
        <v>5</v>
      </c>
      <c r="J25" s="270">
        <f t="shared" si="1"/>
        <v>5</v>
      </c>
      <c r="K25" s="315" t="s">
        <v>533</v>
      </c>
      <c r="L25" s="7" t="s">
        <v>21</v>
      </c>
      <c r="M25" s="7" t="s">
        <v>21</v>
      </c>
      <c r="N25" s="156" t="s">
        <v>21</v>
      </c>
      <c r="O25" s="7" t="s">
        <v>21</v>
      </c>
      <c r="P25" s="7" t="s">
        <v>21</v>
      </c>
      <c r="Q25" s="156" t="s">
        <v>21</v>
      </c>
      <c r="R25" s="7" t="s">
        <v>21</v>
      </c>
      <c r="S25" s="7" t="s">
        <v>21</v>
      </c>
      <c r="T25" s="156" t="s">
        <v>21</v>
      </c>
      <c r="U25" s="7" t="s">
        <v>21</v>
      </c>
      <c r="V25" s="7" t="s">
        <v>21</v>
      </c>
      <c r="W25" s="156" t="s">
        <v>21</v>
      </c>
      <c r="AC25" s="151" t="s">
        <v>21</v>
      </c>
      <c r="AD25" s="7" t="s">
        <v>21</v>
      </c>
      <c r="AE25" s="156" t="s">
        <v>21</v>
      </c>
      <c r="AF25" s="151">
        <v>11</v>
      </c>
      <c r="AG25" s="7">
        <v>13</v>
      </c>
      <c r="AH25" s="156">
        <f>SUM(AF25/AG25)*100</f>
        <v>84.615384615384613</v>
      </c>
      <c r="AI25" s="151" t="s">
        <v>21</v>
      </c>
      <c r="AJ25" s="7" t="s">
        <v>21</v>
      </c>
      <c r="AK25" s="7" t="s">
        <v>21</v>
      </c>
      <c r="AL25" s="151">
        <v>2</v>
      </c>
      <c r="AM25" s="7">
        <v>5</v>
      </c>
      <c r="AN25" s="156">
        <f>SUM(AL25/AM25)*100</f>
        <v>40</v>
      </c>
      <c r="AO25" s="151" t="s">
        <v>21</v>
      </c>
      <c r="AP25" s="7" t="s">
        <v>21</v>
      </c>
      <c r="AQ25" s="7" t="s">
        <v>21</v>
      </c>
      <c r="AR25" s="151">
        <v>4</v>
      </c>
      <c r="AS25" s="7">
        <v>4</v>
      </c>
      <c r="AT25" s="156">
        <f>SUM(AR25/AS25)*100</f>
        <v>100</v>
      </c>
      <c r="AU25" s="151" t="s">
        <v>21</v>
      </c>
      <c r="AV25" s="7" t="s">
        <v>21</v>
      </c>
      <c r="AW25" s="7" t="s">
        <v>21</v>
      </c>
    </row>
    <row r="26" spans="1:49" ht="14.95" customHeight="1" thickBot="1" x14ac:dyDescent="0.3">
      <c r="A26" s="315" t="s">
        <v>502</v>
      </c>
      <c r="B26" s="219">
        <v>3</v>
      </c>
      <c r="C26" s="285">
        <v>2</v>
      </c>
      <c r="D26" s="261">
        <v>0</v>
      </c>
      <c r="E26" s="317">
        <f t="shared" si="0"/>
        <v>5</v>
      </c>
      <c r="F26" s="267" t="s">
        <v>502</v>
      </c>
      <c r="G26" s="268">
        <v>15</v>
      </c>
      <c r="H26" s="396">
        <v>10</v>
      </c>
      <c r="I26" s="269">
        <v>0</v>
      </c>
      <c r="J26" s="270">
        <f t="shared" si="1"/>
        <v>25</v>
      </c>
      <c r="K26" s="315" t="s">
        <v>563</v>
      </c>
      <c r="L26" s="7" t="s">
        <v>21</v>
      </c>
      <c r="M26" s="7" t="s">
        <v>21</v>
      </c>
      <c r="N26" s="156" t="s">
        <v>21</v>
      </c>
      <c r="O26" s="7" t="s">
        <v>21</v>
      </c>
      <c r="P26" s="7" t="s">
        <v>21</v>
      </c>
      <c r="Q26" s="156" t="s">
        <v>21</v>
      </c>
      <c r="R26" s="7">
        <v>8</v>
      </c>
      <c r="S26" s="7">
        <v>11</v>
      </c>
      <c r="T26" s="156">
        <f>SUM(R26/S26)*100</f>
        <v>72.727272727272734</v>
      </c>
      <c r="U26" s="7" t="s">
        <v>21</v>
      </c>
      <c r="V26" s="7" t="s">
        <v>21</v>
      </c>
      <c r="W26" s="156" t="s">
        <v>21</v>
      </c>
      <c r="AC26" s="151">
        <v>10</v>
      </c>
      <c r="AD26" s="7">
        <v>12</v>
      </c>
      <c r="AE26" s="156">
        <f>SUM(AC26/AD26)*100</f>
        <v>83.333333333333343</v>
      </c>
      <c r="AF26" s="151"/>
      <c r="AG26" s="7"/>
      <c r="AH26" s="156"/>
      <c r="AI26" s="151"/>
      <c r="AJ26" s="7"/>
      <c r="AK26" s="7"/>
      <c r="AL26" s="151"/>
      <c r="AM26" s="7"/>
      <c r="AN26" s="156"/>
      <c r="AO26" s="151"/>
      <c r="AP26" s="7"/>
      <c r="AQ26" s="7"/>
      <c r="AR26" s="151"/>
      <c r="AS26" s="7"/>
      <c r="AT26" s="156"/>
      <c r="AU26" s="151"/>
      <c r="AV26" s="7"/>
      <c r="AW26" s="7"/>
    </row>
    <row r="27" spans="1:49" ht="14.95" customHeight="1" thickBot="1" x14ac:dyDescent="0.3">
      <c r="A27" s="315" t="s">
        <v>274</v>
      </c>
      <c r="B27" s="219">
        <v>0</v>
      </c>
      <c r="C27" s="285">
        <v>0</v>
      </c>
      <c r="D27" s="261">
        <v>0</v>
      </c>
      <c r="E27" s="317">
        <f t="shared" si="0"/>
        <v>0</v>
      </c>
      <c r="F27" s="267" t="s">
        <v>274</v>
      </c>
      <c r="G27" s="268">
        <v>0</v>
      </c>
      <c r="H27" s="396">
        <v>0</v>
      </c>
      <c r="I27" s="269">
        <v>0</v>
      </c>
      <c r="J27" s="270">
        <f t="shared" si="1"/>
        <v>0</v>
      </c>
      <c r="K27" s="315" t="s">
        <v>510</v>
      </c>
      <c r="L27" s="7" t="s">
        <v>21</v>
      </c>
      <c r="M27" s="7" t="s">
        <v>21</v>
      </c>
      <c r="N27" s="156" t="s">
        <v>21</v>
      </c>
      <c r="O27" s="7" t="s">
        <v>21</v>
      </c>
      <c r="P27" s="7" t="s">
        <v>21</v>
      </c>
      <c r="Q27" s="156" t="s">
        <v>21</v>
      </c>
      <c r="R27" s="7" t="s">
        <v>21</v>
      </c>
      <c r="S27" s="7" t="s">
        <v>21</v>
      </c>
      <c r="T27" s="156" t="s">
        <v>21</v>
      </c>
      <c r="U27" s="7" t="s">
        <v>21</v>
      </c>
      <c r="V27" s="7" t="s">
        <v>21</v>
      </c>
      <c r="W27" s="156" t="s">
        <v>21</v>
      </c>
      <c r="AC27" s="151">
        <v>10</v>
      </c>
      <c r="AD27" s="7">
        <v>11</v>
      </c>
      <c r="AE27" s="156">
        <f>SUM(AC27/AD27)*100</f>
        <v>90.909090909090907</v>
      </c>
      <c r="AF27" s="151" t="s">
        <v>21</v>
      </c>
      <c r="AG27" s="7" t="s">
        <v>21</v>
      </c>
      <c r="AH27" s="7" t="s">
        <v>21</v>
      </c>
      <c r="AI27" s="151" t="s">
        <v>21</v>
      </c>
      <c r="AJ27" s="7" t="s">
        <v>21</v>
      </c>
      <c r="AK27" s="7" t="s">
        <v>21</v>
      </c>
      <c r="AL27" s="151" t="s">
        <v>21</v>
      </c>
      <c r="AM27" s="7" t="s">
        <v>21</v>
      </c>
      <c r="AN27" s="7" t="s">
        <v>21</v>
      </c>
      <c r="AO27" s="151" t="s">
        <v>21</v>
      </c>
      <c r="AP27" s="7" t="s">
        <v>21</v>
      </c>
      <c r="AQ27" s="7" t="s">
        <v>21</v>
      </c>
      <c r="AR27" s="151">
        <v>1</v>
      </c>
      <c r="AS27" s="7">
        <v>1</v>
      </c>
      <c r="AT27" s="156">
        <f>SUM(AR27/AS27)*100</f>
        <v>100</v>
      </c>
      <c r="AU27" s="151">
        <v>6</v>
      </c>
      <c r="AV27" s="7">
        <v>8</v>
      </c>
      <c r="AW27" s="156">
        <f>SUM(AU27/AV27)*100</f>
        <v>75</v>
      </c>
    </row>
    <row r="28" spans="1:49" ht="14.95" customHeight="1" thickBot="1" x14ac:dyDescent="0.3">
      <c r="A28" s="315" t="s">
        <v>812</v>
      </c>
      <c r="B28" s="219">
        <v>0</v>
      </c>
      <c r="C28" s="285">
        <v>0</v>
      </c>
      <c r="D28" s="261">
        <v>5</v>
      </c>
      <c r="E28" s="317">
        <f t="shared" ref="E28" si="11">SUM(B28:D28)</f>
        <v>5</v>
      </c>
      <c r="F28" s="267" t="s">
        <v>812</v>
      </c>
      <c r="G28" s="268">
        <v>0</v>
      </c>
      <c r="H28" s="396">
        <v>0</v>
      </c>
      <c r="I28" s="269">
        <v>25</v>
      </c>
      <c r="J28" s="270">
        <f t="shared" ref="J28" si="12">SUM(G28:I28)</f>
        <v>25</v>
      </c>
      <c r="K28" s="315" t="s">
        <v>562</v>
      </c>
      <c r="L28" s="7" t="s">
        <v>21</v>
      </c>
      <c r="M28" s="7" t="s">
        <v>21</v>
      </c>
      <c r="N28" s="156" t="s">
        <v>21</v>
      </c>
      <c r="O28" s="7" t="s">
        <v>21</v>
      </c>
      <c r="P28" s="7" t="s">
        <v>21</v>
      </c>
      <c r="Q28" s="156" t="s">
        <v>21</v>
      </c>
      <c r="R28" s="7">
        <v>0</v>
      </c>
      <c r="S28" s="7">
        <v>1</v>
      </c>
      <c r="T28" s="156">
        <f>SUM(R28/S28)*100</f>
        <v>0</v>
      </c>
      <c r="U28" s="7" t="s">
        <v>21</v>
      </c>
      <c r="V28" s="7" t="s">
        <v>21</v>
      </c>
      <c r="W28" s="156" t="s">
        <v>21</v>
      </c>
      <c r="AC28" s="151">
        <v>3</v>
      </c>
      <c r="AD28" s="7">
        <v>6</v>
      </c>
      <c r="AE28" s="156">
        <f>SUM(AC28/AD28)*100</f>
        <v>50</v>
      </c>
      <c r="AF28" s="151">
        <v>2</v>
      </c>
      <c r="AG28" s="7">
        <v>2</v>
      </c>
      <c r="AH28" s="7">
        <v>100</v>
      </c>
      <c r="AI28" s="151">
        <v>3</v>
      </c>
      <c r="AJ28" s="7">
        <v>4</v>
      </c>
      <c r="AK28" s="156">
        <v>75</v>
      </c>
      <c r="AL28" s="151" t="s">
        <v>21</v>
      </c>
      <c r="AM28" s="7" t="s">
        <v>21</v>
      </c>
      <c r="AN28" s="156" t="s">
        <v>21</v>
      </c>
      <c r="AO28" s="151">
        <v>3</v>
      </c>
      <c r="AP28" s="7">
        <v>10</v>
      </c>
      <c r="AQ28" s="7">
        <v>30</v>
      </c>
      <c r="AR28" s="151">
        <v>1</v>
      </c>
      <c r="AS28" s="7">
        <v>1</v>
      </c>
      <c r="AT28" s="156">
        <v>100</v>
      </c>
      <c r="AU28" s="151">
        <v>1</v>
      </c>
      <c r="AV28" s="7">
        <v>1</v>
      </c>
      <c r="AW28" s="156">
        <v>100</v>
      </c>
    </row>
    <row r="29" spans="1:49" ht="14.95" customHeight="1" thickBot="1" x14ac:dyDescent="0.3">
      <c r="A29" s="315" t="s">
        <v>495</v>
      </c>
      <c r="B29" s="219">
        <v>10</v>
      </c>
      <c r="C29" s="285">
        <v>1</v>
      </c>
      <c r="D29" s="261">
        <v>1</v>
      </c>
      <c r="E29" s="317">
        <f t="shared" si="0"/>
        <v>12</v>
      </c>
      <c r="F29" s="267" t="s">
        <v>495</v>
      </c>
      <c r="G29" s="268">
        <v>50</v>
      </c>
      <c r="H29" s="396">
        <v>5</v>
      </c>
      <c r="I29" s="269">
        <v>5</v>
      </c>
      <c r="J29" s="270">
        <f t="shared" si="1"/>
        <v>60</v>
      </c>
      <c r="K29" s="525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AC29" s="180"/>
      <c r="AD29" s="87"/>
      <c r="AE29" s="87"/>
      <c r="AF29" s="180"/>
      <c r="AG29" s="87"/>
      <c r="AH29" s="181"/>
      <c r="AI29" s="87"/>
      <c r="AJ29" s="87"/>
      <c r="AK29" s="181"/>
    </row>
    <row r="30" spans="1:49" ht="14.95" customHeight="1" thickBot="1" x14ac:dyDescent="0.3">
      <c r="A30" s="315" t="s">
        <v>533</v>
      </c>
      <c r="B30" s="219">
        <v>0</v>
      </c>
      <c r="C30" s="285">
        <v>0</v>
      </c>
      <c r="D30" s="261">
        <v>1</v>
      </c>
      <c r="E30" s="317">
        <f t="shared" si="0"/>
        <v>1</v>
      </c>
      <c r="F30" s="267" t="s">
        <v>533</v>
      </c>
      <c r="G30" s="268">
        <v>31</v>
      </c>
      <c r="H30" s="396">
        <v>0</v>
      </c>
      <c r="I30" s="269">
        <v>17</v>
      </c>
      <c r="J30" s="270">
        <f t="shared" si="1"/>
        <v>48</v>
      </c>
      <c r="K30" s="463" t="s">
        <v>116</v>
      </c>
      <c r="L30" s="436" t="s">
        <v>20</v>
      </c>
      <c r="M30" s="437"/>
      <c r="N30" s="438"/>
      <c r="O30" s="422" t="s">
        <v>365</v>
      </c>
      <c r="P30" s="423"/>
      <c r="Q30" s="424"/>
      <c r="R30" s="422" t="s">
        <v>854</v>
      </c>
      <c r="S30" s="423"/>
      <c r="T30" s="424"/>
      <c r="U30" s="422" t="s">
        <v>518</v>
      </c>
      <c r="V30" s="423"/>
      <c r="W30" s="424"/>
      <c r="AC30" s="422" t="s">
        <v>356</v>
      </c>
      <c r="AD30" s="423"/>
      <c r="AE30" s="424"/>
      <c r="AF30" s="422" t="s">
        <v>272</v>
      </c>
      <c r="AG30" s="423"/>
      <c r="AH30" s="424"/>
      <c r="AI30" s="422" t="s">
        <v>115</v>
      </c>
      <c r="AJ30" s="423"/>
      <c r="AK30" s="424"/>
      <c r="AL30" s="422" t="s">
        <v>78</v>
      </c>
      <c r="AM30" s="423"/>
      <c r="AN30" s="424"/>
      <c r="AO30" s="422" t="s">
        <v>60</v>
      </c>
      <c r="AP30" s="423"/>
      <c r="AQ30" s="424"/>
    </row>
    <row r="31" spans="1:49" ht="14.95" customHeight="1" thickBot="1" x14ac:dyDescent="0.3">
      <c r="A31" s="315" t="s">
        <v>494</v>
      </c>
      <c r="B31" s="219">
        <v>3</v>
      </c>
      <c r="C31" s="285">
        <v>1</v>
      </c>
      <c r="D31" s="261">
        <v>0</v>
      </c>
      <c r="E31" s="317">
        <f t="shared" si="0"/>
        <v>4</v>
      </c>
      <c r="F31" s="267" t="s">
        <v>494</v>
      </c>
      <c r="G31" s="268">
        <v>15</v>
      </c>
      <c r="H31" s="396">
        <v>5</v>
      </c>
      <c r="I31" s="269">
        <v>0</v>
      </c>
      <c r="J31" s="270">
        <f t="shared" si="1"/>
        <v>20</v>
      </c>
      <c r="K31" s="464"/>
      <c r="L31" s="439"/>
      <c r="M31" s="440"/>
      <c r="N31" s="441"/>
      <c r="O31" s="425"/>
      <c r="P31" s="426"/>
      <c r="Q31" s="427"/>
      <c r="R31" s="425"/>
      <c r="S31" s="426"/>
      <c r="T31" s="427"/>
      <c r="U31" s="425"/>
      <c r="V31" s="426"/>
      <c r="W31" s="427"/>
      <c r="AC31" s="425"/>
      <c r="AD31" s="426"/>
      <c r="AE31" s="427"/>
      <c r="AF31" s="425"/>
      <c r="AG31" s="426"/>
      <c r="AH31" s="427"/>
      <c r="AI31" s="425"/>
      <c r="AJ31" s="426"/>
      <c r="AK31" s="427"/>
      <c r="AL31" s="425"/>
      <c r="AM31" s="426"/>
      <c r="AN31" s="427"/>
      <c r="AO31" s="425"/>
      <c r="AP31" s="426"/>
      <c r="AQ31" s="427"/>
    </row>
    <row r="32" spans="1:49" ht="14.95" customHeight="1" thickBot="1" x14ac:dyDescent="0.3">
      <c r="A32" s="315" t="s">
        <v>509</v>
      </c>
      <c r="B32" s="219">
        <v>0</v>
      </c>
      <c r="C32" s="285">
        <v>0</v>
      </c>
      <c r="D32" s="261">
        <v>0</v>
      </c>
      <c r="E32" s="317">
        <f t="shared" si="0"/>
        <v>0</v>
      </c>
      <c r="F32" s="267" t="s">
        <v>509</v>
      </c>
      <c r="G32" s="268">
        <v>0</v>
      </c>
      <c r="H32" s="396">
        <v>0</v>
      </c>
      <c r="I32" s="269">
        <v>0</v>
      </c>
      <c r="J32" s="270">
        <f t="shared" si="1"/>
        <v>0</v>
      </c>
      <c r="K32" s="237" t="s">
        <v>30</v>
      </c>
      <c r="L32" s="3" t="s">
        <v>74</v>
      </c>
      <c r="M32" s="3" t="s">
        <v>15</v>
      </c>
      <c r="N32" s="3" t="s">
        <v>16</v>
      </c>
      <c r="O32" s="7" t="s">
        <v>74</v>
      </c>
      <c r="P32" s="7" t="s">
        <v>15</v>
      </c>
      <c r="Q32" s="7" t="s">
        <v>16</v>
      </c>
      <c r="R32" s="7" t="s">
        <v>74</v>
      </c>
      <c r="S32" s="7" t="s">
        <v>15</v>
      </c>
      <c r="T32" s="7" t="s">
        <v>16</v>
      </c>
      <c r="U32" s="7" t="s">
        <v>74</v>
      </c>
      <c r="V32" s="7" t="s">
        <v>15</v>
      </c>
      <c r="W32" s="7" t="s">
        <v>16</v>
      </c>
      <c r="AC32" s="151" t="s">
        <v>74</v>
      </c>
      <c r="AD32" s="7" t="s">
        <v>15</v>
      </c>
      <c r="AE32" s="7" t="s">
        <v>16</v>
      </c>
      <c r="AF32" s="151" t="s">
        <v>74</v>
      </c>
      <c r="AG32" s="7" t="s">
        <v>15</v>
      </c>
      <c r="AH32" s="7" t="s">
        <v>16</v>
      </c>
      <c r="AI32" s="151" t="s">
        <v>74</v>
      </c>
      <c r="AJ32" s="7" t="s">
        <v>15</v>
      </c>
      <c r="AK32" s="7" t="s">
        <v>16</v>
      </c>
      <c r="AL32" s="151" t="s">
        <v>74</v>
      </c>
      <c r="AM32" s="7" t="s">
        <v>15</v>
      </c>
      <c r="AN32" s="7" t="s">
        <v>16</v>
      </c>
      <c r="AO32" s="151" t="s">
        <v>74</v>
      </c>
      <c r="AP32" s="7" t="s">
        <v>15</v>
      </c>
      <c r="AQ32" s="7" t="s">
        <v>16</v>
      </c>
    </row>
    <row r="33" spans="1:50" ht="14.95" customHeight="1" thickBot="1" x14ac:dyDescent="0.3">
      <c r="A33" s="315" t="s">
        <v>531</v>
      </c>
      <c r="B33" s="219">
        <v>3</v>
      </c>
      <c r="C33" s="285">
        <v>1</v>
      </c>
      <c r="D33" s="261">
        <v>0</v>
      </c>
      <c r="E33" s="317">
        <f t="shared" si="0"/>
        <v>4</v>
      </c>
      <c r="F33" s="267" t="s">
        <v>531</v>
      </c>
      <c r="G33" s="268">
        <v>15</v>
      </c>
      <c r="H33" s="396">
        <v>5</v>
      </c>
      <c r="I33" s="269">
        <v>0</v>
      </c>
      <c r="J33" s="270">
        <f t="shared" si="1"/>
        <v>20</v>
      </c>
      <c r="K33" s="315" t="s">
        <v>776</v>
      </c>
      <c r="L33" s="317" t="s">
        <v>21</v>
      </c>
      <c r="M33" s="317" t="s">
        <v>21</v>
      </c>
      <c r="N33" s="318" t="s">
        <v>21</v>
      </c>
      <c r="O33" s="7">
        <v>2</v>
      </c>
      <c r="P33" s="7">
        <v>2</v>
      </c>
      <c r="Q33" s="156">
        <v>100</v>
      </c>
      <c r="R33" s="7" t="s">
        <v>21</v>
      </c>
      <c r="S33" s="7" t="s">
        <v>21</v>
      </c>
      <c r="T33" s="156" t="s">
        <v>21</v>
      </c>
      <c r="U33" s="7" t="s">
        <v>21</v>
      </c>
      <c r="V33" s="7" t="s">
        <v>21</v>
      </c>
      <c r="W33" s="156" t="s">
        <v>21</v>
      </c>
      <c r="AC33" s="151" t="s">
        <v>21</v>
      </c>
      <c r="AD33" s="7" t="s">
        <v>21</v>
      </c>
      <c r="AE33" s="156" t="s">
        <v>21</v>
      </c>
      <c r="AF33" s="6" t="s">
        <v>21</v>
      </c>
      <c r="AG33" s="7" t="s">
        <v>21</v>
      </c>
      <c r="AH33" s="156" t="s">
        <v>21</v>
      </c>
      <c r="AI33" s="7" t="s">
        <v>21</v>
      </c>
      <c r="AJ33" s="7" t="s">
        <v>21</v>
      </c>
      <c r="AK33" s="156" t="s">
        <v>21</v>
      </c>
      <c r="AL33" s="7" t="s">
        <v>21</v>
      </c>
      <c r="AM33" s="7" t="s">
        <v>21</v>
      </c>
      <c r="AN33" s="156" t="s">
        <v>21</v>
      </c>
      <c r="AO33" s="7" t="s">
        <v>21</v>
      </c>
      <c r="AP33" s="7" t="s">
        <v>21</v>
      </c>
      <c r="AQ33" s="156" t="s">
        <v>21</v>
      </c>
    </row>
    <row r="34" spans="1:50" ht="14.95" customHeight="1" thickBot="1" x14ac:dyDescent="0.3">
      <c r="A34" s="315" t="s">
        <v>762</v>
      </c>
      <c r="B34" s="219">
        <v>0</v>
      </c>
      <c r="C34" s="285">
        <v>0</v>
      </c>
      <c r="D34" s="261">
        <v>0</v>
      </c>
      <c r="E34" s="317">
        <f t="shared" si="0"/>
        <v>0</v>
      </c>
      <c r="F34" s="267" t="s">
        <v>762</v>
      </c>
      <c r="G34" s="268">
        <v>0</v>
      </c>
      <c r="H34" s="396">
        <v>0</v>
      </c>
      <c r="I34" s="269">
        <v>0</v>
      </c>
      <c r="J34" s="270">
        <f t="shared" si="1"/>
        <v>0</v>
      </c>
      <c r="K34" s="315" t="s">
        <v>536</v>
      </c>
      <c r="L34" s="317" t="s">
        <v>21</v>
      </c>
      <c r="M34" s="317" t="s">
        <v>21</v>
      </c>
      <c r="N34" s="318" t="s">
        <v>21</v>
      </c>
      <c r="O34" s="7" t="s">
        <v>21</v>
      </c>
      <c r="P34" s="7" t="s">
        <v>21</v>
      </c>
      <c r="Q34" s="156" t="s">
        <v>21</v>
      </c>
      <c r="R34" s="7" t="s">
        <v>21</v>
      </c>
      <c r="S34" s="7" t="s">
        <v>21</v>
      </c>
      <c r="T34" s="156" t="s">
        <v>21</v>
      </c>
      <c r="U34" s="7" t="s">
        <v>21</v>
      </c>
      <c r="V34" s="7" t="s">
        <v>21</v>
      </c>
      <c r="W34" s="156" t="s">
        <v>21</v>
      </c>
      <c r="AC34" s="151">
        <v>11</v>
      </c>
      <c r="AD34" s="7">
        <v>19</v>
      </c>
      <c r="AE34" s="156">
        <f>SUM(AC34/AD34)*100</f>
        <v>57.894736842105267</v>
      </c>
      <c r="AF34" s="151">
        <v>15</v>
      </c>
      <c r="AG34" s="7">
        <v>25</v>
      </c>
      <c r="AH34" s="156">
        <f>SUM(AF34/AG34)*100</f>
        <v>60</v>
      </c>
      <c r="AI34" s="151">
        <v>3</v>
      </c>
      <c r="AJ34" s="7">
        <v>4</v>
      </c>
      <c r="AK34" s="156">
        <f>SUM(AI34/AJ34)*100</f>
        <v>75</v>
      </c>
      <c r="AL34" s="6" t="s">
        <v>21</v>
      </c>
      <c r="AM34" s="7" t="s">
        <v>21</v>
      </c>
      <c r="AN34" s="156" t="s">
        <v>21</v>
      </c>
      <c r="AO34" s="7" t="s">
        <v>21</v>
      </c>
      <c r="AP34" s="7" t="s">
        <v>21</v>
      </c>
      <c r="AQ34" s="156" t="s">
        <v>21</v>
      </c>
    </row>
    <row r="35" spans="1:50" ht="14.95" customHeight="1" thickBot="1" x14ac:dyDescent="0.3">
      <c r="A35" s="315" t="s">
        <v>36</v>
      </c>
      <c r="B35" s="219">
        <v>0</v>
      </c>
      <c r="C35" s="285">
        <v>0</v>
      </c>
      <c r="D35" s="261">
        <v>0</v>
      </c>
      <c r="E35" s="317">
        <f t="shared" si="0"/>
        <v>0</v>
      </c>
      <c r="F35" s="267" t="s">
        <v>36</v>
      </c>
      <c r="G35" s="268">
        <v>0</v>
      </c>
      <c r="H35" s="396">
        <v>0</v>
      </c>
      <c r="I35" s="269">
        <v>0</v>
      </c>
      <c r="J35" s="270">
        <f t="shared" si="1"/>
        <v>0</v>
      </c>
      <c r="K35" s="315" t="s">
        <v>849</v>
      </c>
      <c r="L35" s="317">
        <v>14</v>
      </c>
      <c r="M35" s="317">
        <v>16</v>
      </c>
      <c r="N35" s="318">
        <v>88</v>
      </c>
      <c r="O35" s="159">
        <v>6</v>
      </c>
      <c r="P35" s="159">
        <v>12</v>
      </c>
      <c r="Q35" s="241">
        <v>50</v>
      </c>
      <c r="R35" s="159">
        <v>14</v>
      </c>
      <c r="S35" s="159">
        <v>16</v>
      </c>
      <c r="T35" s="241">
        <f>SUM(R35/S35)*100</f>
        <v>87.5</v>
      </c>
      <c r="U35" s="159" t="s">
        <v>21</v>
      </c>
      <c r="V35" s="159" t="s">
        <v>21</v>
      </c>
      <c r="W35" s="241" t="s">
        <v>21</v>
      </c>
      <c r="AC35" s="151" t="s">
        <v>21</v>
      </c>
      <c r="AD35" s="7" t="s">
        <v>21</v>
      </c>
      <c r="AE35" s="156" t="s">
        <v>21</v>
      </c>
      <c r="AF35" s="151" t="s">
        <v>21</v>
      </c>
      <c r="AG35" s="7" t="s">
        <v>21</v>
      </c>
      <c r="AH35" s="156" t="s">
        <v>21</v>
      </c>
      <c r="AI35" s="151" t="s">
        <v>21</v>
      </c>
      <c r="AJ35" s="7" t="s">
        <v>21</v>
      </c>
      <c r="AK35" s="156" t="s">
        <v>21</v>
      </c>
      <c r="AL35" s="151" t="s">
        <v>21</v>
      </c>
      <c r="AM35" s="7" t="s">
        <v>21</v>
      </c>
      <c r="AN35" s="156" t="s">
        <v>21</v>
      </c>
      <c r="AO35" s="7" t="s">
        <v>21</v>
      </c>
      <c r="AP35" s="7" t="s">
        <v>21</v>
      </c>
      <c r="AQ35" s="156" t="s">
        <v>21</v>
      </c>
    </row>
    <row r="36" spans="1:50" ht="14.95" customHeight="1" thickBot="1" x14ac:dyDescent="0.3">
      <c r="A36" s="315" t="s">
        <v>912</v>
      </c>
      <c r="B36" s="219">
        <v>7</v>
      </c>
      <c r="C36" s="285">
        <v>0</v>
      </c>
      <c r="D36" s="261">
        <v>1</v>
      </c>
      <c r="E36" s="317">
        <f t="shared" ref="E36" si="13">SUM(B36:D36)</f>
        <v>8</v>
      </c>
      <c r="F36" s="267" t="s">
        <v>912</v>
      </c>
      <c r="G36" s="268">
        <v>35</v>
      </c>
      <c r="H36" s="396">
        <v>0</v>
      </c>
      <c r="I36" s="269">
        <v>5</v>
      </c>
      <c r="J36" s="270">
        <f t="shared" ref="J36" si="14">SUM(G36:I36)</f>
        <v>40</v>
      </c>
      <c r="K36" s="314" t="s">
        <v>533</v>
      </c>
      <c r="L36" s="378">
        <v>6</v>
      </c>
      <c r="M36" s="378">
        <v>7</v>
      </c>
      <c r="N36" s="379">
        <v>86</v>
      </c>
      <c r="O36" s="6" t="s">
        <v>21</v>
      </c>
      <c r="P36" s="6" t="s">
        <v>21</v>
      </c>
      <c r="Q36" s="160" t="s">
        <v>21</v>
      </c>
      <c r="R36" s="6" t="s">
        <v>21</v>
      </c>
      <c r="S36" s="6" t="s">
        <v>21</v>
      </c>
      <c r="T36" s="160" t="s">
        <v>21</v>
      </c>
      <c r="U36" s="6" t="s">
        <v>21</v>
      </c>
      <c r="V36" s="6" t="s">
        <v>21</v>
      </c>
      <c r="W36" s="160" t="s">
        <v>21</v>
      </c>
      <c r="AC36" s="151">
        <v>11</v>
      </c>
      <c r="AD36" s="7">
        <v>12</v>
      </c>
      <c r="AE36" s="156">
        <f>SUM(AC36/AD36)*100</f>
        <v>91.666666666666657</v>
      </c>
      <c r="AF36" s="151">
        <v>0</v>
      </c>
      <c r="AG36" s="7">
        <v>1</v>
      </c>
      <c r="AH36" s="156">
        <f>SUM(AF36/AG36)*100</f>
        <v>0</v>
      </c>
      <c r="AI36" s="151">
        <v>0</v>
      </c>
      <c r="AJ36" s="7">
        <v>1</v>
      </c>
      <c r="AK36" s="156">
        <f>SUM(AI36/AJ36)*100</f>
        <v>0</v>
      </c>
      <c r="AL36" s="151">
        <v>21</v>
      </c>
      <c r="AM36" s="7">
        <v>25</v>
      </c>
      <c r="AN36" s="156">
        <f>SUM(AL36/AM36)*100</f>
        <v>84</v>
      </c>
      <c r="AO36" s="151" t="s">
        <v>21</v>
      </c>
      <c r="AP36" s="7" t="s">
        <v>21</v>
      </c>
      <c r="AQ36" s="7" t="s">
        <v>21</v>
      </c>
      <c r="AX36" s="71"/>
    </row>
    <row r="37" spans="1:50" ht="14.95" customHeight="1" thickBot="1" x14ac:dyDescent="0.3">
      <c r="A37" s="315" t="s">
        <v>5</v>
      </c>
      <c r="B37" s="219">
        <v>1</v>
      </c>
      <c r="C37" s="285">
        <v>0</v>
      </c>
      <c r="D37" s="261">
        <v>1</v>
      </c>
      <c r="E37" s="317">
        <f t="shared" si="0"/>
        <v>2</v>
      </c>
      <c r="F37" s="267" t="s">
        <v>5</v>
      </c>
      <c r="G37" s="268">
        <v>7</v>
      </c>
      <c r="H37" s="396">
        <v>0</v>
      </c>
      <c r="I37" s="269">
        <v>7</v>
      </c>
      <c r="J37" s="270">
        <f t="shared" si="1"/>
        <v>14</v>
      </c>
      <c r="K37" s="314" t="s">
        <v>23</v>
      </c>
      <c r="L37" s="378">
        <v>3</v>
      </c>
      <c r="M37" s="378">
        <v>3</v>
      </c>
      <c r="N37" s="379">
        <v>100</v>
      </c>
      <c r="O37" s="6" t="s">
        <v>21</v>
      </c>
      <c r="P37" s="6" t="s">
        <v>21</v>
      </c>
      <c r="Q37" s="160" t="s">
        <v>21</v>
      </c>
      <c r="R37" s="6" t="s">
        <v>21</v>
      </c>
      <c r="S37" s="6" t="s">
        <v>21</v>
      </c>
      <c r="T37" s="160" t="s">
        <v>21</v>
      </c>
      <c r="U37" s="6" t="s">
        <v>21</v>
      </c>
      <c r="V37" s="6" t="s">
        <v>21</v>
      </c>
      <c r="W37" s="160" t="s">
        <v>21</v>
      </c>
      <c r="AC37" s="6" t="s">
        <v>21</v>
      </c>
      <c r="AD37" s="6" t="s">
        <v>21</v>
      </c>
      <c r="AE37" s="160" t="s">
        <v>21</v>
      </c>
      <c r="AF37" s="6" t="s">
        <v>21</v>
      </c>
      <c r="AG37" s="6" t="s">
        <v>21</v>
      </c>
      <c r="AH37" s="160" t="s">
        <v>21</v>
      </c>
      <c r="AI37" s="6" t="s">
        <v>21</v>
      </c>
      <c r="AJ37" s="6" t="s">
        <v>21</v>
      </c>
      <c r="AK37" s="160" t="s">
        <v>21</v>
      </c>
      <c r="AL37" s="6" t="s">
        <v>21</v>
      </c>
      <c r="AM37" s="6" t="s">
        <v>21</v>
      </c>
      <c r="AN37" s="160" t="s">
        <v>21</v>
      </c>
      <c r="AO37" s="6" t="s">
        <v>21</v>
      </c>
      <c r="AP37" s="6" t="s">
        <v>21</v>
      </c>
      <c r="AQ37" s="160" t="s">
        <v>21</v>
      </c>
    </row>
    <row r="38" spans="1:50" ht="14.95" customHeight="1" thickBot="1" x14ac:dyDescent="0.3">
      <c r="A38" s="315" t="s">
        <v>535</v>
      </c>
      <c r="B38" s="219">
        <v>0</v>
      </c>
      <c r="C38" s="285">
        <v>0</v>
      </c>
      <c r="D38" s="261">
        <v>0</v>
      </c>
      <c r="E38" s="317">
        <f t="shared" si="0"/>
        <v>0</v>
      </c>
      <c r="F38" s="267" t="s">
        <v>535</v>
      </c>
      <c r="G38" s="268">
        <v>0</v>
      </c>
      <c r="H38" s="396">
        <v>0</v>
      </c>
      <c r="I38" s="269">
        <v>0</v>
      </c>
      <c r="J38" s="270">
        <f t="shared" si="1"/>
        <v>0</v>
      </c>
      <c r="K38" s="451" t="s">
        <v>702</v>
      </c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1"/>
      <c r="AT38" s="421"/>
    </row>
    <row r="39" spans="1:50" ht="14.95" customHeight="1" thickBot="1" x14ac:dyDescent="0.3">
      <c r="A39" s="315" t="s">
        <v>774</v>
      </c>
      <c r="B39" s="219">
        <v>0</v>
      </c>
      <c r="C39" s="285">
        <v>0</v>
      </c>
      <c r="D39" s="261">
        <v>0</v>
      </c>
      <c r="E39" s="317">
        <f t="shared" si="0"/>
        <v>0</v>
      </c>
      <c r="F39" s="267" t="s">
        <v>774</v>
      </c>
      <c r="G39" s="268">
        <v>0</v>
      </c>
      <c r="H39" s="396">
        <v>0</v>
      </c>
      <c r="I39" s="269">
        <v>0</v>
      </c>
      <c r="J39" s="270">
        <f t="shared" si="1"/>
        <v>0</v>
      </c>
      <c r="K39" s="203"/>
    </row>
    <row r="40" spans="1:50" ht="14.95" customHeight="1" thickBot="1" x14ac:dyDescent="0.3">
      <c r="A40" s="315" t="s">
        <v>530</v>
      </c>
      <c r="B40" s="219">
        <v>1</v>
      </c>
      <c r="C40" s="285">
        <v>0</v>
      </c>
      <c r="D40" s="261">
        <v>0</v>
      </c>
      <c r="E40" s="317">
        <f t="shared" si="0"/>
        <v>1</v>
      </c>
      <c r="F40" s="267" t="s">
        <v>530</v>
      </c>
      <c r="G40" s="268">
        <v>5</v>
      </c>
      <c r="H40" s="396">
        <v>0</v>
      </c>
      <c r="I40" s="269">
        <v>0</v>
      </c>
      <c r="J40" s="270">
        <f t="shared" si="1"/>
        <v>5</v>
      </c>
    </row>
    <row r="41" spans="1:50" ht="14.95" customHeight="1" thickBot="1" x14ac:dyDescent="0.3">
      <c r="A41" s="315" t="s">
        <v>497</v>
      </c>
      <c r="B41" s="219">
        <v>2</v>
      </c>
      <c r="C41" s="285">
        <v>0</v>
      </c>
      <c r="D41" s="261">
        <v>3</v>
      </c>
      <c r="E41" s="317">
        <f t="shared" si="0"/>
        <v>5</v>
      </c>
      <c r="F41" s="267" t="s">
        <v>497</v>
      </c>
      <c r="G41" s="268">
        <v>10</v>
      </c>
      <c r="H41" s="396">
        <v>0</v>
      </c>
      <c r="I41" s="269">
        <v>15</v>
      </c>
      <c r="J41" s="270">
        <f t="shared" si="1"/>
        <v>25</v>
      </c>
    </row>
    <row r="42" spans="1:50" ht="14.95" customHeight="1" thickBot="1" x14ac:dyDescent="0.3">
      <c r="A42" s="315" t="s">
        <v>23</v>
      </c>
      <c r="B42" s="219">
        <v>1</v>
      </c>
      <c r="C42" s="285">
        <v>0</v>
      </c>
      <c r="D42" s="261">
        <v>1</v>
      </c>
      <c r="E42" s="317">
        <f t="shared" si="0"/>
        <v>2</v>
      </c>
      <c r="F42" s="267" t="s">
        <v>23</v>
      </c>
      <c r="G42" s="268">
        <v>5</v>
      </c>
      <c r="H42" s="396">
        <v>0</v>
      </c>
      <c r="I42" s="269">
        <v>11</v>
      </c>
      <c r="J42" s="270">
        <f t="shared" si="1"/>
        <v>16</v>
      </c>
    </row>
    <row r="43" spans="1:50" ht="14.95" customHeight="1" thickBot="1" x14ac:dyDescent="0.3">
      <c r="A43" s="315" t="s">
        <v>727</v>
      </c>
      <c r="B43" s="219">
        <v>0</v>
      </c>
      <c r="C43" s="285">
        <v>0</v>
      </c>
      <c r="D43" s="261">
        <v>2</v>
      </c>
      <c r="E43" s="317">
        <f t="shared" si="0"/>
        <v>2</v>
      </c>
      <c r="F43" s="267" t="s">
        <v>727</v>
      </c>
      <c r="G43" s="268">
        <v>0</v>
      </c>
      <c r="H43" s="396">
        <v>0</v>
      </c>
      <c r="I43" s="269">
        <v>10</v>
      </c>
      <c r="J43" s="270">
        <f t="shared" si="1"/>
        <v>10</v>
      </c>
    </row>
    <row r="44" spans="1:50" ht="14.95" customHeight="1" thickBot="1" x14ac:dyDescent="0.3">
      <c r="A44" s="315" t="s">
        <v>508</v>
      </c>
      <c r="B44" s="219">
        <v>0</v>
      </c>
      <c r="C44" s="285">
        <v>1</v>
      </c>
      <c r="D44" s="261">
        <v>0</v>
      </c>
      <c r="E44" s="317">
        <f t="shared" si="0"/>
        <v>1</v>
      </c>
      <c r="F44" s="267" t="s">
        <v>508</v>
      </c>
      <c r="G44" s="268">
        <v>0</v>
      </c>
      <c r="H44" s="396">
        <v>5</v>
      </c>
      <c r="I44" s="269">
        <v>0</v>
      </c>
      <c r="J44" s="270">
        <f t="shared" si="1"/>
        <v>5</v>
      </c>
    </row>
    <row r="45" spans="1:50" ht="14.95" customHeight="1" thickBot="1" x14ac:dyDescent="0.3">
      <c r="A45" s="315" t="s">
        <v>529</v>
      </c>
      <c r="B45" s="219">
        <v>3</v>
      </c>
      <c r="C45" s="285">
        <v>1</v>
      </c>
      <c r="D45" s="261">
        <v>2</v>
      </c>
      <c r="E45" s="317">
        <f t="shared" si="0"/>
        <v>6</v>
      </c>
      <c r="F45" s="267" t="s">
        <v>529</v>
      </c>
      <c r="G45" s="268">
        <v>15</v>
      </c>
      <c r="H45" s="396">
        <v>5</v>
      </c>
      <c r="I45" s="269">
        <v>10</v>
      </c>
      <c r="J45" s="270">
        <f t="shared" si="1"/>
        <v>30</v>
      </c>
    </row>
    <row r="46" spans="1:50" ht="14.95" customHeight="1" thickBot="1" x14ac:dyDescent="0.3">
      <c r="A46" s="315" t="s">
        <v>503</v>
      </c>
      <c r="B46" s="219">
        <v>2</v>
      </c>
      <c r="C46" s="285">
        <v>0</v>
      </c>
      <c r="D46" s="261">
        <v>0</v>
      </c>
      <c r="E46" s="317">
        <f t="shared" si="0"/>
        <v>2</v>
      </c>
      <c r="F46" s="267" t="s">
        <v>503</v>
      </c>
      <c r="G46" s="268">
        <v>10</v>
      </c>
      <c r="H46" s="396">
        <v>0</v>
      </c>
      <c r="I46" s="269">
        <v>0</v>
      </c>
      <c r="J46" s="270">
        <f t="shared" si="1"/>
        <v>10</v>
      </c>
    </row>
    <row r="47" spans="1:50" ht="14.95" customHeight="1" thickBot="1" x14ac:dyDescent="0.3">
      <c r="A47" s="315" t="s">
        <v>513</v>
      </c>
      <c r="B47" s="219">
        <v>1</v>
      </c>
      <c r="C47" s="285">
        <v>0</v>
      </c>
      <c r="D47" s="261">
        <v>0</v>
      </c>
      <c r="E47" s="317">
        <f t="shared" si="0"/>
        <v>1</v>
      </c>
      <c r="F47" s="267" t="s">
        <v>513</v>
      </c>
      <c r="G47" s="268">
        <v>5</v>
      </c>
      <c r="H47" s="396">
        <v>0</v>
      </c>
      <c r="I47" s="269">
        <v>0</v>
      </c>
      <c r="J47" s="270">
        <f t="shared" si="1"/>
        <v>5</v>
      </c>
    </row>
    <row r="48" spans="1:50" ht="14.95" customHeight="1" thickBot="1" x14ac:dyDescent="0.3">
      <c r="A48" s="315" t="s">
        <v>512</v>
      </c>
      <c r="B48" s="219">
        <v>1</v>
      </c>
      <c r="C48" s="285">
        <v>0</v>
      </c>
      <c r="D48" s="261">
        <v>0</v>
      </c>
      <c r="E48" s="317">
        <f t="shared" si="0"/>
        <v>1</v>
      </c>
      <c r="F48" s="267" t="s">
        <v>512</v>
      </c>
      <c r="G48" s="268">
        <v>21</v>
      </c>
      <c r="H48" s="396">
        <v>0</v>
      </c>
      <c r="I48" s="269">
        <v>39</v>
      </c>
      <c r="J48" s="270">
        <f t="shared" si="1"/>
        <v>60</v>
      </c>
    </row>
    <row r="49" spans="1:10" ht="14.95" customHeight="1" thickBot="1" x14ac:dyDescent="0.3">
      <c r="A49" s="315" t="s">
        <v>913</v>
      </c>
      <c r="B49" s="219">
        <v>5</v>
      </c>
      <c r="C49" s="285">
        <v>1</v>
      </c>
      <c r="D49" s="261">
        <v>1</v>
      </c>
      <c r="E49" s="317">
        <f t="shared" si="0"/>
        <v>7</v>
      </c>
      <c r="F49" s="267" t="s">
        <v>913</v>
      </c>
      <c r="G49" s="268">
        <v>25</v>
      </c>
      <c r="H49" s="396">
        <v>5</v>
      </c>
      <c r="I49" s="269">
        <v>5</v>
      </c>
      <c r="J49" s="270">
        <f t="shared" si="1"/>
        <v>35</v>
      </c>
    </row>
    <row r="50" spans="1:10" ht="14.95" customHeight="1" thickBot="1" x14ac:dyDescent="0.3">
      <c r="A50" s="315" t="s">
        <v>506</v>
      </c>
      <c r="B50" s="219">
        <v>0</v>
      </c>
      <c r="C50" s="285">
        <v>0</v>
      </c>
      <c r="D50" s="261">
        <v>1</v>
      </c>
      <c r="E50" s="317">
        <f t="shared" si="0"/>
        <v>1</v>
      </c>
      <c r="F50" s="267" t="s">
        <v>506</v>
      </c>
      <c r="G50" s="268">
        <v>0</v>
      </c>
      <c r="H50" s="396">
        <v>0</v>
      </c>
      <c r="I50" s="269">
        <v>5</v>
      </c>
      <c r="J50" s="270">
        <f t="shared" si="1"/>
        <v>5</v>
      </c>
    </row>
    <row r="51" spans="1:10" ht="14.95" customHeight="1" thickBot="1" x14ac:dyDescent="0.3">
      <c r="A51" s="315" t="s">
        <v>3</v>
      </c>
      <c r="B51" s="219">
        <f>SUM(B3:B50)</f>
        <v>73</v>
      </c>
      <c r="C51" s="285">
        <f>SUM(C3:C50)</f>
        <v>19</v>
      </c>
      <c r="D51" s="261">
        <f>SUM(D3:D50)</f>
        <v>29</v>
      </c>
      <c r="E51" s="317">
        <f>SUM(B51:D51)</f>
        <v>121</v>
      </c>
      <c r="F51" s="267" t="s">
        <v>3</v>
      </c>
      <c r="G51" s="268">
        <f>SUM(G3:G50)</f>
        <v>542</v>
      </c>
      <c r="H51" s="396">
        <f>SUM(H3:H50)</f>
        <v>137</v>
      </c>
      <c r="I51" s="269">
        <f>SUM(I3:I50)</f>
        <v>204</v>
      </c>
      <c r="J51" s="270">
        <f t="shared" si="1"/>
        <v>883</v>
      </c>
    </row>
    <row r="52" spans="1:10" x14ac:dyDescent="0.25">
      <c r="A52" s="220"/>
      <c r="B52" s="221"/>
      <c r="C52" s="222"/>
      <c r="D52" s="255"/>
      <c r="E52" s="52"/>
      <c r="F52" s="220"/>
      <c r="G52" s="223"/>
      <c r="H52" s="222"/>
      <c r="I52" s="255"/>
      <c r="J52" s="52"/>
    </row>
    <row r="53" spans="1:10" ht="14.95" thickBot="1" x14ac:dyDescent="0.3">
      <c r="A53" s="48" t="s">
        <v>18</v>
      </c>
      <c r="B53" s="221"/>
      <c r="C53" s="222"/>
      <c r="D53" s="222"/>
      <c r="E53" s="52"/>
      <c r="F53" s="220"/>
      <c r="G53" s="223"/>
      <c r="H53" s="222"/>
      <c r="I53" s="222"/>
      <c r="J53" s="52"/>
    </row>
    <row r="54" spans="1:10" ht="14.95" thickBot="1" x14ac:dyDescent="0.3">
      <c r="A54" s="314" t="s">
        <v>0</v>
      </c>
      <c r="B54" s="218" t="s">
        <v>355</v>
      </c>
      <c r="C54" s="284" t="s">
        <v>42</v>
      </c>
      <c r="D54" s="260" t="s">
        <v>564</v>
      </c>
      <c r="E54" s="316" t="s">
        <v>1</v>
      </c>
      <c r="F54" s="266" t="s">
        <v>2</v>
      </c>
      <c r="G54" s="265" t="s">
        <v>355</v>
      </c>
      <c r="H54" s="395" t="s">
        <v>42</v>
      </c>
      <c r="I54" s="263" t="s">
        <v>564</v>
      </c>
      <c r="J54" s="264" t="s">
        <v>1</v>
      </c>
    </row>
    <row r="55" spans="1:10" ht="14.8" customHeight="1" thickBot="1" x14ac:dyDescent="0.3">
      <c r="A55" s="315" t="s">
        <v>495</v>
      </c>
      <c r="B55" s="219">
        <v>10</v>
      </c>
      <c r="C55" s="285">
        <v>1</v>
      </c>
      <c r="D55" s="261">
        <v>1</v>
      </c>
      <c r="E55" s="317">
        <f t="shared" ref="E55:E86" si="15">SUM(B55:D55)</f>
        <v>12</v>
      </c>
      <c r="F55" s="267" t="s">
        <v>507</v>
      </c>
      <c r="G55" s="268">
        <v>103</v>
      </c>
      <c r="H55" s="396">
        <v>40</v>
      </c>
      <c r="I55" s="269">
        <v>0</v>
      </c>
      <c r="J55" s="270">
        <f t="shared" ref="J55:J102" si="16">SUM(G55:I55)</f>
        <v>143</v>
      </c>
    </row>
    <row r="56" spans="1:10" ht="14.3" customHeight="1" thickBot="1" x14ac:dyDescent="0.3">
      <c r="A56" s="315" t="s">
        <v>946</v>
      </c>
      <c r="B56" s="219">
        <v>6</v>
      </c>
      <c r="C56" s="285">
        <v>2</v>
      </c>
      <c r="D56" s="261">
        <v>0</v>
      </c>
      <c r="E56" s="317">
        <f t="shared" si="15"/>
        <v>8</v>
      </c>
      <c r="F56" s="267" t="s">
        <v>495</v>
      </c>
      <c r="G56" s="268">
        <v>50</v>
      </c>
      <c r="H56" s="396">
        <v>5</v>
      </c>
      <c r="I56" s="269">
        <v>5</v>
      </c>
      <c r="J56" s="270">
        <f t="shared" si="16"/>
        <v>60</v>
      </c>
    </row>
    <row r="57" spans="1:10" ht="14.95" thickBot="1" x14ac:dyDescent="0.3">
      <c r="A57" s="315" t="s">
        <v>912</v>
      </c>
      <c r="B57" s="219">
        <v>7</v>
      </c>
      <c r="C57" s="285">
        <v>0</v>
      </c>
      <c r="D57" s="261">
        <v>1</v>
      </c>
      <c r="E57" s="317">
        <f t="shared" si="15"/>
        <v>8</v>
      </c>
      <c r="F57" s="267" t="s">
        <v>512</v>
      </c>
      <c r="G57" s="268">
        <v>21</v>
      </c>
      <c r="H57" s="396">
        <v>0</v>
      </c>
      <c r="I57" s="269">
        <v>39</v>
      </c>
      <c r="J57" s="270">
        <f t="shared" si="16"/>
        <v>60</v>
      </c>
    </row>
    <row r="58" spans="1:10" ht="14.3" customHeight="1" thickBot="1" x14ac:dyDescent="0.3">
      <c r="A58" s="315" t="s">
        <v>835</v>
      </c>
      <c r="B58" s="219">
        <v>5</v>
      </c>
      <c r="C58" s="285">
        <v>2</v>
      </c>
      <c r="D58" s="261">
        <v>0</v>
      </c>
      <c r="E58" s="317">
        <f t="shared" si="15"/>
        <v>7</v>
      </c>
      <c r="F58" s="267" t="s">
        <v>533</v>
      </c>
      <c r="G58" s="268">
        <v>31</v>
      </c>
      <c r="H58" s="396">
        <v>0</v>
      </c>
      <c r="I58" s="269">
        <v>17</v>
      </c>
      <c r="J58" s="270">
        <f t="shared" si="16"/>
        <v>48</v>
      </c>
    </row>
    <row r="59" spans="1:10" ht="14.95" thickBot="1" x14ac:dyDescent="0.3">
      <c r="A59" s="315" t="s">
        <v>760</v>
      </c>
      <c r="B59" s="219">
        <v>3</v>
      </c>
      <c r="C59" s="285">
        <v>2</v>
      </c>
      <c r="D59" s="261">
        <v>2</v>
      </c>
      <c r="E59" s="317">
        <f t="shared" si="15"/>
        <v>7</v>
      </c>
      <c r="F59" s="267" t="s">
        <v>946</v>
      </c>
      <c r="G59" s="268">
        <v>30</v>
      </c>
      <c r="H59" s="396">
        <v>10</v>
      </c>
      <c r="I59" s="269">
        <v>0</v>
      </c>
      <c r="J59" s="270">
        <f t="shared" si="16"/>
        <v>40</v>
      </c>
    </row>
    <row r="60" spans="1:10" ht="14.95" thickBot="1" x14ac:dyDescent="0.3">
      <c r="A60" s="315" t="s">
        <v>913</v>
      </c>
      <c r="B60" s="219">
        <v>5</v>
      </c>
      <c r="C60" s="285">
        <v>1</v>
      </c>
      <c r="D60" s="261">
        <v>1</v>
      </c>
      <c r="E60" s="317">
        <f t="shared" si="15"/>
        <v>7</v>
      </c>
      <c r="F60" s="267" t="s">
        <v>912</v>
      </c>
      <c r="G60" s="268">
        <v>35</v>
      </c>
      <c r="H60" s="396">
        <v>0</v>
      </c>
      <c r="I60" s="269">
        <v>5</v>
      </c>
      <c r="J60" s="270">
        <f t="shared" si="16"/>
        <v>40</v>
      </c>
    </row>
    <row r="61" spans="1:10" ht="14.95" thickBot="1" x14ac:dyDescent="0.3">
      <c r="A61" s="315" t="s">
        <v>498</v>
      </c>
      <c r="B61" s="219">
        <v>4</v>
      </c>
      <c r="C61" s="285">
        <v>2</v>
      </c>
      <c r="D61" s="261">
        <v>0</v>
      </c>
      <c r="E61" s="317">
        <f t="shared" si="15"/>
        <v>6</v>
      </c>
      <c r="F61" s="267" t="s">
        <v>511</v>
      </c>
      <c r="G61" s="268">
        <v>31</v>
      </c>
      <c r="H61" s="396">
        <v>5</v>
      </c>
      <c r="I61" s="269">
        <v>0</v>
      </c>
      <c r="J61" s="270">
        <f t="shared" si="16"/>
        <v>36</v>
      </c>
    </row>
    <row r="62" spans="1:10" ht="14.95" thickBot="1" x14ac:dyDescent="0.3">
      <c r="A62" s="315" t="s">
        <v>529</v>
      </c>
      <c r="B62" s="219">
        <v>3</v>
      </c>
      <c r="C62" s="285">
        <v>1</v>
      </c>
      <c r="D62" s="261">
        <v>2</v>
      </c>
      <c r="E62" s="317">
        <f t="shared" si="15"/>
        <v>6</v>
      </c>
      <c r="F62" s="267" t="s">
        <v>835</v>
      </c>
      <c r="G62" s="268">
        <v>25</v>
      </c>
      <c r="H62" s="396">
        <v>10</v>
      </c>
      <c r="I62" s="269">
        <v>0</v>
      </c>
      <c r="J62" s="270">
        <f t="shared" si="16"/>
        <v>35</v>
      </c>
    </row>
    <row r="63" spans="1:10" ht="14.95" thickBot="1" x14ac:dyDescent="0.3">
      <c r="A63" s="315" t="s">
        <v>967</v>
      </c>
      <c r="B63" s="219">
        <v>3</v>
      </c>
      <c r="C63" s="285">
        <v>2</v>
      </c>
      <c r="D63" s="261">
        <v>0</v>
      </c>
      <c r="E63" s="317">
        <f t="shared" si="15"/>
        <v>5</v>
      </c>
      <c r="F63" s="267" t="s">
        <v>760</v>
      </c>
      <c r="G63" s="268">
        <v>15</v>
      </c>
      <c r="H63" s="396">
        <v>10</v>
      </c>
      <c r="I63" s="269">
        <v>10</v>
      </c>
      <c r="J63" s="270">
        <f t="shared" si="16"/>
        <v>35</v>
      </c>
    </row>
    <row r="64" spans="1:10" ht="14.95" thickBot="1" x14ac:dyDescent="0.3">
      <c r="A64" s="315" t="s">
        <v>502</v>
      </c>
      <c r="B64" s="219">
        <v>3</v>
      </c>
      <c r="C64" s="285">
        <v>2</v>
      </c>
      <c r="D64" s="261">
        <v>0</v>
      </c>
      <c r="E64" s="317">
        <f t="shared" si="15"/>
        <v>5</v>
      </c>
      <c r="F64" s="267" t="s">
        <v>913</v>
      </c>
      <c r="G64" s="268">
        <v>25</v>
      </c>
      <c r="H64" s="396">
        <v>5</v>
      </c>
      <c r="I64" s="269">
        <v>5</v>
      </c>
      <c r="J64" s="270">
        <f t="shared" si="16"/>
        <v>35</v>
      </c>
    </row>
    <row r="65" spans="1:10" ht="14.95" thickBot="1" x14ac:dyDescent="0.3">
      <c r="A65" s="315" t="s">
        <v>812</v>
      </c>
      <c r="B65" s="219">
        <v>0</v>
      </c>
      <c r="C65" s="285">
        <v>0</v>
      </c>
      <c r="D65" s="261">
        <v>5</v>
      </c>
      <c r="E65" s="317">
        <f t="shared" si="15"/>
        <v>5</v>
      </c>
      <c r="F65" s="267" t="s">
        <v>498</v>
      </c>
      <c r="G65" s="268">
        <v>20</v>
      </c>
      <c r="H65" s="396">
        <v>10</v>
      </c>
      <c r="I65" s="269">
        <v>0</v>
      </c>
      <c r="J65" s="270">
        <f t="shared" si="16"/>
        <v>30</v>
      </c>
    </row>
    <row r="66" spans="1:10" ht="14.95" thickBot="1" x14ac:dyDescent="0.3">
      <c r="A66" s="315" t="s">
        <v>497</v>
      </c>
      <c r="B66" s="219">
        <v>2</v>
      </c>
      <c r="C66" s="285">
        <v>0</v>
      </c>
      <c r="D66" s="261">
        <v>3</v>
      </c>
      <c r="E66" s="317">
        <f t="shared" si="15"/>
        <v>5</v>
      </c>
      <c r="F66" s="267" t="s">
        <v>529</v>
      </c>
      <c r="G66" s="268">
        <v>15</v>
      </c>
      <c r="H66" s="396">
        <v>5</v>
      </c>
      <c r="I66" s="269">
        <v>10</v>
      </c>
      <c r="J66" s="270">
        <f t="shared" si="16"/>
        <v>30</v>
      </c>
    </row>
    <row r="67" spans="1:10" ht="14.95" thickBot="1" x14ac:dyDescent="0.3">
      <c r="A67" s="315" t="s">
        <v>494</v>
      </c>
      <c r="B67" s="219">
        <v>3</v>
      </c>
      <c r="C67" s="285">
        <v>1</v>
      </c>
      <c r="D67" s="261">
        <v>0</v>
      </c>
      <c r="E67" s="317">
        <f t="shared" si="15"/>
        <v>4</v>
      </c>
      <c r="F67" s="267" t="s">
        <v>967</v>
      </c>
      <c r="G67" s="268">
        <v>15</v>
      </c>
      <c r="H67" s="396">
        <v>10</v>
      </c>
      <c r="I67" s="269">
        <v>0</v>
      </c>
      <c r="J67" s="270">
        <f t="shared" si="16"/>
        <v>25</v>
      </c>
    </row>
    <row r="68" spans="1:10" ht="14.95" thickBot="1" x14ac:dyDescent="0.3">
      <c r="A68" s="315" t="s">
        <v>531</v>
      </c>
      <c r="B68" s="219">
        <v>3</v>
      </c>
      <c r="C68" s="285">
        <v>1</v>
      </c>
      <c r="D68" s="261">
        <v>0</v>
      </c>
      <c r="E68" s="317">
        <f t="shared" si="15"/>
        <v>4</v>
      </c>
      <c r="F68" s="267" t="s">
        <v>502</v>
      </c>
      <c r="G68" s="268">
        <v>15</v>
      </c>
      <c r="H68" s="396">
        <v>10</v>
      </c>
      <c r="I68" s="269">
        <v>0</v>
      </c>
      <c r="J68" s="270">
        <f t="shared" si="16"/>
        <v>25</v>
      </c>
    </row>
    <row r="69" spans="1:10" ht="14.95" thickBot="1" x14ac:dyDescent="0.3">
      <c r="A69" s="315" t="s">
        <v>682</v>
      </c>
      <c r="B69" s="219">
        <v>0</v>
      </c>
      <c r="C69" s="285">
        <v>0</v>
      </c>
      <c r="D69" s="261">
        <v>3</v>
      </c>
      <c r="E69" s="317">
        <f t="shared" si="15"/>
        <v>3</v>
      </c>
      <c r="F69" s="267" t="s">
        <v>812</v>
      </c>
      <c r="G69" s="268">
        <v>0</v>
      </c>
      <c r="H69" s="396">
        <v>0</v>
      </c>
      <c r="I69" s="269">
        <v>25</v>
      </c>
      <c r="J69" s="270">
        <f t="shared" si="16"/>
        <v>25</v>
      </c>
    </row>
    <row r="70" spans="1:10" ht="14.95" thickBot="1" x14ac:dyDescent="0.3">
      <c r="A70" s="315" t="s">
        <v>501</v>
      </c>
      <c r="B70" s="219">
        <v>3</v>
      </c>
      <c r="C70" s="285">
        <v>0</v>
      </c>
      <c r="D70" s="261">
        <v>0</v>
      </c>
      <c r="E70" s="317">
        <f t="shared" si="15"/>
        <v>3</v>
      </c>
      <c r="F70" s="267" t="s">
        <v>497</v>
      </c>
      <c r="G70" s="268">
        <v>10</v>
      </c>
      <c r="H70" s="396">
        <v>0</v>
      </c>
      <c r="I70" s="269">
        <v>15</v>
      </c>
      <c r="J70" s="270">
        <f t="shared" si="16"/>
        <v>25</v>
      </c>
    </row>
    <row r="71" spans="1:10" ht="14.95" thickBot="1" x14ac:dyDescent="0.3">
      <c r="A71" s="315" t="s">
        <v>511</v>
      </c>
      <c r="B71" s="219">
        <v>1</v>
      </c>
      <c r="C71" s="285">
        <v>1</v>
      </c>
      <c r="D71" s="261">
        <v>0</v>
      </c>
      <c r="E71" s="317">
        <f t="shared" si="15"/>
        <v>2</v>
      </c>
      <c r="F71" s="267" t="s">
        <v>494</v>
      </c>
      <c r="G71" s="268">
        <v>15</v>
      </c>
      <c r="H71" s="396">
        <v>5</v>
      </c>
      <c r="I71" s="269">
        <v>0</v>
      </c>
      <c r="J71" s="270">
        <f t="shared" si="16"/>
        <v>20</v>
      </c>
    </row>
    <row r="72" spans="1:10" ht="14.95" thickBot="1" x14ac:dyDescent="0.3">
      <c r="A72" s="315" t="s">
        <v>1008</v>
      </c>
      <c r="B72" s="219">
        <v>2</v>
      </c>
      <c r="C72" s="285">
        <v>0</v>
      </c>
      <c r="D72" s="261">
        <v>0</v>
      </c>
      <c r="E72" s="317">
        <f t="shared" si="15"/>
        <v>2</v>
      </c>
      <c r="F72" s="267" t="s">
        <v>531</v>
      </c>
      <c r="G72" s="268">
        <v>15</v>
      </c>
      <c r="H72" s="396">
        <v>5</v>
      </c>
      <c r="I72" s="269">
        <v>0</v>
      </c>
      <c r="J72" s="270">
        <f t="shared" si="16"/>
        <v>20</v>
      </c>
    </row>
    <row r="73" spans="1:10" ht="14.95" thickBot="1" x14ac:dyDescent="0.3">
      <c r="A73" s="315" t="s">
        <v>306</v>
      </c>
      <c r="B73" s="219">
        <v>0</v>
      </c>
      <c r="C73" s="285">
        <v>0</v>
      </c>
      <c r="D73" s="261">
        <v>2</v>
      </c>
      <c r="E73" s="317">
        <f t="shared" si="15"/>
        <v>2</v>
      </c>
      <c r="F73" s="267" t="s">
        <v>23</v>
      </c>
      <c r="G73" s="268">
        <v>5</v>
      </c>
      <c r="H73" s="396">
        <v>0</v>
      </c>
      <c r="I73" s="269">
        <v>11</v>
      </c>
      <c r="J73" s="270">
        <f t="shared" si="16"/>
        <v>16</v>
      </c>
    </row>
    <row r="74" spans="1:10" ht="14.95" thickBot="1" x14ac:dyDescent="0.3">
      <c r="A74" s="315" t="s">
        <v>5</v>
      </c>
      <c r="B74" s="219">
        <v>1</v>
      </c>
      <c r="C74" s="285">
        <v>0</v>
      </c>
      <c r="D74" s="261">
        <v>1</v>
      </c>
      <c r="E74" s="317">
        <f t="shared" si="15"/>
        <v>2</v>
      </c>
      <c r="F74" s="267" t="s">
        <v>682</v>
      </c>
      <c r="G74" s="268">
        <v>0</v>
      </c>
      <c r="H74" s="396">
        <v>0</v>
      </c>
      <c r="I74" s="269">
        <v>15</v>
      </c>
      <c r="J74" s="270">
        <f t="shared" si="16"/>
        <v>15</v>
      </c>
    </row>
    <row r="75" spans="1:10" ht="14.95" thickBot="1" x14ac:dyDescent="0.3">
      <c r="A75" s="315" t="s">
        <v>23</v>
      </c>
      <c r="B75" s="219">
        <v>1</v>
      </c>
      <c r="C75" s="285">
        <v>0</v>
      </c>
      <c r="D75" s="261">
        <v>1</v>
      </c>
      <c r="E75" s="317">
        <f t="shared" si="15"/>
        <v>2</v>
      </c>
      <c r="F75" s="267" t="s">
        <v>501</v>
      </c>
      <c r="G75" s="268">
        <v>15</v>
      </c>
      <c r="H75" s="396">
        <v>0</v>
      </c>
      <c r="I75" s="269">
        <v>0</v>
      </c>
      <c r="J75" s="270">
        <f t="shared" si="16"/>
        <v>15</v>
      </c>
    </row>
    <row r="76" spans="1:10" ht="14.95" thickBot="1" x14ac:dyDescent="0.3">
      <c r="A76" s="315" t="s">
        <v>727</v>
      </c>
      <c r="B76" s="219">
        <v>0</v>
      </c>
      <c r="C76" s="285">
        <v>0</v>
      </c>
      <c r="D76" s="261">
        <v>2</v>
      </c>
      <c r="E76" s="317">
        <f t="shared" si="15"/>
        <v>2</v>
      </c>
      <c r="F76" s="267" t="s">
        <v>5</v>
      </c>
      <c r="G76" s="268">
        <v>7</v>
      </c>
      <c r="H76" s="396">
        <v>0</v>
      </c>
      <c r="I76" s="269">
        <v>7</v>
      </c>
      <c r="J76" s="270">
        <f t="shared" si="16"/>
        <v>14</v>
      </c>
    </row>
    <row r="77" spans="1:10" ht="14.95" thickBot="1" x14ac:dyDescent="0.3">
      <c r="A77" s="315" t="s">
        <v>503</v>
      </c>
      <c r="B77" s="219">
        <v>2</v>
      </c>
      <c r="C77" s="285">
        <v>0</v>
      </c>
      <c r="D77" s="261">
        <v>0</v>
      </c>
      <c r="E77" s="317">
        <f t="shared" si="15"/>
        <v>2</v>
      </c>
      <c r="F77" s="267" t="s">
        <v>510</v>
      </c>
      <c r="G77" s="268">
        <v>9</v>
      </c>
      <c r="H77" s="396">
        <v>2</v>
      </c>
      <c r="I77" s="269">
        <v>0</v>
      </c>
      <c r="J77" s="270">
        <f t="shared" si="16"/>
        <v>11</v>
      </c>
    </row>
    <row r="78" spans="1:10" ht="14.95" thickBot="1" x14ac:dyDescent="0.3">
      <c r="A78" s="315" t="s">
        <v>504</v>
      </c>
      <c r="B78" s="219">
        <v>0</v>
      </c>
      <c r="C78" s="285">
        <v>0</v>
      </c>
      <c r="D78" s="261">
        <v>1</v>
      </c>
      <c r="E78" s="317">
        <f t="shared" si="15"/>
        <v>1</v>
      </c>
      <c r="F78" s="267" t="s">
        <v>1008</v>
      </c>
      <c r="G78" s="268">
        <v>10</v>
      </c>
      <c r="H78" s="396">
        <v>0</v>
      </c>
      <c r="I78" s="269">
        <v>0</v>
      </c>
      <c r="J78" s="270">
        <f t="shared" si="16"/>
        <v>10</v>
      </c>
    </row>
    <row r="79" spans="1:10" ht="14.95" thickBot="1" x14ac:dyDescent="0.3">
      <c r="A79" s="315" t="s">
        <v>534</v>
      </c>
      <c r="B79" s="219">
        <v>1</v>
      </c>
      <c r="C79" s="285">
        <v>0</v>
      </c>
      <c r="D79" s="261">
        <v>0</v>
      </c>
      <c r="E79" s="317">
        <f t="shared" si="15"/>
        <v>1</v>
      </c>
      <c r="F79" s="267" t="s">
        <v>306</v>
      </c>
      <c r="G79" s="268">
        <v>0</v>
      </c>
      <c r="H79" s="396">
        <v>0</v>
      </c>
      <c r="I79" s="269">
        <v>10</v>
      </c>
      <c r="J79" s="270">
        <f t="shared" si="16"/>
        <v>10</v>
      </c>
    </row>
    <row r="80" spans="1:10" ht="14.95" thickBot="1" x14ac:dyDescent="0.3">
      <c r="A80" s="315" t="s">
        <v>776</v>
      </c>
      <c r="B80" s="219">
        <v>0</v>
      </c>
      <c r="C80" s="285">
        <v>0</v>
      </c>
      <c r="D80" s="261">
        <v>1</v>
      </c>
      <c r="E80" s="317">
        <f t="shared" si="15"/>
        <v>1</v>
      </c>
      <c r="F80" s="267" t="s">
        <v>727</v>
      </c>
      <c r="G80" s="268">
        <v>0</v>
      </c>
      <c r="H80" s="396">
        <v>0</v>
      </c>
      <c r="I80" s="269">
        <v>10</v>
      </c>
      <c r="J80" s="270">
        <f t="shared" si="16"/>
        <v>10</v>
      </c>
    </row>
    <row r="81" spans="1:10" ht="14.95" thickBot="1" x14ac:dyDescent="0.3">
      <c r="A81" s="315" t="s">
        <v>507</v>
      </c>
      <c r="B81" s="219">
        <v>1</v>
      </c>
      <c r="C81" s="285">
        <v>0</v>
      </c>
      <c r="D81" s="261">
        <v>0</v>
      </c>
      <c r="E81" s="317">
        <f t="shared" si="15"/>
        <v>1</v>
      </c>
      <c r="F81" s="267" t="s">
        <v>503</v>
      </c>
      <c r="G81" s="268">
        <v>10</v>
      </c>
      <c r="H81" s="396">
        <v>0</v>
      </c>
      <c r="I81" s="269">
        <v>0</v>
      </c>
      <c r="J81" s="270">
        <f t="shared" si="16"/>
        <v>10</v>
      </c>
    </row>
    <row r="82" spans="1:10" ht="14.95" thickBot="1" x14ac:dyDescent="0.3">
      <c r="A82" s="315" t="s">
        <v>510</v>
      </c>
      <c r="B82" s="219">
        <v>1</v>
      </c>
      <c r="C82" s="285">
        <v>0</v>
      </c>
      <c r="D82" s="261">
        <v>0</v>
      </c>
      <c r="E82" s="317">
        <f t="shared" si="15"/>
        <v>1</v>
      </c>
      <c r="F82" s="267" t="s">
        <v>504</v>
      </c>
      <c r="G82" s="268">
        <v>0</v>
      </c>
      <c r="H82" s="396">
        <v>0</v>
      </c>
      <c r="I82" s="269">
        <v>5</v>
      </c>
      <c r="J82" s="270">
        <f t="shared" si="16"/>
        <v>5</v>
      </c>
    </row>
    <row r="83" spans="1:10" ht="14.95" thickBot="1" x14ac:dyDescent="0.3">
      <c r="A83" s="315" t="s">
        <v>431</v>
      </c>
      <c r="B83" s="219">
        <v>0</v>
      </c>
      <c r="C83" s="285">
        <v>0</v>
      </c>
      <c r="D83" s="261">
        <v>1</v>
      </c>
      <c r="E83" s="317">
        <f t="shared" si="15"/>
        <v>1</v>
      </c>
      <c r="F83" s="267" t="s">
        <v>534</v>
      </c>
      <c r="G83" s="268">
        <v>5</v>
      </c>
      <c r="H83" s="396">
        <v>0</v>
      </c>
      <c r="I83" s="269">
        <v>0</v>
      </c>
      <c r="J83" s="270">
        <f t="shared" si="16"/>
        <v>5</v>
      </c>
    </row>
    <row r="84" spans="1:10" ht="14.95" thickBot="1" x14ac:dyDescent="0.3">
      <c r="A84" s="315" t="s">
        <v>533</v>
      </c>
      <c r="B84" s="219">
        <v>0</v>
      </c>
      <c r="C84" s="285">
        <v>0</v>
      </c>
      <c r="D84" s="261">
        <v>1</v>
      </c>
      <c r="E84" s="317">
        <f t="shared" si="15"/>
        <v>1</v>
      </c>
      <c r="F84" s="267" t="s">
        <v>776</v>
      </c>
      <c r="G84" s="268">
        <v>0</v>
      </c>
      <c r="H84" s="396">
        <v>0</v>
      </c>
      <c r="I84" s="269">
        <v>5</v>
      </c>
      <c r="J84" s="270">
        <f t="shared" si="16"/>
        <v>5</v>
      </c>
    </row>
    <row r="85" spans="1:10" ht="14.95" thickBot="1" x14ac:dyDescent="0.3">
      <c r="A85" s="315" t="s">
        <v>530</v>
      </c>
      <c r="B85" s="219">
        <v>1</v>
      </c>
      <c r="C85" s="285">
        <v>0</v>
      </c>
      <c r="D85" s="261">
        <v>0</v>
      </c>
      <c r="E85" s="317">
        <f t="shared" si="15"/>
        <v>1</v>
      </c>
      <c r="F85" s="267" t="s">
        <v>431</v>
      </c>
      <c r="G85" s="268">
        <v>0</v>
      </c>
      <c r="H85" s="396">
        <v>0</v>
      </c>
      <c r="I85" s="269">
        <v>5</v>
      </c>
      <c r="J85" s="270">
        <f t="shared" si="16"/>
        <v>5</v>
      </c>
    </row>
    <row r="86" spans="1:10" ht="14.95" thickBot="1" x14ac:dyDescent="0.3">
      <c r="A86" s="315" t="s">
        <v>508</v>
      </c>
      <c r="B86" s="219">
        <v>0</v>
      </c>
      <c r="C86" s="285">
        <v>1</v>
      </c>
      <c r="D86" s="261">
        <v>0</v>
      </c>
      <c r="E86" s="317">
        <f t="shared" si="15"/>
        <v>1</v>
      </c>
      <c r="F86" s="267" t="s">
        <v>530</v>
      </c>
      <c r="G86" s="268">
        <v>5</v>
      </c>
      <c r="H86" s="396">
        <v>0</v>
      </c>
      <c r="I86" s="269">
        <v>0</v>
      </c>
      <c r="J86" s="270">
        <f t="shared" si="16"/>
        <v>5</v>
      </c>
    </row>
    <row r="87" spans="1:10" ht="14.95" thickBot="1" x14ac:dyDescent="0.3">
      <c r="A87" s="315" t="s">
        <v>513</v>
      </c>
      <c r="B87" s="219">
        <v>1</v>
      </c>
      <c r="C87" s="285">
        <v>0</v>
      </c>
      <c r="D87" s="261">
        <v>0</v>
      </c>
      <c r="E87" s="317">
        <f t="shared" ref="E87:E103" si="17">SUM(B87:D87)</f>
        <v>1</v>
      </c>
      <c r="F87" s="267" t="s">
        <v>508</v>
      </c>
      <c r="G87" s="268">
        <v>0</v>
      </c>
      <c r="H87" s="396">
        <v>5</v>
      </c>
      <c r="I87" s="269">
        <v>0</v>
      </c>
      <c r="J87" s="270">
        <f t="shared" si="16"/>
        <v>5</v>
      </c>
    </row>
    <row r="88" spans="1:10" ht="14.95" thickBot="1" x14ac:dyDescent="0.3">
      <c r="A88" s="315" t="s">
        <v>512</v>
      </c>
      <c r="B88" s="219">
        <v>1</v>
      </c>
      <c r="C88" s="285">
        <v>0</v>
      </c>
      <c r="D88" s="261">
        <v>0</v>
      </c>
      <c r="E88" s="317">
        <f t="shared" si="17"/>
        <v>1</v>
      </c>
      <c r="F88" s="267" t="s">
        <v>513</v>
      </c>
      <c r="G88" s="268">
        <v>5</v>
      </c>
      <c r="H88" s="396">
        <v>0</v>
      </c>
      <c r="I88" s="269">
        <v>0</v>
      </c>
      <c r="J88" s="270">
        <f t="shared" si="16"/>
        <v>5</v>
      </c>
    </row>
    <row r="89" spans="1:10" ht="14.95" thickBot="1" x14ac:dyDescent="0.3">
      <c r="A89" s="315" t="s">
        <v>506</v>
      </c>
      <c r="B89" s="219">
        <v>0</v>
      </c>
      <c r="C89" s="285">
        <v>0</v>
      </c>
      <c r="D89" s="261">
        <v>1</v>
      </c>
      <c r="E89" s="317">
        <f t="shared" si="17"/>
        <v>1</v>
      </c>
      <c r="F89" s="267" t="s">
        <v>506</v>
      </c>
      <c r="G89" s="268">
        <v>0</v>
      </c>
      <c r="H89" s="396">
        <v>0</v>
      </c>
      <c r="I89" s="269">
        <v>5</v>
      </c>
      <c r="J89" s="270">
        <f t="shared" si="16"/>
        <v>5</v>
      </c>
    </row>
    <row r="90" spans="1:10" ht="14.95" thickBot="1" x14ac:dyDescent="0.3">
      <c r="A90" s="315" t="s">
        <v>500</v>
      </c>
      <c r="B90" s="219">
        <v>0</v>
      </c>
      <c r="C90" s="285">
        <v>0</v>
      </c>
      <c r="D90" s="261">
        <v>0</v>
      </c>
      <c r="E90" s="317">
        <f t="shared" si="17"/>
        <v>0</v>
      </c>
      <c r="F90" s="267" t="s">
        <v>500</v>
      </c>
      <c r="G90" s="268">
        <v>0</v>
      </c>
      <c r="H90" s="396">
        <v>0</v>
      </c>
      <c r="I90" s="269">
        <v>0</v>
      </c>
      <c r="J90" s="270">
        <f t="shared" si="16"/>
        <v>0</v>
      </c>
    </row>
    <row r="91" spans="1:10" ht="14.95" thickBot="1" x14ac:dyDescent="0.3">
      <c r="A91" s="315" t="s">
        <v>650</v>
      </c>
      <c r="B91" s="219">
        <v>0</v>
      </c>
      <c r="C91" s="285">
        <v>0</v>
      </c>
      <c r="D91" s="261">
        <v>0</v>
      </c>
      <c r="E91" s="317">
        <f t="shared" si="17"/>
        <v>0</v>
      </c>
      <c r="F91" s="267" t="s">
        <v>650</v>
      </c>
      <c r="G91" s="268">
        <v>0</v>
      </c>
      <c r="H91" s="396">
        <v>0</v>
      </c>
      <c r="I91" s="269">
        <v>0</v>
      </c>
      <c r="J91" s="270">
        <f t="shared" si="16"/>
        <v>0</v>
      </c>
    </row>
    <row r="92" spans="1:10" ht="14.95" thickBot="1" x14ac:dyDescent="0.3">
      <c r="A92" s="315" t="s">
        <v>681</v>
      </c>
      <c r="B92" s="219">
        <v>0</v>
      </c>
      <c r="C92" s="285">
        <v>0</v>
      </c>
      <c r="D92" s="261">
        <v>0</v>
      </c>
      <c r="E92" s="317">
        <f t="shared" si="17"/>
        <v>0</v>
      </c>
      <c r="F92" s="267" t="s">
        <v>681</v>
      </c>
      <c r="G92" s="268">
        <v>0</v>
      </c>
      <c r="H92" s="396">
        <v>0</v>
      </c>
      <c r="I92" s="269">
        <v>0</v>
      </c>
      <c r="J92" s="270">
        <f t="shared" si="16"/>
        <v>0</v>
      </c>
    </row>
    <row r="93" spans="1:10" ht="14.95" thickBot="1" x14ac:dyDescent="0.3">
      <c r="A93" s="315" t="s">
        <v>532</v>
      </c>
      <c r="B93" s="219">
        <v>0</v>
      </c>
      <c r="C93" s="285">
        <v>0</v>
      </c>
      <c r="D93" s="261">
        <v>0</v>
      </c>
      <c r="E93" s="317">
        <f t="shared" si="17"/>
        <v>0</v>
      </c>
      <c r="F93" s="267" t="s">
        <v>532</v>
      </c>
      <c r="G93" s="268">
        <v>0</v>
      </c>
      <c r="H93" s="396">
        <v>0</v>
      </c>
      <c r="I93" s="269">
        <v>0</v>
      </c>
      <c r="J93" s="270">
        <f t="shared" si="16"/>
        <v>0</v>
      </c>
    </row>
    <row r="94" spans="1:10" ht="14.95" thickBot="1" x14ac:dyDescent="0.3">
      <c r="A94" s="315" t="s">
        <v>528</v>
      </c>
      <c r="B94" s="219">
        <v>0</v>
      </c>
      <c r="C94" s="285">
        <v>0</v>
      </c>
      <c r="D94" s="261">
        <v>0</v>
      </c>
      <c r="E94" s="317">
        <f t="shared" si="17"/>
        <v>0</v>
      </c>
      <c r="F94" s="267" t="s">
        <v>528</v>
      </c>
      <c r="G94" s="268">
        <v>0</v>
      </c>
      <c r="H94" s="396">
        <v>0</v>
      </c>
      <c r="I94" s="269">
        <v>0</v>
      </c>
      <c r="J94" s="270">
        <f t="shared" si="16"/>
        <v>0</v>
      </c>
    </row>
    <row r="95" spans="1:10" ht="14.95" thickBot="1" x14ac:dyDescent="0.3">
      <c r="A95" s="315" t="s">
        <v>719</v>
      </c>
      <c r="B95" s="219">
        <v>0</v>
      </c>
      <c r="C95" s="285">
        <v>0</v>
      </c>
      <c r="D95" s="261">
        <v>0</v>
      </c>
      <c r="E95" s="317">
        <f t="shared" si="17"/>
        <v>0</v>
      </c>
      <c r="F95" s="267" t="s">
        <v>719</v>
      </c>
      <c r="G95" s="268">
        <v>0</v>
      </c>
      <c r="H95" s="396">
        <v>0</v>
      </c>
      <c r="I95" s="269">
        <v>0</v>
      </c>
      <c r="J95" s="270">
        <f t="shared" si="16"/>
        <v>0</v>
      </c>
    </row>
    <row r="96" spans="1:10" ht="14.95" thickBot="1" x14ac:dyDescent="0.3">
      <c r="A96" s="315" t="s">
        <v>499</v>
      </c>
      <c r="B96" s="219">
        <v>0</v>
      </c>
      <c r="C96" s="285">
        <v>0</v>
      </c>
      <c r="D96" s="261">
        <v>0</v>
      </c>
      <c r="E96" s="317">
        <f t="shared" si="17"/>
        <v>0</v>
      </c>
      <c r="F96" s="267" t="s">
        <v>499</v>
      </c>
      <c r="G96" s="268">
        <v>0</v>
      </c>
      <c r="H96" s="396">
        <v>0</v>
      </c>
      <c r="I96" s="269">
        <v>0</v>
      </c>
      <c r="J96" s="270">
        <f t="shared" si="16"/>
        <v>0</v>
      </c>
    </row>
    <row r="97" spans="1:10" ht="14.95" thickBot="1" x14ac:dyDescent="0.3">
      <c r="A97" s="315" t="s">
        <v>274</v>
      </c>
      <c r="B97" s="219">
        <v>0</v>
      </c>
      <c r="C97" s="285">
        <v>0</v>
      </c>
      <c r="D97" s="261">
        <v>0</v>
      </c>
      <c r="E97" s="317">
        <f t="shared" si="17"/>
        <v>0</v>
      </c>
      <c r="F97" s="267" t="s">
        <v>274</v>
      </c>
      <c r="G97" s="268">
        <v>0</v>
      </c>
      <c r="H97" s="396">
        <v>0</v>
      </c>
      <c r="I97" s="269">
        <v>0</v>
      </c>
      <c r="J97" s="270">
        <f t="shared" si="16"/>
        <v>0</v>
      </c>
    </row>
    <row r="98" spans="1:10" ht="14.95" thickBot="1" x14ac:dyDescent="0.3">
      <c r="A98" s="315" t="s">
        <v>509</v>
      </c>
      <c r="B98" s="219">
        <v>0</v>
      </c>
      <c r="C98" s="285">
        <v>0</v>
      </c>
      <c r="D98" s="261">
        <v>0</v>
      </c>
      <c r="E98" s="317">
        <f t="shared" si="17"/>
        <v>0</v>
      </c>
      <c r="F98" s="267" t="s">
        <v>509</v>
      </c>
      <c r="G98" s="268">
        <v>0</v>
      </c>
      <c r="H98" s="396">
        <v>0</v>
      </c>
      <c r="I98" s="269">
        <v>0</v>
      </c>
      <c r="J98" s="270">
        <f t="shared" si="16"/>
        <v>0</v>
      </c>
    </row>
    <row r="99" spans="1:10" ht="14.3" customHeight="1" thickBot="1" x14ac:dyDescent="0.3">
      <c r="A99" s="315" t="s">
        <v>762</v>
      </c>
      <c r="B99" s="219">
        <v>0</v>
      </c>
      <c r="C99" s="285">
        <v>0</v>
      </c>
      <c r="D99" s="261">
        <v>0</v>
      </c>
      <c r="E99" s="317">
        <f t="shared" si="17"/>
        <v>0</v>
      </c>
      <c r="F99" s="267" t="s">
        <v>762</v>
      </c>
      <c r="G99" s="268">
        <v>0</v>
      </c>
      <c r="H99" s="396">
        <v>0</v>
      </c>
      <c r="I99" s="269">
        <v>0</v>
      </c>
      <c r="J99" s="270">
        <f t="shared" si="16"/>
        <v>0</v>
      </c>
    </row>
    <row r="100" spans="1:10" ht="14.95" thickBot="1" x14ac:dyDescent="0.3">
      <c r="A100" s="315" t="s">
        <v>36</v>
      </c>
      <c r="B100" s="219">
        <v>0</v>
      </c>
      <c r="C100" s="285">
        <v>0</v>
      </c>
      <c r="D100" s="261">
        <v>0</v>
      </c>
      <c r="E100" s="317">
        <f t="shared" si="17"/>
        <v>0</v>
      </c>
      <c r="F100" s="267" t="s">
        <v>36</v>
      </c>
      <c r="G100" s="268">
        <v>0</v>
      </c>
      <c r="H100" s="396">
        <v>0</v>
      </c>
      <c r="I100" s="269">
        <v>0</v>
      </c>
      <c r="J100" s="270">
        <f t="shared" si="16"/>
        <v>0</v>
      </c>
    </row>
    <row r="101" spans="1:10" ht="14.3" customHeight="1" thickBot="1" x14ac:dyDescent="0.3">
      <c r="A101" s="315" t="s">
        <v>535</v>
      </c>
      <c r="B101" s="219">
        <v>0</v>
      </c>
      <c r="C101" s="285">
        <v>0</v>
      </c>
      <c r="D101" s="261">
        <v>0</v>
      </c>
      <c r="E101" s="317">
        <f t="shared" si="17"/>
        <v>0</v>
      </c>
      <c r="F101" s="267" t="s">
        <v>535</v>
      </c>
      <c r="G101" s="268">
        <v>0</v>
      </c>
      <c r="H101" s="396">
        <v>0</v>
      </c>
      <c r="I101" s="269">
        <v>0</v>
      </c>
      <c r="J101" s="270">
        <f t="shared" si="16"/>
        <v>0</v>
      </c>
    </row>
    <row r="102" spans="1:10" ht="14.95" thickBot="1" x14ac:dyDescent="0.3">
      <c r="A102" s="315" t="s">
        <v>774</v>
      </c>
      <c r="B102" s="219">
        <v>0</v>
      </c>
      <c r="C102" s="285">
        <v>0</v>
      </c>
      <c r="D102" s="261">
        <v>0</v>
      </c>
      <c r="E102" s="317">
        <f t="shared" si="17"/>
        <v>0</v>
      </c>
      <c r="F102" s="267" t="s">
        <v>774</v>
      </c>
      <c r="G102" s="268">
        <v>0</v>
      </c>
      <c r="H102" s="396">
        <v>0</v>
      </c>
      <c r="I102" s="269">
        <v>0</v>
      </c>
      <c r="J102" s="270">
        <f t="shared" si="16"/>
        <v>0</v>
      </c>
    </row>
    <row r="103" spans="1:10" ht="14.3" customHeight="1" thickBot="1" x14ac:dyDescent="0.3">
      <c r="A103" s="315" t="s">
        <v>3</v>
      </c>
      <c r="B103" s="219">
        <f>SUM(B55:B102)</f>
        <v>73</v>
      </c>
      <c r="C103" s="285">
        <f>SUM(C55:C102)</f>
        <v>19</v>
      </c>
      <c r="D103" s="261">
        <f>SUM(D55:D102)</f>
        <v>29</v>
      </c>
      <c r="E103" s="317">
        <f t="shared" si="17"/>
        <v>121</v>
      </c>
      <c r="F103" s="267" t="s">
        <v>3</v>
      </c>
      <c r="G103" s="268">
        <f>SUM(G55:G102)</f>
        <v>542</v>
      </c>
      <c r="H103" s="396">
        <f>SUM(H55:H102)</f>
        <v>137</v>
      </c>
      <c r="I103" s="269">
        <f>SUM(I55:I102)</f>
        <v>204</v>
      </c>
      <c r="J103" s="270">
        <f t="shared" ref="J103" si="18">SUM(G103:I103)</f>
        <v>883</v>
      </c>
    </row>
    <row r="104" spans="1:10" x14ac:dyDescent="0.25">
      <c r="A104" s="420" t="s">
        <v>57</v>
      </c>
      <c r="B104" s="421"/>
      <c r="C104" s="421"/>
      <c r="D104" s="421"/>
      <c r="E104" s="421"/>
      <c r="F104" s="421"/>
      <c r="G104" s="421"/>
      <c r="H104" s="421"/>
      <c r="I104" s="421"/>
      <c r="J104" s="421"/>
    </row>
  </sheetData>
  <sortState xmlns:xlrd2="http://schemas.microsoft.com/office/spreadsheetml/2017/richdata2" ref="F55:J102">
    <sortCondition descending="1" ref="J55:J102"/>
  </sortState>
  <mergeCells count="53">
    <mergeCell ref="A1:J1"/>
    <mergeCell ref="K1:K2"/>
    <mergeCell ref="L1:N2"/>
    <mergeCell ref="K30:K31"/>
    <mergeCell ref="L30:N31"/>
    <mergeCell ref="K21:K22"/>
    <mergeCell ref="L21:N22"/>
    <mergeCell ref="K29:V29"/>
    <mergeCell ref="R21:T22"/>
    <mergeCell ref="U21:W22"/>
    <mergeCell ref="R30:T31"/>
    <mergeCell ref="O1:Q2"/>
    <mergeCell ref="K12:K13"/>
    <mergeCell ref="L12:N13"/>
    <mergeCell ref="O12:Q13"/>
    <mergeCell ref="O21:Q22"/>
    <mergeCell ref="BA1:BC2"/>
    <mergeCell ref="AU12:AW13"/>
    <mergeCell ref="AR1:AT2"/>
    <mergeCell ref="AU1:AW2"/>
    <mergeCell ref="AL12:AN13"/>
    <mergeCell ref="AO1:AQ2"/>
    <mergeCell ref="AO12:AQ13"/>
    <mergeCell ref="AR12:AT13"/>
    <mergeCell ref="AX1:AZ2"/>
    <mergeCell ref="AL1:AN2"/>
    <mergeCell ref="AI12:AK13"/>
    <mergeCell ref="U12:W13"/>
    <mergeCell ref="R1:S2"/>
    <mergeCell ref="W1:Y2"/>
    <mergeCell ref="AI1:AK2"/>
    <mergeCell ref="AF12:AH13"/>
    <mergeCell ref="R12:T13"/>
    <mergeCell ref="T1:V2"/>
    <mergeCell ref="AF1:AH2"/>
    <mergeCell ref="AC1:AE2"/>
    <mergeCell ref="AC12:AE13"/>
    <mergeCell ref="A104:J104"/>
    <mergeCell ref="O30:Q31"/>
    <mergeCell ref="K38:AT38"/>
    <mergeCell ref="AU21:AW22"/>
    <mergeCell ref="AI30:AK31"/>
    <mergeCell ref="AL30:AN31"/>
    <mergeCell ref="AO30:AQ31"/>
    <mergeCell ref="U30:W31"/>
    <mergeCell ref="AF30:AH31"/>
    <mergeCell ref="AF21:AH22"/>
    <mergeCell ref="AI21:AK22"/>
    <mergeCell ref="AL21:AN22"/>
    <mergeCell ref="AO21:AQ22"/>
    <mergeCell ref="AR21:AT22"/>
    <mergeCell ref="AC21:AE22"/>
    <mergeCell ref="AC30:AE31"/>
  </mergeCells>
  <pageMargins left="0.7" right="0.7" top="0.75" bottom="0.75" header="0.3" footer="0.3"/>
  <pageSetup paperSize="9" orientation="portrait" horizontalDpi="0" verticalDpi="0" r:id="rId1"/>
  <ignoredErrors>
    <ignoredError sqref="E36 J36 J28 E2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36"/>
  <sheetViews>
    <sheetView tabSelected="1" workbookViewId="0">
      <selection activeCell="A15" sqref="A15"/>
    </sheetView>
  </sheetViews>
  <sheetFormatPr defaultColWidth="8.875" defaultRowHeight="14.3" x14ac:dyDescent="0.25"/>
  <cols>
    <col min="1" max="1" width="21.375" bestFit="1" customWidth="1"/>
    <col min="2" max="2" width="5.75" bestFit="1" customWidth="1"/>
    <col min="3" max="3" width="5.75" customWidth="1"/>
    <col min="4" max="4" width="21.375" bestFit="1" customWidth="1"/>
    <col min="5" max="5" width="5.75" bestFit="1" customWidth="1"/>
    <col min="6" max="6" width="5.75" customWidth="1"/>
    <col min="7" max="7" width="17.75" customWidth="1"/>
    <col min="8" max="8" width="7.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2" ht="14.95" customHeight="1" thickBot="1" x14ac:dyDescent="0.3">
      <c r="A1" s="32" t="s">
        <v>38</v>
      </c>
      <c r="B1" s="118"/>
      <c r="C1" s="11"/>
      <c r="D1" s="27" t="s">
        <v>13</v>
      </c>
      <c r="E1" s="27"/>
      <c r="F1" s="24"/>
      <c r="G1" s="530" t="s">
        <v>58</v>
      </c>
      <c r="H1" s="528"/>
      <c r="I1" s="28" t="s">
        <v>74</v>
      </c>
      <c r="J1" s="28" t="s">
        <v>15</v>
      </c>
      <c r="K1" s="29" t="s">
        <v>16</v>
      </c>
      <c r="L1" s="527" t="s">
        <v>269</v>
      </c>
      <c r="M1" s="527"/>
      <c r="N1" s="528"/>
      <c r="O1" s="526" t="s">
        <v>1042</v>
      </c>
      <c r="P1" s="527"/>
      <c r="Q1" s="528"/>
    </row>
    <row r="2" spans="1:22" ht="14.95" customHeight="1" thickBot="1" x14ac:dyDescent="0.3">
      <c r="A2" s="62" t="s">
        <v>260</v>
      </c>
      <c r="B2" s="62" t="s">
        <v>120</v>
      </c>
      <c r="C2" s="9">
        <f>Sleightholmenortries</f>
        <v>15</v>
      </c>
      <c r="D2" s="2" t="s">
        <v>481</v>
      </c>
      <c r="E2" s="2" t="s">
        <v>120</v>
      </c>
      <c r="F2" s="19">
        <f>Tonksnorpts</f>
        <v>157</v>
      </c>
      <c r="G2" s="30" t="s">
        <v>460</v>
      </c>
      <c r="H2" s="30" t="s">
        <v>117</v>
      </c>
      <c r="I2" s="200">
        <f>Carrerasglogls</f>
        <v>19</v>
      </c>
      <c r="J2" s="202">
        <f>carrerasgloatt</f>
        <v>22</v>
      </c>
      <c r="K2" s="31">
        <f t="shared" ref="K2:K39" si="0">SUM(I2/J2)*100</f>
        <v>86.36363636363636</v>
      </c>
      <c r="L2" s="405" t="s">
        <v>260</v>
      </c>
      <c r="M2" s="405" t="s">
        <v>120</v>
      </c>
      <c r="N2" s="406">
        <v>14</v>
      </c>
      <c r="O2" s="267" t="s">
        <v>223</v>
      </c>
      <c r="P2" s="267" t="s">
        <v>132</v>
      </c>
      <c r="Q2" s="407">
        <f>Sladeexepts</f>
        <v>152</v>
      </c>
    </row>
    <row r="3" spans="1:22" ht="14.95" customHeight="1" thickBot="1" x14ac:dyDescent="0.3">
      <c r="A3" s="62" t="s">
        <v>817</v>
      </c>
      <c r="B3" s="62" t="s">
        <v>132</v>
      </c>
      <c r="C3" s="49">
        <f>Feyi_Wabosoexetries</f>
        <v>10</v>
      </c>
      <c r="D3" s="2" t="s">
        <v>920</v>
      </c>
      <c r="E3" s="2" t="s">
        <v>119</v>
      </c>
      <c r="F3" s="19">
        <f>Russellbthpts</f>
        <v>155</v>
      </c>
      <c r="G3" s="30" t="s">
        <v>827</v>
      </c>
      <c r="H3" s="30" t="s">
        <v>951</v>
      </c>
      <c r="I3" s="200">
        <f>Pollardleicgls</f>
        <v>45</v>
      </c>
      <c r="J3" s="202">
        <f>pollardleicatt</f>
        <v>54</v>
      </c>
      <c r="K3" s="31">
        <f t="shared" si="0"/>
        <v>83.333333333333343</v>
      </c>
      <c r="L3" s="62" t="s">
        <v>289</v>
      </c>
      <c r="M3" s="62" t="s">
        <v>118</v>
      </c>
      <c r="N3" s="9">
        <v>10</v>
      </c>
      <c r="O3" s="2" t="s">
        <v>481</v>
      </c>
      <c r="P3" s="2" t="s">
        <v>120</v>
      </c>
      <c r="Q3" s="19">
        <f>Tonksnorpts</f>
        <v>157</v>
      </c>
      <c r="T3" s="4"/>
      <c r="U3" s="4"/>
      <c r="V3" s="4"/>
    </row>
    <row r="4" spans="1:22" ht="14.95" customHeight="1" thickBot="1" x14ac:dyDescent="0.3">
      <c r="A4" s="62" t="s">
        <v>549</v>
      </c>
      <c r="B4" s="62" t="s">
        <v>537</v>
      </c>
      <c r="C4" s="9">
        <f>Lewingtonsartriescorrect</f>
        <v>10</v>
      </c>
      <c r="D4" s="2" t="s">
        <v>223</v>
      </c>
      <c r="E4" s="2" t="s">
        <v>132</v>
      </c>
      <c r="F4" s="19">
        <f>Sladeexepts</f>
        <v>152</v>
      </c>
      <c r="G4" s="30" t="s">
        <v>921</v>
      </c>
      <c r="H4" s="30" t="s">
        <v>131</v>
      </c>
      <c r="I4" s="200">
        <f>Marchanthargls</f>
        <v>20</v>
      </c>
      <c r="J4" s="202">
        <f>marchantharatt</f>
        <v>24</v>
      </c>
      <c r="K4" s="31">
        <f t="shared" si="0"/>
        <v>83.333333333333343</v>
      </c>
      <c r="L4" s="10" t="s">
        <v>817</v>
      </c>
      <c r="M4" s="10" t="s">
        <v>132</v>
      </c>
      <c r="N4" s="9">
        <v>10</v>
      </c>
      <c r="O4" s="2" t="s">
        <v>920</v>
      </c>
      <c r="P4" s="2" t="s">
        <v>119</v>
      </c>
      <c r="Q4" s="19">
        <f>Russellbthpts</f>
        <v>155</v>
      </c>
      <c r="S4" s="4"/>
    </row>
    <row r="5" spans="1:22" ht="14.95" customHeight="1" thickBot="1" x14ac:dyDescent="0.3">
      <c r="A5" s="10" t="s">
        <v>289</v>
      </c>
      <c r="B5" s="10" t="s">
        <v>118</v>
      </c>
      <c r="C5" s="9">
        <f>Roebucksaltries</f>
        <v>10</v>
      </c>
      <c r="D5" s="2" t="s">
        <v>840</v>
      </c>
      <c r="E5" s="2" t="s">
        <v>118</v>
      </c>
      <c r="F5" s="19">
        <f>Fordgeorgesalpts</f>
        <v>105</v>
      </c>
      <c r="G5" s="33" t="s">
        <v>541</v>
      </c>
      <c r="H5" s="50" t="s">
        <v>537</v>
      </c>
      <c r="I5" s="202">
        <f>dalysarglscorrect</f>
        <v>10</v>
      </c>
      <c r="J5" s="202">
        <f>dalysarattcorrect</f>
        <v>12</v>
      </c>
      <c r="K5" s="245">
        <f t="shared" si="0"/>
        <v>83.333333333333343</v>
      </c>
      <c r="L5" s="62" t="s">
        <v>549</v>
      </c>
      <c r="M5" s="62" t="s">
        <v>537</v>
      </c>
      <c r="N5" s="49">
        <v>9</v>
      </c>
      <c r="O5" s="2" t="s">
        <v>827</v>
      </c>
      <c r="P5" s="2" t="s">
        <v>133</v>
      </c>
      <c r="Q5" s="19">
        <f>Olowofela_Jleicpts</f>
        <v>105</v>
      </c>
      <c r="S5" s="4"/>
    </row>
    <row r="6" spans="1:22" ht="14.95" customHeight="1" thickBot="1" x14ac:dyDescent="0.3">
      <c r="A6" s="62" t="s">
        <v>708</v>
      </c>
      <c r="B6" s="62" t="s">
        <v>138</v>
      </c>
      <c r="C6" s="9">
        <f>Bradburybritries</f>
        <v>8</v>
      </c>
      <c r="D6" s="2" t="s">
        <v>827</v>
      </c>
      <c r="E6" s="2" t="s">
        <v>133</v>
      </c>
      <c r="F6" s="19">
        <f>Olowofela_Jleicpts</f>
        <v>105</v>
      </c>
      <c r="G6" s="30" t="s">
        <v>204</v>
      </c>
      <c r="H6" s="30" t="s">
        <v>138</v>
      </c>
      <c r="I6" s="200">
        <f>MacGintybrigls</f>
        <v>34</v>
      </c>
      <c r="J6" s="202">
        <f>macgintybriatt</f>
        <v>41</v>
      </c>
      <c r="K6" s="31">
        <f t="shared" si="0"/>
        <v>82.926829268292678</v>
      </c>
      <c r="L6" s="62" t="s">
        <v>708</v>
      </c>
      <c r="M6" s="62" t="s">
        <v>138</v>
      </c>
      <c r="N6" s="9">
        <v>8</v>
      </c>
      <c r="O6" s="2" t="s">
        <v>544</v>
      </c>
      <c r="P6" s="2" t="s">
        <v>537</v>
      </c>
      <c r="Q6" s="19">
        <f>Farrellsarptscorrect</f>
        <v>103</v>
      </c>
      <c r="S6" s="4"/>
    </row>
    <row r="7" spans="1:22" ht="14.95" customHeight="1" thickBot="1" x14ac:dyDescent="0.3">
      <c r="A7" s="62" t="s">
        <v>177</v>
      </c>
      <c r="B7" s="62" t="s">
        <v>131</v>
      </c>
      <c r="C7" s="9">
        <f>Dombrandthartries</f>
        <v>8</v>
      </c>
      <c r="D7" s="2" t="s">
        <v>544</v>
      </c>
      <c r="E7" s="2" t="s">
        <v>537</v>
      </c>
      <c r="F7" s="19">
        <f>Farrellsarptscorrect</f>
        <v>103</v>
      </c>
      <c r="G7" s="30" t="s">
        <v>481</v>
      </c>
      <c r="H7" s="30" t="s">
        <v>120</v>
      </c>
      <c r="I7" s="200">
        <f>Smithnorgls</f>
        <v>65</v>
      </c>
      <c r="J7" s="202">
        <f>smithnoratt</f>
        <v>80</v>
      </c>
      <c r="K7" s="31">
        <f t="shared" si="0"/>
        <v>81.25</v>
      </c>
      <c r="L7" s="62" t="s">
        <v>926</v>
      </c>
      <c r="M7" s="62" t="s">
        <v>133</v>
      </c>
      <c r="N7" s="9">
        <v>8</v>
      </c>
      <c r="O7" s="2" t="s">
        <v>840</v>
      </c>
      <c r="P7" s="2" t="s">
        <v>118</v>
      </c>
      <c r="Q7" s="19">
        <f>Fordgeorgesalpts</f>
        <v>105</v>
      </c>
      <c r="S7" s="4"/>
    </row>
    <row r="8" spans="1:22" ht="14.95" customHeight="1" thickBot="1" x14ac:dyDescent="0.3">
      <c r="A8" s="62" t="s">
        <v>942</v>
      </c>
      <c r="B8" s="62" t="s">
        <v>119</v>
      </c>
      <c r="C8" s="9">
        <f>du_Toitbthtries</f>
        <v>8</v>
      </c>
      <c r="D8" s="2" t="s">
        <v>236</v>
      </c>
      <c r="E8" s="2" t="s">
        <v>131</v>
      </c>
      <c r="F8" s="19">
        <f>Smithharpts</f>
        <v>88</v>
      </c>
      <c r="G8" s="30" t="s">
        <v>223</v>
      </c>
      <c r="H8" s="30" t="s">
        <v>132</v>
      </c>
      <c r="I8" s="200">
        <f>sladegoals</f>
        <v>59</v>
      </c>
      <c r="J8" s="377">
        <f>sladeatt</f>
        <v>78</v>
      </c>
      <c r="K8" s="31">
        <f t="shared" si="0"/>
        <v>75.641025641025635</v>
      </c>
      <c r="L8" s="62" t="s">
        <v>177</v>
      </c>
      <c r="M8" s="62" t="s">
        <v>131</v>
      </c>
      <c r="N8" s="9">
        <v>8</v>
      </c>
      <c r="O8" s="2" t="s">
        <v>236</v>
      </c>
      <c r="P8" s="2" t="s">
        <v>131</v>
      </c>
      <c r="Q8" s="19">
        <f>Smithharpts</f>
        <v>88</v>
      </c>
      <c r="S8" s="4"/>
    </row>
    <row r="9" spans="1:22" ht="14.95" customHeight="1" thickBot="1" x14ac:dyDescent="0.3">
      <c r="A9" s="62" t="s">
        <v>926</v>
      </c>
      <c r="B9" s="62" t="s">
        <v>133</v>
      </c>
      <c r="C9" s="9">
        <f>Hassell_CollinsLEItries</f>
        <v>8</v>
      </c>
      <c r="D9" s="2" t="s">
        <v>220</v>
      </c>
      <c r="E9" s="2" t="s">
        <v>138</v>
      </c>
      <c r="F9" s="19">
        <f>Paulolirpts</f>
        <v>79</v>
      </c>
      <c r="G9" s="33" t="s">
        <v>292</v>
      </c>
      <c r="H9" s="30" t="s">
        <v>138</v>
      </c>
      <c r="I9" s="202">
        <f>williamsbrigls</f>
        <v>15</v>
      </c>
      <c r="J9" s="377">
        <f>williamsbriatt</f>
        <v>20</v>
      </c>
      <c r="K9" s="31">
        <f t="shared" si="0"/>
        <v>75</v>
      </c>
      <c r="L9" s="62" t="s">
        <v>160</v>
      </c>
      <c r="M9" s="62" t="s">
        <v>119</v>
      </c>
      <c r="N9" s="9">
        <v>8</v>
      </c>
      <c r="O9" s="2" t="s">
        <v>220</v>
      </c>
      <c r="P9" s="2" t="s">
        <v>138</v>
      </c>
      <c r="Q9" s="19">
        <f>Paulolirpts</f>
        <v>79</v>
      </c>
      <c r="S9" s="4"/>
    </row>
    <row r="10" spans="1:22" ht="14.95" customHeight="1" thickBot="1" x14ac:dyDescent="0.3">
      <c r="A10" s="62" t="s">
        <v>363</v>
      </c>
      <c r="B10" s="62" t="s">
        <v>119</v>
      </c>
      <c r="C10" s="9">
        <f>Muirbthtries</f>
        <v>8</v>
      </c>
      <c r="D10" s="17" t="s">
        <v>709</v>
      </c>
      <c r="E10" s="17" t="s">
        <v>138</v>
      </c>
      <c r="F10" s="19">
        <f>MacGintybripts</f>
        <v>78</v>
      </c>
      <c r="G10" s="30" t="s">
        <v>253</v>
      </c>
      <c r="H10" s="30" t="s">
        <v>118</v>
      </c>
      <c r="I10" s="200">
        <f>dupreezsalgls</f>
        <v>17</v>
      </c>
      <c r="J10" s="202">
        <f>dupreezsalatt</f>
        <v>23</v>
      </c>
      <c r="K10" s="31">
        <f t="shared" si="0"/>
        <v>73.91304347826086</v>
      </c>
      <c r="L10" s="62" t="s">
        <v>604</v>
      </c>
      <c r="M10" s="62" t="s">
        <v>132</v>
      </c>
      <c r="N10" s="9">
        <v>7</v>
      </c>
      <c r="O10" s="17" t="s">
        <v>709</v>
      </c>
      <c r="P10" s="17" t="s">
        <v>138</v>
      </c>
      <c r="Q10" s="19">
        <f>MacGintybripts</f>
        <v>78</v>
      </c>
      <c r="S10" s="4"/>
    </row>
    <row r="11" spans="1:22" ht="14.95" customHeight="1" thickBot="1" x14ac:dyDescent="0.3">
      <c r="A11" s="62" t="s">
        <v>160</v>
      </c>
      <c r="B11" s="62" t="s">
        <v>119</v>
      </c>
      <c r="C11" s="9">
        <f>Spencer_Bbthtries</f>
        <v>8</v>
      </c>
      <c r="D11" s="2" t="s">
        <v>260</v>
      </c>
      <c r="E11" s="2" t="s">
        <v>120</v>
      </c>
      <c r="F11" s="19">
        <f>Sleightholmenorpts</f>
        <v>75</v>
      </c>
      <c r="G11" s="33" t="s">
        <v>418</v>
      </c>
      <c r="H11" s="30" t="s">
        <v>389</v>
      </c>
      <c r="I11" s="202">
        <f>Hodgsoncharliegoals</f>
        <v>25</v>
      </c>
      <c r="J11" s="202">
        <f>hodgsoncharlieatt</f>
        <v>34</v>
      </c>
      <c r="K11" s="31">
        <f t="shared" si="0"/>
        <v>73.529411764705884</v>
      </c>
      <c r="L11" s="62" t="s">
        <v>218</v>
      </c>
      <c r="M11" s="62" t="s">
        <v>118</v>
      </c>
      <c r="N11" s="9">
        <v>7</v>
      </c>
      <c r="O11" s="2" t="s">
        <v>260</v>
      </c>
      <c r="P11" s="2" t="s">
        <v>120</v>
      </c>
      <c r="Q11" s="19">
        <f>Sleightholmenorpts</f>
        <v>75</v>
      </c>
      <c r="S11" s="4"/>
    </row>
    <row r="12" spans="1:22" ht="14.95" customHeight="1" thickBot="1" x14ac:dyDescent="0.3">
      <c r="A12" s="62" t="s">
        <v>173</v>
      </c>
      <c r="B12" s="62" t="s">
        <v>119</v>
      </c>
      <c r="C12" s="9">
        <f>Cokanasigabthtries</f>
        <v>7</v>
      </c>
      <c r="D12" s="2" t="s">
        <v>418</v>
      </c>
      <c r="E12" s="2" t="s">
        <v>389</v>
      </c>
      <c r="F12" s="19">
        <f>Connonnewptscorrectthisone</f>
        <v>68</v>
      </c>
      <c r="G12" s="30" t="s">
        <v>920</v>
      </c>
      <c r="H12" s="30" t="s">
        <v>119</v>
      </c>
      <c r="I12" s="200">
        <f>Searlebthgls</f>
        <v>64</v>
      </c>
      <c r="J12" s="202">
        <f>searlebthatt</f>
        <v>88</v>
      </c>
      <c r="K12" s="31">
        <f t="shared" si="0"/>
        <v>72.727272727272734</v>
      </c>
      <c r="L12" s="62" t="s">
        <v>1024</v>
      </c>
      <c r="M12" s="62" t="s">
        <v>537</v>
      </c>
      <c r="N12" s="9">
        <v>7</v>
      </c>
      <c r="O12" s="529" t="s">
        <v>237</v>
      </c>
      <c r="P12" s="515"/>
      <c r="Q12" s="515"/>
      <c r="S12" s="4"/>
    </row>
    <row r="13" spans="1:22" ht="14.95" customHeight="1" thickBot="1" x14ac:dyDescent="0.3">
      <c r="A13" s="62" t="s">
        <v>1049</v>
      </c>
      <c r="B13" s="62" t="s">
        <v>120</v>
      </c>
      <c r="C13" s="9">
        <f>LangdonNORtries</f>
        <v>7</v>
      </c>
      <c r="D13" s="2" t="s">
        <v>253</v>
      </c>
      <c r="E13" s="2" t="s">
        <v>118</v>
      </c>
      <c r="F13" s="19">
        <f>du_Preez_Rsalpts</f>
        <v>63</v>
      </c>
      <c r="G13" s="30" t="s">
        <v>599</v>
      </c>
      <c r="H13" s="30" t="s">
        <v>117</v>
      </c>
      <c r="I13" s="200">
        <f>Hastingsglogls</f>
        <v>8</v>
      </c>
      <c r="J13" s="202">
        <f>hastingsgloatt</f>
        <v>11</v>
      </c>
      <c r="K13" s="31">
        <f t="shared" si="0"/>
        <v>72.727272727272734</v>
      </c>
      <c r="L13" s="62" t="s">
        <v>285</v>
      </c>
      <c r="M13" s="62" t="s">
        <v>132</v>
      </c>
      <c r="N13" s="9">
        <v>7</v>
      </c>
      <c r="O13" s="277" t="s">
        <v>30</v>
      </c>
      <c r="S13" s="4"/>
    </row>
    <row r="14" spans="1:22" ht="14.95" customHeight="1" thickBot="1" x14ac:dyDescent="0.3">
      <c r="A14" s="62" t="s">
        <v>208</v>
      </c>
      <c r="B14" s="62" t="s">
        <v>120</v>
      </c>
      <c r="C14" s="9">
        <f>Mitchellnortries</f>
        <v>7</v>
      </c>
      <c r="D14" s="2" t="s">
        <v>160</v>
      </c>
      <c r="E14" s="2" t="s">
        <v>119</v>
      </c>
      <c r="F14" s="19">
        <f>Spencer_Bbthpts</f>
        <v>57</v>
      </c>
      <c r="G14" s="30" t="s">
        <v>220</v>
      </c>
      <c r="H14" s="30" t="s">
        <v>138</v>
      </c>
      <c r="I14" s="200">
        <f>atkinslirgls</f>
        <v>34</v>
      </c>
      <c r="J14" s="202">
        <f>atkinsliratt</f>
        <v>47</v>
      </c>
      <c r="K14" s="31">
        <f t="shared" si="0"/>
        <v>72.340425531914903</v>
      </c>
      <c r="L14" s="62" t="s">
        <v>173</v>
      </c>
      <c r="M14" s="62" t="s">
        <v>119</v>
      </c>
      <c r="N14" s="9">
        <v>7</v>
      </c>
      <c r="S14" s="4"/>
    </row>
    <row r="15" spans="1:22" ht="14.95" customHeight="1" thickBot="1" x14ac:dyDescent="0.3">
      <c r="A15" s="62">
        <v>1</v>
      </c>
      <c r="B15" s="62" t="s">
        <v>537</v>
      </c>
      <c r="C15" s="9">
        <f>PartonSARtries</f>
        <v>7</v>
      </c>
      <c r="D15" s="2" t="s">
        <v>460</v>
      </c>
      <c r="E15" s="2" t="s">
        <v>117</v>
      </c>
      <c r="F15" s="19">
        <f>Carrerasglopts</f>
        <v>56</v>
      </c>
      <c r="G15" s="33" t="s">
        <v>550</v>
      </c>
      <c r="H15" s="50" t="s">
        <v>537</v>
      </c>
      <c r="I15" s="202">
        <f>lozowskisarglscorrect</f>
        <v>13</v>
      </c>
      <c r="J15" s="202">
        <f>lozowksisarattcorrect</f>
        <v>18</v>
      </c>
      <c r="K15" s="245">
        <f t="shared" si="0"/>
        <v>72.222222222222214</v>
      </c>
      <c r="L15" s="62" t="s">
        <v>942</v>
      </c>
      <c r="M15" s="62" t="s">
        <v>119</v>
      </c>
      <c r="N15" s="9">
        <v>7</v>
      </c>
      <c r="S15" s="4"/>
    </row>
    <row r="16" spans="1:22" ht="14.95" customHeight="1" thickBot="1" x14ac:dyDescent="0.3">
      <c r="A16" s="62" t="s">
        <v>218</v>
      </c>
      <c r="B16" s="62" t="s">
        <v>118</v>
      </c>
      <c r="C16" s="9">
        <f>Readsaltries</f>
        <v>7</v>
      </c>
      <c r="D16" s="2" t="s">
        <v>915</v>
      </c>
      <c r="E16" s="2" t="s">
        <v>133</v>
      </c>
      <c r="F16" s="19">
        <f>ShillcockLEIpts</f>
        <v>53</v>
      </c>
      <c r="G16" s="30" t="s">
        <v>915</v>
      </c>
      <c r="H16" s="30" t="s">
        <v>133</v>
      </c>
      <c r="I16" s="200">
        <f>Shillcockleicgls</f>
        <v>17</v>
      </c>
      <c r="J16" s="202">
        <f>shillcockleicatt</f>
        <v>24</v>
      </c>
      <c r="K16" s="31">
        <f t="shared" si="0"/>
        <v>70.833333333333343</v>
      </c>
      <c r="L16" s="62" t="s">
        <v>1037</v>
      </c>
      <c r="M16" s="62" t="s">
        <v>120</v>
      </c>
      <c r="N16" s="9">
        <v>7</v>
      </c>
    </row>
    <row r="17" spans="1:21" ht="14.95" customHeight="1" thickBot="1" x14ac:dyDescent="0.3">
      <c r="A17" s="62" t="s">
        <v>75</v>
      </c>
      <c r="B17" s="62" t="s">
        <v>138</v>
      </c>
      <c r="C17" s="9">
        <f>Poreckilirtries</f>
        <v>7</v>
      </c>
      <c r="D17" s="2" t="s">
        <v>184</v>
      </c>
      <c r="E17" s="2" t="s">
        <v>120</v>
      </c>
      <c r="F17" s="18">
        <f>Furbanknorptscorrect</f>
        <v>51</v>
      </c>
      <c r="G17" s="33" t="s">
        <v>544</v>
      </c>
      <c r="H17" s="50" t="s">
        <v>537</v>
      </c>
      <c r="I17" s="202">
        <f>farrellsarglscorrect</f>
        <v>41</v>
      </c>
      <c r="J17" s="202">
        <f>farrellsarattcorrect</f>
        <v>58</v>
      </c>
      <c r="K17" s="245">
        <f t="shared" si="0"/>
        <v>70.689655172413794</v>
      </c>
      <c r="L17" s="8" t="s">
        <v>75</v>
      </c>
      <c r="M17" s="8" t="s">
        <v>138</v>
      </c>
      <c r="N17" s="9">
        <v>7</v>
      </c>
    </row>
    <row r="18" spans="1:21" ht="14.95" customHeight="1" thickBot="1" x14ac:dyDescent="0.3">
      <c r="A18" s="62" t="s">
        <v>604</v>
      </c>
      <c r="B18" s="62" t="s">
        <v>132</v>
      </c>
      <c r="C18" s="9">
        <f>Tuimaexetries</f>
        <v>7</v>
      </c>
      <c r="D18" s="2" t="s">
        <v>817</v>
      </c>
      <c r="E18" s="2" t="s">
        <v>132</v>
      </c>
      <c r="F18" s="19">
        <f>Feyi_Wabosoexepts</f>
        <v>50</v>
      </c>
      <c r="G18" s="30" t="s">
        <v>184</v>
      </c>
      <c r="H18" s="30" t="s">
        <v>120</v>
      </c>
      <c r="I18" s="200">
        <f>furbanknorgls</f>
        <v>14</v>
      </c>
      <c r="J18" s="202">
        <f>furbanknoratt</f>
        <v>20</v>
      </c>
      <c r="K18" s="31">
        <f t="shared" si="0"/>
        <v>70</v>
      </c>
      <c r="L18" s="8" t="s">
        <v>363</v>
      </c>
      <c r="M18" s="8" t="s">
        <v>119</v>
      </c>
      <c r="N18" s="9">
        <v>7</v>
      </c>
    </row>
    <row r="19" spans="1:21" ht="14.95" customHeight="1" thickBot="1" x14ac:dyDescent="0.3">
      <c r="A19" s="62" t="s">
        <v>285</v>
      </c>
      <c r="B19" s="62" t="s">
        <v>132</v>
      </c>
      <c r="C19" s="9">
        <f>van_der_Sluysexetries</f>
        <v>7</v>
      </c>
      <c r="D19" s="2" t="s">
        <v>549</v>
      </c>
      <c r="E19" s="2" t="s">
        <v>537</v>
      </c>
      <c r="F19" s="19">
        <f>Lewingtonsarptscorrect</f>
        <v>50</v>
      </c>
      <c r="G19" s="30" t="s">
        <v>941</v>
      </c>
      <c r="H19" s="30" t="s">
        <v>389</v>
      </c>
      <c r="I19" s="200">
        <f>Jenningsnewgls</f>
        <v>7</v>
      </c>
      <c r="J19" s="202">
        <f>Jenningsnewatt</f>
        <v>10</v>
      </c>
      <c r="K19" s="31">
        <f t="shared" si="0"/>
        <v>70</v>
      </c>
      <c r="L19" s="529" t="s">
        <v>237</v>
      </c>
      <c r="M19" s="515"/>
      <c r="N19" s="515"/>
    </row>
    <row r="20" spans="1:21" ht="14.95" customHeight="1" thickBot="1" x14ac:dyDescent="0.3">
      <c r="A20" s="62" t="s">
        <v>917</v>
      </c>
      <c r="B20" s="62" t="s">
        <v>119</v>
      </c>
      <c r="C20" s="9">
        <f>Barbearybthtries</f>
        <v>6</v>
      </c>
      <c r="D20" s="17" t="s">
        <v>289</v>
      </c>
      <c r="E20" s="17" t="s">
        <v>118</v>
      </c>
      <c r="F20" s="20">
        <f>Roebucksalpts</f>
        <v>50</v>
      </c>
      <c r="G20" s="33" t="s">
        <v>512</v>
      </c>
      <c r="H20" s="50" t="s">
        <v>537</v>
      </c>
      <c r="I20" s="202">
        <f>vunipolasarglscorrect</f>
        <v>7</v>
      </c>
      <c r="J20" s="202">
        <f>vunipolasarattcorrect</f>
        <v>10</v>
      </c>
      <c r="K20" s="245">
        <f t="shared" si="0"/>
        <v>70</v>
      </c>
    </row>
    <row r="21" spans="1:21" ht="14.95" customHeight="1" thickBot="1" x14ac:dyDescent="0.3">
      <c r="A21" s="12" t="s">
        <v>391</v>
      </c>
      <c r="B21" s="12" t="s">
        <v>389</v>
      </c>
      <c r="C21" s="6">
        <f>Barrittbradtries</f>
        <v>6</v>
      </c>
      <c r="D21" s="2" t="s">
        <v>292</v>
      </c>
      <c r="E21" s="2" t="s">
        <v>138</v>
      </c>
      <c r="F21" s="19">
        <f>Williamsbripts</f>
        <v>50</v>
      </c>
      <c r="G21" s="30" t="s">
        <v>840</v>
      </c>
      <c r="H21" s="30" t="s">
        <v>118</v>
      </c>
      <c r="I21" s="200">
        <f>fordsalgls</f>
        <v>43</v>
      </c>
      <c r="J21" s="202">
        <f>fordsalatt</f>
        <v>62</v>
      </c>
      <c r="K21" s="31">
        <f t="shared" si="0"/>
        <v>69.354838709677423</v>
      </c>
      <c r="U21" t="s">
        <v>30</v>
      </c>
    </row>
    <row r="22" spans="1:21" ht="14.95" customHeight="1" thickBot="1" x14ac:dyDescent="0.3">
      <c r="A22" s="62" t="s">
        <v>947</v>
      </c>
      <c r="B22" s="62" t="s">
        <v>537</v>
      </c>
      <c r="C22" s="9">
        <f>Gonzalezsartries</f>
        <v>6</v>
      </c>
      <c r="D22" s="2" t="s">
        <v>281</v>
      </c>
      <c r="E22" s="2" t="s">
        <v>117</v>
      </c>
      <c r="F22" s="19">
        <f>Bartonglopts</f>
        <v>49</v>
      </c>
      <c r="G22" s="30" t="s">
        <v>280</v>
      </c>
      <c r="H22" s="30" t="s">
        <v>117</v>
      </c>
      <c r="I22" s="200">
        <f>Bartonglogls</f>
        <v>20</v>
      </c>
      <c r="J22" s="202">
        <f>Bartongloatt</f>
        <v>29</v>
      </c>
      <c r="K22" s="31">
        <f t="shared" si="0"/>
        <v>68.965517241379317</v>
      </c>
    </row>
    <row r="23" spans="1:21" ht="14.95" customHeight="1" thickBot="1" x14ac:dyDescent="0.3">
      <c r="A23" s="62" t="s">
        <v>453</v>
      </c>
      <c r="B23" s="62" t="s">
        <v>131</v>
      </c>
      <c r="C23" s="9">
        <f>Lynaghhartries</f>
        <v>6</v>
      </c>
      <c r="D23" s="2" t="s">
        <v>921</v>
      </c>
      <c r="E23" s="2" t="s">
        <v>131</v>
      </c>
      <c r="F23" s="19">
        <f>Evans_Jharptscorrect</f>
        <v>47</v>
      </c>
      <c r="G23" s="33" t="s">
        <v>236</v>
      </c>
      <c r="H23" s="30" t="s">
        <v>131</v>
      </c>
      <c r="I23" s="202">
        <f>Smithhargls</f>
        <v>34</v>
      </c>
      <c r="J23" s="202">
        <f>smithharatt</f>
        <v>52</v>
      </c>
      <c r="K23" s="31">
        <f t="shared" si="0"/>
        <v>65.384615384615387</v>
      </c>
    </row>
    <row r="24" spans="1:21" ht="14.95" customHeight="1" thickBot="1" x14ac:dyDescent="0.3">
      <c r="A24" s="62" t="s">
        <v>480</v>
      </c>
      <c r="B24" s="62" t="s">
        <v>138</v>
      </c>
      <c r="C24" s="9">
        <f>Batleybritriescorrect</f>
        <v>5</v>
      </c>
      <c r="D24" s="2" t="s">
        <v>708</v>
      </c>
      <c r="E24" s="2" t="s">
        <v>138</v>
      </c>
      <c r="F24" s="19">
        <f>Bradburybripts</f>
        <v>40</v>
      </c>
      <c r="G24" s="30" t="s">
        <v>160</v>
      </c>
      <c r="H24" s="30" t="s">
        <v>119</v>
      </c>
      <c r="I24" s="200">
        <f>spcncerbthgls</f>
        <v>8</v>
      </c>
      <c r="J24" s="202">
        <f>spencerbthatt</f>
        <v>13</v>
      </c>
      <c r="K24" s="31">
        <f t="shared" si="0"/>
        <v>61.53846153846154</v>
      </c>
    </row>
    <row r="25" spans="1:21" ht="14.95" customHeight="1" thickBot="1" x14ac:dyDescent="0.3">
      <c r="A25" s="62" t="s">
        <v>170</v>
      </c>
      <c r="B25" s="62" t="s">
        <v>133</v>
      </c>
      <c r="C25" s="9">
        <f>brownleitries</f>
        <v>5</v>
      </c>
      <c r="D25" s="2" t="s">
        <v>177</v>
      </c>
      <c r="E25" s="2" t="s">
        <v>131</v>
      </c>
      <c r="F25" s="19">
        <f>Dombrandtharpts</f>
        <v>40</v>
      </c>
      <c r="G25" s="33" t="s">
        <v>440</v>
      </c>
      <c r="H25" s="30" t="s">
        <v>979</v>
      </c>
      <c r="I25" s="200">
        <f>atkinsonCglogls</f>
        <v>5</v>
      </c>
      <c r="J25" s="202">
        <f>atkinsonCgloatt</f>
        <v>10</v>
      </c>
      <c r="K25" s="31">
        <f t="shared" si="0"/>
        <v>50</v>
      </c>
    </row>
    <row r="26" spans="1:21" ht="14.95" customHeight="1" thickBot="1" x14ac:dyDescent="0.3">
      <c r="A26" s="12" t="s">
        <v>127</v>
      </c>
      <c r="B26" s="12" t="s">
        <v>118</v>
      </c>
      <c r="C26" s="6">
        <f>Curry_Bsaltries</f>
        <v>5</v>
      </c>
      <c r="D26" s="2" t="s">
        <v>942</v>
      </c>
      <c r="E26" s="2" t="s">
        <v>119</v>
      </c>
      <c r="F26" s="19">
        <f>du_Toitbthpts</f>
        <v>40</v>
      </c>
      <c r="G26" s="30" t="s">
        <v>800</v>
      </c>
      <c r="H26" s="30" t="s">
        <v>389</v>
      </c>
      <c r="I26" s="200">
        <f>spencerbengoals</f>
        <v>6</v>
      </c>
      <c r="J26" s="201">
        <f>spencerbenatt</f>
        <v>6</v>
      </c>
      <c r="K26" s="31">
        <f t="shared" si="0"/>
        <v>100</v>
      </c>
    </row>
    <row r="27" spans="1:21" ht="14.95" customHeight="1" thickBot="1" x14ac:dyDescent="0.3">
      <c r="A27" s="62" t="s">
        <v>836</v>
      </c>
      <c r="B27" s="62" t="s">
        <v>537</v>
      </c>
      <c r="C27" s="9">
        <f>Dansartries</f>
        <v>5</v>
      </c>
      <c r="D27" s="2" t="s">
        <v>926</v>
      </c>
      <c r="E27" s="2" t="s">
        <v>133</v>
      </c>
      <c r="F27" s="18">
        <f>Hassell_CollinsLEIpts</f>
        <v>40</v>
      </c>
      <c r="G27" s="30" t="s">
        <v>1040</v>
      </c>
      <c r="H27" s="30" t="s">
        <v>133</v>
      </c>
      <c r="I27" s="200">
        <f>Wilkinsonleicgls</f>
        <v>2</v>
      </c>
      <c r="J27" s="201">
        <f>wilkinsonleicatt</f>
        <v>2</v>
      </c>
      <c r="K27" s="31">
        <f t="shared" si="0"/>
        <v>100</v>
      </c>
    </row>
    <row r="28" spans="1:21" ht="14.95" customHeight="1" thickBot="1" x14ac:dyDescent="0.3">
      <c r="A28" s="62" t="s">
        <v>268</v>
      </c>
      <c r="B28" s="62" t="s">
        <v>131</v>
      </c>
      <c r="C28" s="9">
        <f>Davidhartries</f>
        <v>5</v>
      </c>
      <c r="D28" s="2" t="s">
        <v>363</v>
      </c>
      <c r="E28" s="2" t="s">
        <v>119</v>
      </c>
      <c r="F28" s="19">
        <f>Muirbthpts</f>
        <v>40</v>
      </c>
      <c r="G28" s="30" t="s">
        <v>474</v>
      </c>
      <c r="H28" s="30" t="s">
        <v>117</v>
      </c>
      <c r="I28" s="200">
        <f>Socinoglogls</f>
        <v>1</v>
      </c>
      <c r="J28" s="201">
        <f>socinogloatt</f>
        <v>1</v>
      </c>
      <c r="K28" s="31">
        <f t="shared" si="0"/>
        <v>100</v>
      </c>
    </row>
    <row r="29" spans="1:21" ht="14.95" customHeight="1" thickBot="1" x14ac:dyDescent="0.3">
      <c r="A29" s="62" t="s">
        <v>332</v>
      </c>
      <c r="B29" s="62" t="s">
        <v>119</v>
      </c>
      <c r="C29" s="9">
        <f>Delmasbthtries</f>
        <v>5</v>
      </c>
      <c r="D29" s="2" t="s">
        <v>173</v>
      </c>
      <c r="E29" s="2" t="s">
        <v>119</v>
      </c>
      <c r="F29" s="19">
        <f>Cokanasigabthpts</f>
        <v>35</v>
      </c>
      <c r="G29" s="230" t="s">
        <v>327</v>
      </c>
      <c r="H29" s="30" t="s">
        <v>117</v>
      </c>
      <c r="I29" s="200">
        <f>Varneyglogls</f>
        <v>1</v>
      </c>
      <c r="J29" s="201">
        <f>varneygloatt</f>
        <v>1</v>
      </c>
      <c r="K29" s="31">
        <f t="shared" si="0"/>
        <v>100</v>
      </c>
    </row>
    <row r="30" spans="1:21" ht="14.95" customHeight="1" thickBot="1" x14ac:dyDescent="0.3">
      <c r="A30" s="62" t="s">
        <v>253</v>
      </c>
      <c r="B30" s="62" t="s">
        <v>118</v>
      </c>
      <c r="C30" s="9">
        <f>du_Preez_Rsaltries</f>
        <v>5</v>
      </c>
      <c r="D30" s="2" t="s">
        <v>905</v>
      </c>
      <c r="E30" s="2" t="s">
        <v>120</v>
      </c>
      <c r="F30" s="19">
        <f>LangdonNORpts</f>
        <v>35</v>
      </c>
      <c r="G30" s="30" t="s">
        <v>1031</v>
      </c>
      <c r="H30" s="30" t="s">
        <v>117</v>
      </c>
      <c r="I30" s="200">
        <f>englefieldglogls</f>
        <v>5</v>
      </c>
      <c r="J30" s="201">
        <f>englefieldgloatt</f>
        <v>6</v>
      </c>
      <c r="K30" s="31">
        <f t="shared" si="0"/>
        <v>83.333333333333343</v>
      </c>
    </row>
    <row r="31" spans="1:21" ht="14.95" customHeight="1" thickBot="1" x14ac:dyDescent="0.3">
      <c r="A31" s="62" t="s">
        <v>471</v>
      </c>
      <c r="B31" s="62" t="s">
        <v>120</v>
      </c>
      <c r="C31" s="9">
        <f>Freemannortries</f>
        <v>5</v>
      </c>
      <c r="D31" s="2" t="s">
        <v>208</v>
      </c>
      <c r="E31" s="2" t="s">
        <v>120</v>
      </c>
      <c r="F31" s="19">
        <f>Mitchellnorpts</f>
        <v>35</v>
      </c>
      <c r="G31" s="30" t="s">
        <v>346</v>
      </c>
      <c r="H31" s="30" t="s">
        <v>132</v>
      </c>
      <c r="I31" s="200">
        <f>Hodgeexegls</f>
        <v>5</v>
      </c>
      <c r="J31" s="201">
        <f>Hodgeexeatt</f>
        <v>6</v>
      </c>
      <c r="K31" s="31">
        <f t="shared" si="0"/>
        <v>83.333333333333343</v>
      </c>
    </row>
    <row r="32" spans="1:21" ht="14.95" customHeight="1" thickBot="1" x14ac:dyDescent="0.3">
      <c r="A32" s="12" t="s">
        <v>469</v>
      </c>
      <c r="B32" s="12" t="s">
        <v>131</v>
      </c>
      <c r="C32" s="6">
        <f>Greenhartries</f>
        <v>5</v>
      </c>
      <c r="D32" s="2" t="s">
        <v>1024</v>
      </c>
      <c r="E32" s="2" t="s">
        <v>537</v>
      </c>
      <c r="F32" s="19">
        <f>PartonSARpts</f>
        <v>35</v>
      </c>
      <c r="G32" s="30" t="s">
        <v>1007</v>
      </c>
      <c r="H32" s="30" t="s">
        <v>138</v>
      </c>
      <c r="I32" s="200">
        <f>LloydBriGls</f>
        <v>2</v>
      </c>
      <c r="J32" s="201">
        <f>LloydBriAtt</f>
        <v>3</v>
      </c>
      <c r="K32" s="31">
        <f t="shared" si="0"/>
        <v>66.666666666666657</v>
      </c>
      <c r="L32" s="45" t="s">
        <v>30</v>
      </c>
    </row>
    <row r="33" spans="1:15" ht="14.95" customHeight="1" thickBot="1" x14ac:dyDescent="0.3">
      <c r="A33" s="62" t="s">
        <v>1047</v>
      </c>
      <c r="B33" s="62" t="s">
        <v>117</v>
      </c>
      <c r="C33" s="9">
        <f>HathawayGLOtries</f>
        <v>5</v>
      </c>
      <c r="D33" s="2" t="s">
        <v>218</v>
      </c>
      <c r="E33" s="2" t="s">
        <v>118</v>
      </c>
      <c r="F33" s="19">
        <f>Readsalpts</f>
        <v>35</v>
      </c>
      <c r="G33" s="30" t="s">
        <v>493</v>
      </c>
      <c r="H33" s="30" t="s">
        <v>131</v>
      </c>
      <c r="I33" s="200">
        <f>edwardshargls</f>
        <v>5</v>
      </c>
      <c r="J33" s="201">
        <f>edwardsharatt</f>
        <v>8</v>
      </c>
      <c r="K33" s="31">
        <f t="shared" si="0"/>
        <v>62.5</v>
      </c>
    </row>
    <row r="34" spans="1:15" ht="14.95" customHeight="1" thickBot="1" x14ac:dyDescent="0.3">
      <c r="A34" s="62" t="s">
        <v>815</v>
      </c>
      <c r="B34" s="62" t="s">
        <v>138</v>
      </c>
      <c r="C34" s="9">
        <f>Hughesbritries</f>
        <v>5</v>
      </c>
      <c r="D34" s="2" t="s">
        <v>75</v>
      </c>
      <c r="E34" s="2" t="s">
        <v>138</v>
      </c>
      <c r="F34" s="20">
        <f>Poreckilirpts</f>
        <v>35</v>
      </c>
      <c r="G34" s="33" t="s">
        <v>478</v>
      </c>
      <c r="H34" s="30" t="s">
        <v>119</v>
      </c>
      <c r="I34" s="200">
        <f>Baileybthgls</f>
        <v>4</v>
      </c>
      <c r="J34" s="201">
        <f>baileybthatt</f>
        <v>8</v>
      </c>
      <c r="K34" s="31">
        <f t="shared" si="0"/>
        <v>50</v>
      </c>
    </row>
    <row r="35" spans="1:15" ht="14.95" customHeight="1" thickBot="1" x14ac:dyDescent="0.3">
      <c r="A35" s="62" t="s">
        <v>669</v>
      </c>
      <c r="B35" s="62" t="s">
        <v>138</v>
      </c>
      <c r="C35" s="9">
        <f>Lanebritries</f>
        <v>5</v>
      </c>
      <c r="D35" s="2" t="s">
        <v>604</v>
      </c>
      <c r="E35" s="2" t="s">
        <v>132</v>
      </c>
      <c r="F35" s="19">
        <f>Tuimaexepts</f>
        <v>35</v>
      </c>
      <c r="G35" s="33" t="s">
        <v>546</v>
      </c>
      <c r="H35" s="50" t="s">
        <v>537</v>
      </c>
      <c r="I35" s="202">
        <f>goodesarglscorrect</f>
        <v>2</v>
      </c>
      <c r="J35" s="201">
        <f>GOODESARATTCORRECT</f>
        <v>4</v>
      </c>
      <c r="K35" s="245">
        <f t="shared" si="0"/>
        <v>50</v>
      </c>
    </row>
    <row r="36" spans="1:15" ht="14.95" customHeight="1" thickBot="1" x14ac:dyDescent="0.3">
      <c r="A36" s="62" t="s">
        <v>949</v>
      </c>
      <c r="B36" s="62" t="s">
        <v>138</v>
      </c>
      <c r="C36" s="49">
        <f>Malinsbritries</f>
        <v>5</v>
      </c>
      <c r="D36" s="2" t="s">
        <v>285</v>
      </c>
      <c r="E36" s="2" t="s">
        <v>132</v>
      </c>
      <c r="F36" s="19">
        <f>van_der_Sluysexepts</f>
        <v>35</v>
      </c>
      <c r="G36" s="30" t="s">
        <v>807</v>
      </c>
      <c r="H36" s="30" t="s">
        <v>119</v>
      </c>
      <c r="I36" s="200">
        <f>Harrisbthgls</f>
        <v>1</v>
      </c>
      <c r="J36" s="201">
        <f>harisbthatt</f>
        <v>2</v>
      </c>
      <c r="K36" s="31">
        <f t="shared" si="0"/>
        <v>50</v>
      </c>
    </row>
    <row r="37" spans="1:15" ht="14.95" customHeight="1" thickBot="1" x14ac:dyDescent="0.3">
      <c r="A37" s="62" t="s">
        <v>401</v>
      </c>
      <c r="B37" s="62" t="s">
        <v>117</v>
      </c>
      <c r="C37" s="6">
        <f>McGuiganglotries</f>
        <v>5</v>
      </c>
      <c r="D37" s="2" t="s">
        <v>541</v>
      </c>
      <c r="E37" s="2" t="s">
        <v>537</v>
      </c>
      <c r="F37" s="19">
        <f>Dalysarptscorrect</f>
        <v>31</v>
      </c>
      <c r="G37" s="30" t="s">
        <v>247</v>
      </c>
      <c r="H37" s="30" t="s">
        <v>132</v>
      </c>
      <c r="I37" s="200">
        <f>Skinnerexegls</f>
        <v>2</v>
      </c>
      <c r="J37" s="201">
        <f>Skinnerexeatt</f>
        <v>8</v>
      </c>
      <c r="K37" s="31">
        <f t="shared" si="0"/>
        <v>25</v>
      </c>
    </row>
    <row r="38" spans="1:15" ht="14.95" customHeight="1" thickBot="1" x14ac:dyDescent="0.3">
      <c r="A38" s="62" t="s">
        <v>320</v>
      </c>
      <c r="B38" s="62" t="s">
        <v>131</v>
      </c>
      <c r="C38" s="9">
        <f>Northmorehartries</f>
        <v>5</v>
      </c>
      <c r="D38" s="2" t="s">
        <v>550</v>
      </c>
      <c r="E38" s="2" t="s">
        <v>537</v>
      </c>
      <c r="F38" s="19">
        <f>Lozowskisarptscorrect</f>
        <v>31</v>
      </c>
      <c r="G38" s="30" t="s">
        <v>723</v>
      </c>
      <c r="H38" s="30" t="s">
        <v>389</v>
      </c>
      <c r="I38" s="200">
        <f>thomasnewgls</f>
        <v>1</v>
      </c>
      <c r="J38" s="201">
        <f>thomasnewatt</f>
        <v>4</v>
      </c>
      <c r="K38" s="31">
        <f t="shared" si="0"/>
        <v>25</v>
      </c>
    </row>
    <row r="39" spans="1:15" ht="14.95" customHeight="1" thickBot="1" x14ac:dyDescent="0.3">
      <c r="A39" s="62" t="s">
        <v>958</v>
      </c>
      <c r="B39" s="62" t="s">
        <v>138</v>
      </c>
      <c r="C39" s="9">
        <f>Oghrebritries</f>
        <v>5</v>
      </c>
      <c r="D39" s="2" t="s">
        <v>917</v>
      </c>
      <c r="E39" s="2" t="s">
        <v>119</v>
      </c>
      <c r="F39" s="19">
        <f>Barbearybthpts</f>
        <v>30</v>
      </c>
      <c r="G39" s="30" t="s">
        <v>192</v>
      </c>
      <c r="H39" s="30" t="s">
        <v>120</v>
      </c>
      <c r="I39" s="200">
        <f>hutchinsonnorgls</f>
        <v>0</v>
      </c>
      <c r="J39" s="201">
        <f>hutchinsonnoratt</f>
        <v>1</v>
      </c>
      <c r="K39" s="31">
        <f t="shared" si="0"/>
        <v>0</v>
      </c>
    </row>
    <row r="40" spans="1:15" ht="14.95" customHeight="1" thickBot="1" x14ac:dyDescent="0.3">
      <c r="A40" s="62" t="s">
        <v>749</v>
      </c>
      <c r="B40" s="62" t="s">
        <v>120</v>
      </c>
      <c r="C40" s="9">
        <f>Ratuniyarawanortries</f>
        <v>5</v>
      </c>
      <c r="D40" s="210" t="s">
        <v>391</v>
      </c>
      <c r="E40" s="210" t="s">
        <v>389</v>
      </c>
      <c r="F40" s="19">
        <f>Barrittbradpts</f>
        <v>30</v>
      </c>
      <c r="G40" s="30" t="s">
        <v>332</v>
      </c>
      <c r="H40" s="30" t="s">
        <v>119</v>
      </c>
      <c r="I40" s="200" t="str">
        <f>de_Glanvillebthgls</f>
        <v>-</v>
      </c>
      <c r="J40" s="201" t="str">
        <f>deglanvillebthatt</f>
        <v>-</v>
      </c>
      <c r="K40" s="31">
        <v>0</v>
      </c>
      <c r="O40" s="45" t="s">
        <v>30</v>
      </c>
    </row>
    <row r="41" spans="1:15" ht="14.95" customHeight="1" thickBot="1" x14ac:dyDescent="0.3">
      <c r="A41" s="10" t="s">
        <v>215</v>
      </c>
      <c r="B41" s="10" t="s">
        <v>138</v>
      </c>
      <c r="C41" s="9">
        <f>Palamobristries</f>
        <v>5</v>
      </c>
      <c r="D41" s="2" t="s">
        <v>947</v>
      </c>
      <c r="E41" s="2" t="s">
        <v>537</v>
      </c>
      <c r="F41" s="19">
        <f>Gonzalezsarpts</f>
        <v>30</v>
      </c>
      <c r="G41" s="30" t="s">
        <v>614</v>
      </c>
      <c r="H41" s="30" t="s">
        <v>119</v>
      </c>
      <c r="I41" s="200" t="str">
        <f>worboysbthgls</f>
        <v>-</v>
      </c>
      <c r="J41" s="201" t="str">
        <f>worboysbthatt</f>
        <v>-</v>
      </c>
      <c r="K41" s="31">
        <v>0</v>
      </c>
    </row>
    <row r="42" spans="1:15" ht="14.95" customHeight="1" thickBot="1" x14ac:dyDescent="0.3">
      <c r="A42" s="62" t="s">
        <v>252</v>
      </c>
      <c r="B42" s="62" t="s">
        <v>133</v>
      </c>
      <c r="C42" s="9">
        <f>Salvijuliantries</f>
        <v>5</v>
      </c>
      <c r="D42" s="2" t="s">
        <v>453</v>
      </c>
      <c r="E42" s="2" t="s">
        <v>131</v>
      </c>
      <c r="F42" s="19">
        <f>Lynaghharpts</f>
        <v>30</v>
      </c>
      <c r="G42" s="230" t="s">
        <v>765</v>
      </c>
      <c r="H42" s="30" t="s">
        <v>120</v>
      </c>
      <c r="I42" s="200" t="str">
        <f>matavesinorgls</f>
        <v>-</v>
      </c>
      <c r="J42" s="201" t="str">
        <f>matavesinoratt</f>
        <v>-</v>
      </c>
      <c r="K42" s="31">
        <v>0</v>
      </c>
    </row>
    <row r="43" spans="1:15" ht="14.95" customHeight="1" thickBot="1" x14ac:dyDescent="0.3">
      <c r="A43" s="62" t="s">
        <v>223</v>
      </c>
      <c r="B43" s="62" t="s">
        <v>132</v>
      </c>
      <c r="C43" s="9">
        <f>Sladeexetries</f>
        <v>5</v>
      </c>
      <c r="D43" s="2" t="s">
        <v>346</v>
      </c>
      <c r="E43" s="2" t="s">
        <v>132</v>
      </c>
      <c r="F43" s="20">
        <f>Hodgeexepts</f>
        <v>27</v>
      </c>
      <c r="G43" s="230" t="s">
        <v>249</v>
      </c>
      <c r="H43" s="30" t="s">
        <v>118</v>
      </c>
      <c r="I43" s="200" t="str">
        <f>bedlowsalglscorrect</f>
        <v>-</v>
      </c>
      <c r="J43" s="201" t="str">
        <f>bedlowsalattcorrect</f>
        <v>-</v>
      </c>
      <c r="K43" s="31">
        <v>0</v>
      </c>
    </row>
    <row r="44" spans="1:15" ht="14.95" customHeight="1" thickBot="1" x14ac:dyDescent="0.3">
      <c r="A44" s="62" t="s">
        <v>225</v>
      </c>
      <c r="B44" s="62" t="s">
        <v>132</v>
      </c>
      <c r="C44" s="9">
        <f>Townsendexetries</f>
        <v>5</v>
      </c>
      <c r="D44" s="17" t="s">
        <v>480</v>
      </c>
      <c r="E44" s="17" t="s">
        <v>138</v>
      </c>
      <c r="F44" s="19">
        <f>Batleybriptscorrect</f>
        <v>25</v>
      </c>
      <c r="G44" s="230" t="s">
        <v>291</v>
      </c>
      <c r="H44" s="30" t="s">
        <v>118</v>
      </c>
      <c r="I44" s="200" t="str">
        <f>redpathsalegls</f>
        <v>-</v>
      </c>
      <c r="J44" s="201" t="str">
        <f>redpathsalatt</f>
        <v>-</v>
      </c>
      <c r="K44" s="31">
        <v>0</v>
      </c>
    </row>
    <row r="45" spans="1:15" ht="14.95" customHeight="1" thickBot="1" x14ac:dyDescent="0.3">
      <c r="A45" s="62" t="s">
        <v>936</v>
      </c>
      <c r="B45" s="62" t="s">
        <v>537</v>
      </c>
      <c r="C45" s="6">
        <f>Wilsonsartries</f>
        <v>5</v>
      </c>
      <c r="D45" s="2" t="s">
        <v>170</v>
      </c>
      <c r="E45" s="2" t="s">
        <v>133</v>
      </c>
      <c r="F45" s="19">
        <f>brownleipts</f>
        <v>25</v>
      </c>
      <c r="G45" s="30" t="s">
        <v>610</v>
      </c>
      <c r="H45" s="30" t="s">
        <v>118</v>
      </c>
      <c r="I45" s="200" t="str">
        <f>WarrSALgls</f>
        <v>-</v>
      </c>
      <c r="J45" s="201" t="str">
        <f>WarrSALatt</f>
        <v>-</v>
      </c>
      <c r="K45" s="31">
        <v>0</v>
      </c>
    </row>
    <row r="46" spans="1:15" ht="14.95" customHeight="1" thickBot="1" x14ac:dyDescent="0.3">
      <c r="A46" s="62" t="s">
        <v>266</v>
      </c>
      <c r="B46" s="62" t="s">
        <v>120</v>
      </c>
      <c r="C46" s="9">
        <f>Colesnortries</f>
        <v>4</v>
      </c>
      <c r="D46" s="210" t="s">
        <v>127</v>
      </c>
      <c r="E46" s="210" t="s">
        <v>118</v>
      </c>
      <c r="F46" s="19">
        <f>Curry_Bsalpts</f>
        <v>25</v>
      </c>
      <c r="G46" s="30" t="s">
        <v>777</v>
      </c>
      <c r="H46" s="30" t="s">
        <v>537</v>
      </c>
      <c r="I46" s="200" t="str">
        <f>elliottsargls</f>
        <v>-</v>
      </c>
      <c r="J46" s="201" t="str">
        <f>elliottsaratt</f>
        <v>-</v>
      </c>
      <c r="K46" s="31">
        <v>0</v>
      </c>
    </row>
    <row r="47" spans="1:15" ht="14.95" customHeight="1" thickBot="1" x14ac:dyDescent="0.3">
      <c r="A47" s="10" t="s">
        <v>972</v>
      </c>
      <c r="B47" s="10" t="s">
        <v>118</v>
      </c>
      <c r="C47" s="9">
        <f>Cowan_Dickiesaltries</f>
        <v>4</v>
      </c>
      <c r="D47" s="2" t="s">
        <v>836</v>
      </c>
      <c r="E47" s="2" t="s">
        <v>537</v>
      </c>
      <c r="F47" s="19">
        <f>Dansarpts</f>
        <v>25</v>
      </c>
      <c r="G47" s="106" t="s">
        <v>935</v>
      </c>
    </row>
    <row r="48" spans="1:15" ht="14.95" customHeight="1" thickBot="1" x14ac:dyDescent="0.3">
      <c r="A48" s="62" t="s">
        <v>462</v>
      </c>
      <c r="B48" s="62" t="s">
        <v>131</v>
      </c>
      <c r="C48" s="9">
        <f>Esterhuizenhartries</f>
        <v>4</v>
      </c>
      <c r="D48" s="2" t="s">
        <v>268</v>
      </c>
      <c r="E48" s="2" t="s">
        <v>131</v>
      </c>
      <c r="F48" s="19">
        <f>Davidharpts</f>
        <v>25</v>
      </c>
    </row>
    <row r="49" spans="1:6" ht="14.95" customHeight="1" thickBot="1" x14ac:dyDescent="0.3">
      <c r="A49" s="62" t="s">
        <v>924</v>
      </c>
      <c r="B49" s="62" t="s">
        <v>132</v>
      </c>
      <c r="C49" s="49">
        <f>FisilauEXEtries</f>
        <v>4</v>
      </c>
      <c r="D49" s="2" t="s">
        <v>332</v>
      </c>
      <c r="E49" s="2" t="s">
        <v>119</v>
      </c>
      <c r="F49" s="19">
        <f>Delmasbthpts</f>
        <v>25</v>
      </c>
    </row>
    <row r="50" spans="1:6" ht="14.95" customHeight="1" thickBot="1" x14ac:dyDescent="0.3">
      <c r="A50" s="62" t="s">
        <v>183</v>
      </c>
      <c r="B50" s="62" t="s">
        <v>117</v>
      </c>
      <c r="C50" s="9">
        <f>Ford_Robinsonglotries</f>
        <v>4</v>
      </c>
      <c r="D50" s="2" t="s">
        <v>471</v>
      </c>
      <c r="E50" s="2" t="s">
        <v>120</v>
      </c>
      <c r="F50" s="19">
        <f>Freemannorpts</f>
        <v>25</v>
      </c>
    </row>
    <row r="51" spans="1:6" ht="14.95" customHeight="1" thickBot="1" x14ac:dyDescent="0.3">
      <c r="A51" s="62" t="s">
        <v>184</v>
      </c>
      <c r="B51" s="62" t="s">
        <v>120</v>
      </c>
      <c r="C51" s="9">
        <f>Furbanknortriescorrect</f>
        <v>4</v>
      </c>
      <c r="D51" s="2" t="s">
        <v>469</v>
      </c>
      <c r="E51" s="2" t="s">
        <v>131</v>
      </c>
      <c r="F51" s="19">
        <f>Greenharpts</f>
        <v>25</v>
      </c>
    </row>
    <row r="52" spans="1:6" ht="14.95" customHeight="1" thickBot="1" x14ac:dyDescent="0.3">
      <c r="A52" s="62" t="s">
        <v>185</v>
      </c>
      <c r="B52" s="62" t="s">
        <v>138</v>
      </c>
      <c r="C52" s="9">
        <f>Frischbritries</f>
        <v>4</v>
      </c>
      <c r="D52" s="2" t="s">
        <v>886</v>
      </c>
      <c r="E52" s="2" t="s">
        <v>117</v>
      </c>
      <c r="F52" s="19">
        <f>HathawayGLOpts</f>
        <v>25</v>
      </c>
    </row>
    <row r="53" spans="1:6" ht="14.95" customHeight="1" thickBot="1" x14ac:dyDescent="0.3">
      <c r="A53" s="62" t="s">
        <v>545</v>
      </c>
      <c r="B53" s="62" t="s">
        <v>537</v>
      </c>
      <c r="C53" s="9">
        <f>Georgesartriescorrect</f>
        <v>4</v>
      </c>
      <c r="D53" s="2" t="s">
        <v>815</v>
      </c>
      <c r="E53" s="2" t="s">
        <v>138</v>
      </c>
      <c r="F53" s="19">
        <f>Hughesbripts</f>
        <v>25</v>
      </c>
    </row>
    <row r="54" spans="1:6" ht="14.95" customHeight="1" thickBot="1" x14ac:dyDescent="0.3">
      <c r="A54" s="10" t="s">
        <v>653</v>
      </c>
      <c r="B54" s="10" t="s">
        <v>131</v>
      </c>
      <c r="C54" s="9">
        <f>Herronhartries</f>
        <v>4</v>
      </c>
      <c r="D54" s="2" t="s">
        <v>669</v>
      </c>
      <c r="E54" s="2" t="s">
        <v>138</v>
      </c>
      <c r="F54" s="19">
        <f>Lanebripts</f>
        <v>25</v>
      </c>
    </row>
    <row r="55" spans="1:6" ht="14.95" customHeight="1" thickBot="1" x14ac:dyDescent="0.3">
      <c r="A55" s="62" t="s">
        <v>316</v>
      </c>
      <c r="B55" s="62" t="s">
        <v>117</v>
      </c>
      <c r="C55" s="9">
        <f>Harrisglotries</f>
        <v>4</v>
      </c>
      <c r="D55" s="17" t="s">
        <v>949</v>
      </c>
      <c r="E55" s="17" t="s">
        <v>138</v>
      </c>
      <c r="F55" s="19">
        <f>Malinsbripts</f>
        <v>25</v>
      </c>
    </row>
    <row r="56" spans="1:6" ht="14.95" customHeight="1" thickBot="1" x14ac:dyDescent="0.3">
      <c r="A56" s="62" t="s">
        <v>566</v>
      </c>
      <c r="B56" s="62" t="s">
        <v>132</v>
      </c>
      <c r="C56" s="9">
        <f>Iosefa_Scottexetries</f>
        <v>4</v>
      </c>
      <c r="D56" s="2" t="s">
        <v>401</v>
      </c>
      <c r="E56" s="2" t="s">
        <v>117</v>
      </c>
      <c r="F56" s="19">
        <f>McGuiganglopts</f>
        <v>25</v>
      </c>
    </row>
    <row r="57" spans="1:6" ht="14.95" customHeight="1" thickBot="1" x14ac:dyDescent="0.3">
      <c r="A57" s="62" t="s">
        <v>371</v>
      </c>
      <c r="B57" s="62" t="s">
        <v>138</v>
      </c>
      <c r="C57" s="9">
        <f>Lloydlirtries</f>
        <v>4</v>
      </c>
      <c r="D57" s="2" t="s">
        <v>320</v>
      </c>
      <c r="E57" s="2" t="s">
        <v>131</v>
      </c>
      <c r="F57" s="19">
        <f>Northmoreharpts</f>
        <v>25</v>
      </c>
    </row>
    <row r="58" spans="1:6" ht="14.95" customHeight="1" thickBot="1" x14ac:dyDescent="0.3">
      <c r="A58" s="62" t="s">
        <v>196</v>
      </c>
      <c r="B58" s="62" t="s">
        <v>131</v>
      </c>
      <c r="C58" s="9">
        <f>Jonesadamhartries</f>
        <v>4</v>
      </c>
      <c r="D58" s="2" t="s">
        <v>958</v>
      </c>
      <c r="E58" s="2" t="s">
        <v>138</v>
      </c>
      <c r="F58" s="19">
        <f>Oghrebripts</f>
        <v>25</v>
      </c>
    </row>
    <row r="59" spans="1:6" ht="14.95" customHeight="1" thickBot="1" x14ac:dyDescent="0.3">
      <c r="A59" s="62" t="s">
        <v>199</v>
      </c>
      <c r="B59" s="62" t="s">
        <v>119</v>
      </c>
      <c r="C59" s="9">
        <f>Lawrencebthtries</f>
        <v>4</v>
      </c>
      <c r="D59" s="2" t="s">
        <v>749</v>
      </c>
      <c r="E59" s="2" t="s">
        <v>120</v>
      </c>
      <c r="F59" s="19">
        <f>Ratuniyarawanorpts</f>
        <v>25</v>
      </c>
    </row>
    <row r="60" spans="1:6" ht="14.95" customHeight="1" thickBot="1" x14ac:dyDescent="0.3">
      <c r="A60" s="10" t="s">
        <v>340</v>
      </c>
      <c r="B60" s="10" t="s">
        <v>951</v>
      </c>
      <c r="C60" s="9">
        <f>Liebenbergleictries</f>
        <v>4</v>
      </c>
      <c r="D60" s="17" t="s">
        <v>215</v>
      </c>
      <c r="E60" s="17" t="s">
        <v>138</v>
      </c>
      <c r="F60" s="19">
        <f>Randallbripts</f>
        <v>25</v>
      </c>
    </row>
    <row r="61" spans="1:6" ht="14.95" customHeight="1" thickBot="1" x14ac:dyDescent="0.3">
      <c r="A61" s="62" t="s">
        <v>454</v>
      </c>
      <c r="B61" s="62" t="s">
        <v>120</v>
      </c>
      <c r="C61" s="9">
        <f>Matthewsnortries</f>
        <v>4</v>
      </c>
      <c r="D61" s="2" t="s">
        <v>252</v>
      </c>
      <c r="E61" s="2" t="s">
        <v>133</v>
      </c>
      <c r="F61" s="19">
        <f>Salvijulianpts</f>
        <v>25</v>
      </c>
    </row>
    <row r="62" spans="1:6" ht="14.95" customHeight="1" thickBot="1" x14ac:dyDescent="0.3">
      <c r="A62" s="10" t="s">
        <v>419</v>
      </c>
      <c r="B62" s="10" t="s">
        <v>389</v>
      </c>
      <c r="C62" s="9">
        <f>Radwannewtriescorrect</f>
        <v>4</v>
      </c>
      <c r="D62" s="2" t="s">
        <v>225</v>
      </c>
      <c r="E62" s="2" t="s">
        <v>132</v>
      </c>
      <c r="F62" s="19">
        <f>Townsendexepts</f>
        <v>25</v>
      </c>
    </row>
    <row r="63" spans="1:6" ht="14.95" customHeight="1" thickBot="1" x14ac:dyDescent="0.3">
      <c r="A63" s="62" t="s">
        <v>934</v>
      </c>
      <c r="B63" s="62" t="s">
        <v>138</v>
      </c>
      <c r="C63" s="9">
        <f>Whiteleybritries</f>
        <v>4</v>
      </c>
      <c r="D63" s="276" t="s">
        <v>936</v>
      </c>
      <c r="E63" s="276" t="s">
        <v>537</v>
      </c>
      <c r="F63" s="18">
        <f>Wilsonsarpts</f>
        <v>25</v>
      </c>
    </row>
    <row r="64" spans="1:6" ht="14.95" customHeight="1" thickBot="1" x14ac:dyDescent="0.3">
      <c r="A64" s="12" t="s">
        <v>667</v>
      </c>
      <c r="B64" s="12" t="s">
        <v>131</v>
      </c>
      <c r="C64" s="6">
        <f>Walkerhartries</f>
        <v>4</v>
      </c>
      <c r="D64" s="2" t="s">
        <v>599</v>
      </c>
      <c r="E64" s="2" t="s">
        <v>117</v>
      </c>
      <c r="F64" s="19">
        <f>Hudsonglopts</f>
        <v>23</v>
      </c>
    </row>
    <row r="65" spans="1:6" ht="14.95" customHeight="1" thickBot="1" x14ac:dyDescent="0.3">
      <c r="A65" s="62" t="s">
        <v>458</v>
      </c>
      <c r="B65" s="62" t="s">
        <v>133</v>
      </c>
      <c r="C65" s="6">
        <f>Wieseleictries</f>
        <v>4</v>
      </c>
      <c r="D65" s="2" t="s">
        <v>121</v>
      </c>
      <c r="E65" s="2" t="s">
        <v>120</v>
      </c>
      <c r="F65" s="19">
        <f>Penalty_Triessaintspts</f>
        <v>21</v>
      </c>
    </row>
    <row r="66" spans="1:6" ht="14.95" customHeight="1" thickBot="1" x14ac:dyDescent="0.3">
      <c r="A66" s="10" t="s">
        <v>685</v>
      </c>
      <c r="B66" s="10" t="s">
        <v>118</v>
      </c>
      <c r="C66" s="9">
        <f>Carpentersaltries</f>
        <v>3</v>
      </c>
      <c r="D66" s="2" t="s">
        <v>512</v>
      </c>
      <c r="E66" s="2" t="s">
        <v>537</v>
      </c>
      <c r="F66" s="19">
        <f>Vunipola__Manusarptscorrect</f>
        <v>21</v>
      </c>
    </row>
    <row r="67" spans="1:6" ht="14.95" customHeight="1" thickBot="1" x14ac:dyDescent="0.3">
      <c r="A67" s="62" t="s">
        <v>460</v>
      </c>
      <c r="B67" s="62" t="s">
        <v>117</v>
      </c>
      <c r="C67" s="9">
        <f>Carrerasglotries</f>
        <v>3</v>
      </c>
      <c r="D67" s="2" t="s">
        <v>440</v>
      </c>
      <c r="E67" s="2" t="s">
        <v>1010</v>
      </c>
      <c r="F67" s="19">
        <f>Batemanleipts+Atkinson_Cglopts</f>
        <v>20</v>
      </c>
    </row>
    <row r="68" spans="1:6" ht="14.95" customHeight="1" thickBot="1" x14ac:dyDescent="0.3">
      <c r="A68" s="62" t="s">
        <v>539</v>
      </c>
      <c r="B68" s="62" t="s">
        <v>537</v>
      </c>
      <c r="C68" s="9">
        <f>Christiesartriescorrect</f>
        <v>3</v>
      </c>
      <c r="D68" s="2" t="s">
        <v>266</v>
      </c>
      <c r="E68" s="2" t="s">
        <v>120</v>
      </c>
      <c r="F68" s="19">
        <f>Colesnorpts</f>
        <v>20</v>
      </c>
    </row>
    <row r="69" spans="1:6" ht="14.95" customHeight="1" thickBot="1" x14ac:dyDescent="0.3">
      <c r="A69" s="62" t="s">
        <v>968</v>
      </c>
      <c r="B69" s="62" t="s">
        <v>537</v>
      </c>
      <c r="C69" s="9">
        <f>Cintisartries</f>
        <v>3</v>
      </c>
      <c r="D69" s="17" t="s">
        <v>972</v>
      </c>
      <c r="E69" s="17" t="s">
        <v>118</v>
      </c>
      <c r="F69" s="19">
        <f>Cowan_Dickiesalpts</f>
        <v>20</v>
      </c>
    </row>
    <row r="70" spans="1:6" ht="14.95" customHeight="1" thickBot="1" x14ac:dyDescent="0.3">
      <c r="A70" s="62" t="s">
        <v>938</v>
      </c>
      <c r="B70" s="62" t="s">
        <v>118</v>
      </c>
      <c r="C70" s="9">
        <f>Cliffwillsaltries</f>
        <v>3</v>
      </c>
      <c r="D70" s="2" t="s">
        <v>462</v>
      </c>
      <c r="E70" s="2" t="s">
        <v>131</v>
      </c>
      <c r="F70" s="19">
        <f>Esterhuizenharpts</f>
        <v>20</v>
      </c>
    </row>
    <row r="71" spans="1:6" ht="14.95" customHeight="1" thickBot="1" x14ac:dyDescent="0.3">
      <c r="A71" s="10" t="s">
        <v>178</v>
      </c>
      <c r="B71" s="10" t="s">
        <v>119</v>
      </c>
      <c r="C71" s="9">
        <f>Dunnbattries</f>
        <v>3</v>
      </c>
      <c r="D71" s="2" t="s">
        <v>924</v>
      </c>
      <c r="E71" s="2" t="s">
        <v>132</v>
      </c>
      <c r="F71" s="19">
        <f>FisilauEXEpts</f>
        <v>20</v>
      </c>
    </row>
    <row r="72" spans="1:6" ht="14.95" customHeight="1" thickBot="1" x14ac:dyDescent="0.3">
      <c r="A72" s="62" t="s">
        <v>451</v>
      </c>
      <c r="B72" s="62" t="s">
        <v>131</v>
      </c>
      <c r="C72" s="9">
        <f>Evanshartries</f>
        <v>3</v>
      </c>
      <c r="D72" s="2" t="s">
        <v>183</v>
      </c>
      <c r="E72" s="2" t="s">
        <v>117</v>
      </c>
      <c r="F72" s="19">
        <f>Ford_Robinsonglopts</f>
        <v>20</v>
      </c>
    </row>
    <row r="73" spans="1:6" ht="14.95" customHeight="1" thickBot="1" x14ac:dyDescent="0.3">
      <c r="A73" s="62" t="s">
        <v>607</v>
      </c>
      <c r="B73" s="62" t="s">
        <v>132</v>
      </c>
      <c r="C73" s="9">
        <f>Frostexetries</f>
        <v>3</v>
      </c>
      <c r="D73" s="2" t="s">
        <v>185</v>
      </c>
      <c r="E73" s="2" t="s">
        <v>138</v>
      </c>
      <c r="F73" s="19">
        <f>Frischbripts</f>
        <v>20</v>
      </c>
    </row>
    <row r="74" spans="1:6" ht="14.95" customHeight="1" thickBot="1" x14ac:dyDescent="0.3">
      <c r="A74" s="62" t="s">
        <v>483</v>
      </c>
      <c r="B74" s="62" t="s">
        <v>138</v>
      </c>
      <c r="C74" s="9">
        <f>Hardingbritries</f>
        <v>3</v>
      </c>
      <c r="D74" s="2" t="s">
        <v>545</v>
      </c>
      <c r="E74" s="2" t="s">
        <v>537</v>
      </c>
      <c r="F74" s="19">
        <f>Georgesarptscorrect</f>
        <v>20</v>
      </c>
    </row>
    <row r="75" spans="1:6" ht="14.95" customHeight="1" thickBot="1" x14ac:dyDescent="0.3">
      <c r="A75" s="62" t="s">
        <v>761</v>
      </c>
      <c r="B75" s="62" t="s">
        <v>537</v>
      </c>
      <c r="C75" s="9">
        <f>Hartleysartries</f>
        <v>3</v>
      </c>
      <c r="D75" s="17" t="s">
        <v>653</v>
      </c>
      <c r="E75" s="17" t="s">
        <v>131</v>
      </c>
      <c r="F75" s="19">
        <f>Herronharpts</f>
        <v>20</v>
      </c>
    </row>
    <row r="76" spans="1:6" ht="14.95" customHeight="1" thickBot="1" x14ac:dyDescent="0.3">
      <c r="A76" s="62" t="s">
        <v>837</v>
      </c>
      <c r="B76" s="62" t="s">
        <v>138</v>
      </c>
      <c r="C76" s="9">
        <f>Hewardbritries</f>
        <v>3</v>
      </c>
      <c r="D76" s="2" t="s">
        <v>316</v>
      </c>
      <c r="E76" s="2" t="s">
        <v>117</v>
      </c>
      <c r="F76" s="19">
        <f>Harrisglopts</f>
        <v>20</v>
      </c>
    </row>
    <row r="77" spans="1:6" ht="14.95" customHeight="1" thickBot="1" x14ac:dyDescent="0.3">
      <c r="A77" s="62" t="s">
        <v>346</v>
      </c>
      <c r="B77" s="62" t="s">
        <v>132</v>
      </c>
      <c r="C77" s="9">
        <f>Hodgeexetries</f>
        <v>3</v>
      </c>
      <c r="D77" s="2" t="s">
        <v>566</v>
      </c>
      <c r="E77" s="2" t="s">
        <v>132</v>
      </c>
      <c r="F77" s="19">
        <f>Iosefa_Scottexepts</f>
        <v>20</v>
      </c>
    </row>
    <row r="78" spans="1:6" ht="14.95" customHeight="1" thickBot="1" x14ac:dyDescent="0.3">
      <c r="A78" s="62" t="s">
        <v>548</v>
      </c>
      <c r="B78" s="62" t="s">
        <v>537</v>
      </c>
      <c r="C78" s="9">
        <f>Itojesartriescorrect</f>
        <v>3</v>
      </c>
      <c r="D78" s="2" t="s">
        <v>371</v>
      </c>
      <c r="E78" s="2" t="s">
        <v>138</v>
      </c>
      <c r="F78" s="18">
        <f>Lloydlirpts</f>
        <v>20</v>
      </c>
    </row>
    <row r="79" spans="1:6" ht="14.95" customHeight="1" thickBot="1" x14ac:dyDescent="0.3">
      <c r="A79" s="62" t="s">
        <v>129</v>
      </c>
      <c r="B79" s="62" t="s">
        <v>118</v>
      </c>
      <c r="C79" s="9">
        <f>Jamessaltries</f>
        <v>3</v>
      </c>
      <c r="D79" s="2" t="s">
        <v>196</v>
      </c>
      <c r="E79" s="2" t="s">
        <v>131</v>
      </c>
      <c r="F79" s="19">
        <f>Jonesadamharpts</f>
        <v>20</v>
      </c>
    </row>
    <row r="80" spans="1:6" ht="14.95" customHeight="1" thickBot="1" x14ac:dyDescent="0.3">
      <c r="A80" s="62" t="s">
        <v>442</v>
      </c>
      <c r="B80" s="62" t="s">
        <v>120</v>
      </c>
      <c r="C80" s="9">
        <f>Jamesnortries</f>
        <v>3</v>
      </c>
      <c r="D80" s="2" t="s">
        <v>199</v>
      </c>
      <c r="E80" s="2" t="s">
        <v>119</v>
      </c>
      <c r="F80" s="19">
        <f>Lawrencebthpts</f>
        <v>20</v>
      </c>
    </row>
    <row r="81" spans="1:6" ht="14.95" customHeight="1" thickBot="1" x14ac:dyDescent="0.3">
      <c r="A81" s="62" t="s">
        <v>1006</v>
      </c>
      <c r="B81" s="62" t="s">
        <v>138</v>
      </c>
      <c r="C81" s="49">
        <f>Jeffriesbritriescorrect</f>
        <v>3</v>
      </c>
      <c r="D81" s="17" t="s">
        <v>340</v>
      </c>
      <c r="E81" s="17" t="s">
        <v>133</v>
      </c>
      <c r="F81" s="19">
        <f>Liebenbergleicpts</f>
        <v>20</v>
      </c>
    </row>
    <row r="82" spans="1:6" ht="14.95" customHeight="1" thickBot="1" x14ac:dyDescent="0.3">
      <c r="A82" s="62" t="s">
        <v>890</v>
      </c>
      <c r="B82" s="62" t="s">
        <v>131</v>
      </c>
      <c r="C82" s="9">
        <f>JosephHARtries</f>
        <v>3</v>
      </c>
      <c r="D82" s="2" t="s">
        <v>454</v>
      </c>
      <c r="E82" s="2" t="s">
        <v>120</v>
      </c>
      <c r="F82" s="19">
        <f>Matthewsnorpts</f>
        <v>20</v>
      </c>
    </row>
    <row r="83" spans="1:6" ht="14.95" customHeight="1" thickBot="1" x14ac:dyDescent="0.3">
      <c r="A83" s="62" t="s">
        <v>551</v>
      </c>
      <c r="B83" s="62" t="s">
        <v>537</v>
      </c>
      <c r="C83" s="9">
        <f>Maitlandsartriescorrect</f>
        <v>3</v>
      </c>
      <c r="D83" s="2" t="s">
        <v>419</v>
      </c>
      <c r="E83" s="2" t="s">
        <v>389</v>
      </c>
      <c r="F83" s="19">
        <f>Radwannewptscorrect</f>
        <v>20</v>
      </c>
    </row>
    <row r="84" spans="1:6" ht="14.95" customHeight="1" thickBot="1" x14ac:dyDescent="0.3">
      <c r="A84" s="62" t="s">
        <v>206</v>
      </c>
      <c r="B84" s="62" t="s">
        <v>117</v>
      </c>
      <c r="C84" s="9">
        <f>Maraisglotries</f>
        <v>3</v>
      </c>
      <c r="D84" s="2" t="s">
        <v>934</v>
      </c>
      <c r="E84" s="2" t="s">
        <v>138</v>
      </c>
      <c r="F84" s="19">
        <f>Whiteleybripts</f>
        <v>20</v>
      </c>
    </row>
    <row r="85" spans="1:6" ht="14.95" customHeight="1" thickBot="1" x14ac:dyDescent="0.3">
      <c r="A85" s="62" t="s">
        <v>553</v>
      </c>
      <c r="B85" s="62" t="s">
        <v>537</v>
      </c>
      <c r="C85" s="9">
        <f>McFarlandsartriescorrect</f>
        <v>3</v>
      </c>
      <c r="D85" s="2" t="s">
        <v>667</v>
      </c>
      <c r="E85" s="2" t="s">
        <v>131</v>
      </c>
      <c r="F85" s="19">
        <f>Walkerharpts</f>
        <v>20</v>
      </c>
    </row>
    <row r="86" spans="1:6" ht="14.95" customHeight="1" thickBot="1" x14ac:dyDescent="0.3">
      <c r="A86" s="10" t="s">
        <v>457</v>
      </c>
      <c r="B86" s="62" t="s">
        <v>133</v>
      </c>
      <c r="C86" s="9">
        <f>Mayleictries</f>
        <v>3</v>
      </c>
      <c r="D86" s="2" t="s">
        <v>458</v>
      </c>
      <c r="E86" s="2" t="s">
        <v>133</v>
      </c>
      <c r="F86" s="19">
        <f>Wieseleicpts</f>
        <v>20</v>
      </c>
    </row>
    <row r="87" spans="1:6" ht="14.95" customHeight="1" thickBot="1" x14ac:dyDescent="0.3">
      <c r="A87" s="62" t="s">
        <v>263</v>
      </c>
      <c r="B87" s="62" t="s">
        <v>131</v>
      </c>
      <c r="C87" s="9">
        <f>Murleyhartries</f>
        <v>3</v>
      </c>
      <c r="D87" s="2" t="s">
        <v>1006</v>
      </c>
      <c r="E87" s="2" t="s">
        <v>138</v>
      </c>
      <c r="F87" s="19">
        <f>Jeffriesbriptscorrect</f>
        <v>19</v>
      </c>
    </row>
    <row r="88" spans="1:6" ht="14.95" customHeight="1" thickBot="1" x14ac:dyDescent="0.3">
      <c r="A88" s="62" t="s">
        <v>213</v>
      </c>
      <c r="B88" s="62" t="s">
        <v>118</v>
      </c>
      <c r="C88" s="9">
        <f>Neildsaltries</f>
        <v>3</v>
      </c>
      <c r="D88" s="17" t="s">
        <v>941</v>
      </c>
      <c r="E88" s="17" t="s">
        <v>389</v>
      </c>
      <c r="F88" s="19">
        <f>Haydon_Woodnewpts</f>
        <v>19</v>
      </c>
    </row>
    <row r="89" spans="1:6" ht="14.95" customHeight="1" thickBot="1" x14ac:dyDescent="0.3">
      <c r="A89" s="62" t="s">
        <v>241</v>
      </c>
      <c r="B89" s="62" t="s">
        <v>132</v>
      </c>
      <c r="C89" s="9">
        <f>Painterexetries</f>
        <v>3</v>
      </c>
      <c r="D89" s="17" t="s">
        <v>685</v>
      </c>
      <c r="E89" s="2" t="s">
        <v>118</v>
      </c>
      <c r="F89" s="19">
        <f>Carpentersalpts</f>
        <v>15</v>
      </c>
    </row>
    <row r="90" spans="1:6" ht="14.95" customHeight="1" thickBot="1" x14ac:dyDescent="0.3">
      <c r="A90" s="62" t="s">
        <v>121</v>
      </c>
      <c r="B90" s="62" t="s">
        <v>120</v>
      </c>
      <c r="C90" s="9">
        <f>Penalty_Triessaintstries</f>
        <v>3</v>
      </c>
      <c r="D90" s="2" t="s">
        <v>539</v>
      </c>
      <c r="E90" s="2" t="s">
        <v>537</v>
      </c>
      <c r="F90" s="19">
        <f>Christiesarptscorrect</f>
        <v>15</v>
      </c>
    </row>
    <row r="91" spans="1:6" ht="14.95" customHeight="1" thickBot="1" x14ac:dyDescent="0.3">
      <c r="A91" s="62" t="s">
        <v>945</v>
      </c>
      <c r="B91" s="62" t="s">
        <v>131</v>
      </c>
      <c r="C91" s="9">
        <f>Porterhartries</f>
        <v>3</v>
      </c>
      <c r="D91" s="2" t="s">
        <v>968</v>
      </c>
      <c r="E91" s="2" t="s">
        <v>537</v>
      </c>
      <c r="F91" s="19">
        <f>Cintisarpts</f>
        <v>15</v>
      </c>
    </row>
    <row r="92" spans="1:6" ht="14.95" customHeight="1" thickBot="1" x14ac:dyDescent="0.3">
      <c r="A92" s="62" t="s">
        <v>217</v>
      </c>
      <c r="B92" s="62" t="s">
        <v>119</v>
      </c>
      <c r="C92" s="9">
        <f>Redpathbthtries</f>
        <v>3</v>
      </c>
      <c r="D92" s="2" t="s">
        <v>938</v>
      </c>
      <c r="E92" s="2" t="s">
        <v>118</v>
      </c>
      <c r="F92" s="19">
        <f>Cliffwillsalpts</f>
        <v>15</v>
      </c>
    </row>
    <row r="93" spans="1:6" ht="14.95" customHeight="1" thickBot="1" x14ac:dyDescent="0.3">
      <c r="A93" s="62" t="s">
        <v>282</v>
      </c>
      <c r="B93" s="62" t="s">
        <v>117</v>
      </c>
      <c r="C93" s="9">
        <f>Rees_Zammitglotries</f>
        <v>3</v>
      </c>
      <c r="D93" s="17" t="s">
        <v>178</v>
      </c>
      <c r="E93" s="17" t="s">
        <v>119</v>
      </c>
      <c r="F93" s="19">
        <f>Dunntompts</f>
        <v>15</v>
      </c>
    </row>
    <row r="94" spans="1:6" ht="14.95" customHeight="1" thickBot="1" x14ac:dyDescent="0.3">
      <c r="A94" s="62" t="s">
        <v>361</v>
      </c>
      <c r="B94" s="62" t="s">
        <v>119</v>
      </c>
      <c r="C94" s="9">
        <f>Robertsbthtries</f>
        <v>3</v>
      </c>
      <c r="D94" s="2" t="s">
        <v>451</v>
      </c>
      <c r="E94" s="2" t="s">
        <v>131</v>
      </c>
      <c r="F94" s="19">
        <f>Evanswharpts</f>
        <v>15</v>
      </c>
    </row>
    <row r="95" spans="1:6" ht="14.95" customHeight="1" thickBot="1" x14ac:dyDescent="0.3">
      <c r="A95" s="62" t="s">
        <v>219</v>
      </c>
      <c r="B95" s="62" t="s">
        <v>120</v>
      </c>
      <c r="C95" s="9">
        <f>SeabrookNORtries</f>
        <v>3</v>
      </c>
      <c r="D95" s="17" t="s">
        <v>607</v>
      </c>
      <c r="E95" s="2" t="s">
        <v>132</v>
      </c>
      <c r="F95" s="19">
        <f>Frostexepts</f>
        <v>15</v>
      </c>
    </row>
    <row r="96" spans="1:6" ht="14.95" customHeight="1" thickBot="1" x14ac:dyDescent="0.3">
      <c r="A96" s="62" t="s">
        <v>236</v>
      </c>
      <c r="B96" s="62" t="s">
        <v>131</v>
      </c>
      <c r="C96" s="9">
        <f>Smithhartries</f>
        <v>3</v>
      </c>
      <c r="D96" s="2" t="s">
        <v>483</v>
      </c>
      <c r="E96" s="2" t="s">
        <v>138</v>
      </c>
      <c r="F96" s="19">
        <f>Hardingbripts</f>
        <v>15</v>
      </c>
    </row>
    <row r="97" spans="1:6" ht="14.95" customHeight="1" thickBot="1" x14ac:dyDescent="0.3">
      <c r="A97" s="62" t="s">
        <v>313</v>
      </c>
      <c r="B97" s="62" t="s">
        <v>133</v>
      </c>
      <c r="C97" s="6">
        <f>Stevensleictries</f>
        <v>3</v>
      </c>
      <c r="D97" s="2" t="s">
        <v>761</v>
      </c>
      <c r="E97" s="2" t="s">
        <v>537</v>
      </c>
      <c r="F97" s="20">
        <f>Hartleysarpts</f>
        <v>15</v>
      </c>
    </row>
    <row r="98" spans="1:6" ht="14.95" customHeight="1" thickBot="1" x14ac:dyDescent="0.3">
      <c r="A98" s="62" t="s">
        <v>162</v>
      </c>
      <c r="B98" s="62" t="s">
        <v>118</v>
      </c>
      <c r="C98" s="9">
        <f>Taylortsaltries</f>
        <v>3</v>
      </c>
      <c r="D98" s="2" t="s">
        <v>837</v>
      </c>
      <c r="E98" s="2" t="s">
        <v>138</v>
      </c>
      <c r="F98" s="19">
        <f>Hewardbripts</f>
        <v>15</v>
      </c>
    </row>
    <row r="99" spans="1:6" ht="14.95" customHeight="1" thickBot="1" x14ac:dyDescent="0.3">
      <c r="A99" s="62" t="s">
        <v>224</v>
      </c>
      <c r="B99" s="62" t="s">
        <v>117</v>
      </c>
      <c r="C99" s="9">
        <f>Thorleyglotriescorrect</f>
        <v>3</v>
      </c>
      <c r="D99" s="2" t="s">
        <v>548</v>
      </c>
      <c r="E99" s="2" t="s">
        <v>537</v>
      </c>
      <c r="F99" s="19">
        <f>Itojesarptscorrect</f>
        <v>15</v>
      </c>
    </row>
    <row r="100" spans="1:6" ht="14.95" customHeight="1" thickBot="1" x14ac:dyDescent="0.3">
      <c r="A100" s="62" t="s">
        <v>560</v>
      </c>
      <c r="B100" s="62" t="s">
        <v>537</v>
      </c>
      <c r="C100" s="9">
        <f>van_Zylsartriescorrect</f>
        <v>3</v>
      </c>
      <c r="D100" s="2" t="s">
        <v>129</v>
      </c>
      <c r="E100" s="2" t="s">
        <v>118</v>
      </c>
      <c r="F100" s="19">
        <f>Jamessalpts</f>
        <v>15</v>
      </c>
    </row>
    <row r="101" spans="1:6" ht="14.95" customHeight="1" thickBot="1" x14ac:dyDescent="0.3">
      <c r="A101" s="62" t="s">
        <v>610</v>
      </c>
      <c r="B101" s="62" t="s">
        <v>118</v>
      </c>
      <c r="C101" s="9">
        <f>Warrsaltries</f>
        <v>3</v>
      </c>
      <c r="D101" s="2" t="s">
        <v>442</v>
      </c>
      <c r="E101" s="2" t="s">
        <v>120</v>
      </c>
      <c r="F101" s="19">
        <f>Jamesnorpts</f>
        <v>15</v>
      </c>
    </row>
    <row r="102" spans="1:6" ht="14.95" customHeight="1" thickBot="1" x14ac:dyDescent="0.3">
      <c r="A102" s="62" t="s">
        <v>292</v>
      </c>
      <c r="B102" s="62" t="s">
        <v>138</v>
      </c>
      <c r="C102" s="9">
        <f>Williamsbritries</f>
        <v>3</v>
      </c>
      <c r="D102" s="2" t="s">
        <v>800</v>
      </c>
      <c r="E102" s="2" t="s">
        <v>389</v>
      </c>
      <c r="F102" s="19">
        <f>Hodgsonnewptscorrect</f>
        <v>15</v>
      </c>
    </row>
    <row r="103" spans="1:6" ht="14.95" customHeight="1" thickBot="1" x14ac:dyDescent="0.3">
      <c r="A103" s="62" t="s">
        <v>233</v>
      </c>
      <c r="B103" s="62" t="s">
        <v>132</v>
      </c>
      <c r="C103" s="9">
        <f>Woodburnexetries</f>
        <v>3</v>
      </c>
      <c r="D103" s="2" t="s">
        <v>890</v>
      </c>
      <c r="E103" s="2" t="s">
        <v>131</v>
      </c>
      <c r="F103" s="19">
        <f>JosephHARPTS</f>
        <v>15</v>
      </c>
    </row>
    <row r="104" spans="1:6" ht="14.95" customHeight="1" thickBot="1" x14ac:dyDescent="0.3">
      <c r="A104" s="62" t="s">
        <v>164</v>
      </c>
      <c r="B104" s="62" t="s">
        <v>117</v>
      </c>
      <c r="C104" s="9">
        <f>Ackermannglotries</f>
        <v>2</v>
      </c>
      <c r="D104" s="2" t="s">
        <v>551</v>
      </c>
      <c r="E104" s="2" t="s">
        <v>537</v>
      </c>
      <c r="F104" s="19">
        <f>Maitlandsarptscorrect</f>
        <v>15</v>
      </c>
    </row>
    <row r="105" spans="1:6" ht="14.95" customHeight="1" thickBot="1" x14ac:dyDescent="0.3">
      <c r="A105" s="62" t="s">
        <v>354</v>
      </c>
      <c r="B105" s="62" t="s">
        <v>117</v>
      </c>
      <c r="C105" s="49">
        <f>Alemannoglotries</f>
        <v>2</v>
      </c>
      <c r="D105" s="2" t="s">
        <v>206</v>
      </c>
      <c r="E105" s="2" t="s">
        <v>117</v>
      </c>
      <c r="F105" s="19">
        <f>Maraisglopts</f>
        <v>15</v>
      </c>
    </row>
    <row r="106" spans="1:6" ht="14.95" customHeight="1" thickBot="1" x14ac:dyDescent="0.3">
      <c r="A106" s="62" t="s">
        <v>925</v>
      </c>
      <c r="B106" s="62" t="s">
        <v>132</v>
      </c>
      <c r="C106" s="9">
        <f>ArmstrongEXEtries</f>
        <v>2</v>
      </c>
      <c r="D106" s="2" t="s">
        <v>553</v>
      </c>
      <c r="E106" s="2" t="s">
        <v>537</v>
      </c>
      <c r="F106" s="19">
        <f>McFarlandsarptscorrect</f>
        <v>15</v>
      </c>
    </row>
    <row r="107" spans="1:6" ht="14.95" customHeight="1" thickBot="1" x14ac:dyDescent="0.3">
      <c r="A107" s="62" t="s">
        <v>440</v>
      </c>
      <c r="B107" s="62" t="s">
        <v>1010</v>
      </c>
      <c r="C107" s="9">
        <f>Batemanleitries+Atkinson_Cglotries</f>
        <v>2</v>
      </c>
      <c r="D107" s="2" t="s">
        <v>457</v>
      </c>
      <c r="E107" s="2" t="s">
        <v>133</v>
      </c>
      <c r="F107" s="19">
        <f>Mayleicpts</f>
        <v>15</v>
      </c>
    </row>
    <row r="108" spans="1:6" ht="14.95" customHeight="1" thickBot="1" x14ac:dyDescent="0.3">
      <c r="A108" s="62" t="s">
        <v>647</v>
      </c>
      <c r="B108" s="62" t="s">
        <v>117</v>
      </c>
      <c r="C108" s="9">
        <f>Blakeglotries</f>
        <v>2</v>
      </c>
      <c r="D108" s="2" t="s">
        <v>263</v>
      </c>
      <c r="E108" s="2" t="s">
        <v>131</v>
      </c>
      <c r="F108" s="19">
        <f>Murleyharpts</f>
        <v>15</v>
      </c>
    </row>
    <row r="109" spans="1:6" ht="14.95" customHeight="1" thickBot="1" x14ac:dyDescent="0.3">
      <c r="A109" s="62" t="s">
        <v>351</v>
      </c>
      <c r="B109" s="62" t="s">
        <v>389</v>
      </c>
      <c r="C109" s="9">
        <f>Burrellnewtries</f>
        <v>2</v>
      </c>
      <c r="D109" s="2" t="s">
        <v>213</v>
      </c>
      <c r="E109" s="2" t="s">
        <v>118</v>
      </c>
      <c r="F109" s="19">
        <f>Neildsalpts</f>
        <v>15</v>
      </c>
    </row>
    <row r="110" spans="1:6" ht="14.95" customHeight="1" thickBot="1" x14ac:dyDescent="0.3">
      <c r="A110" s="62" t="s">
        <v>171</v>
      </c>
      <c r="B110" s="62" t="s">
        <v>131</v>
      </c>
      <c r="C110" s="6">
        <f>caretries</f>
        <v>2</v>
      </c>
      <c r="D110" s="2" t="s">
        <v>241</v>
      </c>
      <c r="E110" s="2" t="s">
        <v>132</v>
      </c>
      <c r="F110" s="19">
        <f>Painterexepts</f>
        <v>15</v>
      </c>
    </row>
    <row r="111" spans="1:6" ht="14.95" customHeight="1" thickBot="1" x14ac:dyDescent="0.3">
      <c r="A111" s="62" t="s">
        <v>759</v>
      </c>
      <c r="B111" s="62" t="s">
        <v>117</v>
      </c>
      <c r="C111" s="9">
        <f>Clarkglotries</f>
        <v>2</v>
      </c>
      <c r="D111" s="2" t="s">
        <v>945</v>
      </c>
      <c r="E111" s="2" t="s">
        <v>131</v>
      </c>
      <c r="F111" s="19">
        <f>Porterharpts</f>
        <v>15</v>
      </c>
    </row>
    <row r="112" spans="1:6" ht="14.95" customHeight="1" thickBot="1" x14ac:dyDescent="0.3">
      <c r="A112" s="62" t="s">
        <v>597</v>
      </c>
      <c r="B112" s="62" t="s">
        <v>117</v>
      </c>
      <c r="C112" s="9">
        <f>Coetzerglotries</f>
        <v>2</v>
      </c>
      <c r="D112" s="2" t="s">
        <v>217</v>
      </c>
      <c r="E112" s="2" t="s">
        <v>119</v>
      </c>
      <c r="F112" s="19">
        <f>Redpathbthpts</f>
        <v>15</v>
      </c>
    </row>
    <row r="113" spans="1:6" ht="14.95" customHeight="1" thickBot="1" x14ac:dyDescent="0.3">
      <c r="A113" s="62" t="s">
        <v>1039</v>
      </c>
      <c r="B113" s="62" t="s">
        <v>131</v>
      </c>
      <c r="C113" s="9">
        <f>Cunningham_Sthhartries</f>
        <v>2</v>
      </c>
      <c r="D113" s="2" t="s">
        <v>282</v>
      </c>
      <c r="E113" s="2" t="s">
        <v>117</v>
      </c>
      <c r="F113" s="19">
        <f>Rees_Zammitglopts</f>
        <v>15</v>
      </c>
    </row>
    <row r="114" spans="1:6" ht="14.95" customHeight="1" thickBot="1" x14ac:dyDescent="0.3">
      <c r="A114" s="62" t="s">
        <v>259</v>
      </c>
      <c r="B114" s="62" t="s">
        <v>120</v>
      </c>
      <c r="C114" s="9">
        <f>Dingwallnortries</f>
        <v>2</v>
      </c>
      <c r="D114" s="2" t="s">
        <v>361</v>
      </c>
      <c r="E114" s="2" t="s">
        <v>119</v>
      </c>
      <c r="F114" s="19">
        <f>Robertsbthpts</f>
        <v>15</v>
      </c>
    </row>
    <row r="115" spans="1:6" ht="14.95" customHeight="1" thickBot="1" x14ac:dyDescent="0.3">
      <c r="A115" s="62" t="s">
        <v>620</v>
      </c>
      <c r="B115" s="62" t="s">
        <v>118</v>
      </c>
      <c r="C115" s="9">
        <f>Dugdalesaltries</f>
        <v>2</v>
      </c>
      <c r="D115" s="2" t="s">
        <v>219</v>
      </c>
      <c r="E115" s="2" t="s">
        <v>120</v>
      </c>
      <c r="F115" s="19">
        <f>SeabrookNORpts</f>
        <v>15</v>
      </c>
    </row>
    <row r="116" spans="1:6" ht="14.95" customHeight="1" thickBot="1" x14ac:dyDescent="0.3">
      <c r="A116" s="62" t="s">
        <v>962</v>
      </c>
      <c r="B116" s="62" t="s">
        <v>138</v>
      </c>
      <c r="C116" s="9">
        <f>Cranebritries</f>
        <v>2</v>
      </c>
      <c r="D116" s="2" t="s">
        <v>313</v>
      </c>
      <c r="E116" s="2" t="s">
        <v>133</v>
      </c>
      <c r="F116" s="19">
        <f>Stevensleicpts</f>
        <v>15</v>
      </c>
    </row>
    <row r="117" spans="1:6" ht="14.95" customHeight="1" thickBot="1" x14ac:dyDescent="0.3">
      <c r="A117" s="62" t="s">
        <v>718</v>
      </c>
      <c r="B117" s="62" t="s">
        <v>119</v>
      </c>
      <c r="C117" s="9">
        <f>Garveymatttries</f>
        <v>2</v>
      </c>
      <c r="D117" s="2" t="s">
        <v>162</v>
      </c>
      <c r="E117" s="2" t="s">
        <v>118</v>
      </c>
      <c r="F117" s="19">
        <f>Taylortsalpts</f>
        <v>15</v>
      </c>
    </row>
    <row r="118" spans="1:6" ht="14.95" customHeight="1" thickBot="1" x14ac:dyDescent="0.3">
      <c r="A118" s="62" t="s">
        <v>1009</v>
      </c>
      <c r="B118" s="62" t="s">
        <v>537</v>
      </c>
      <c r="C118" s="416">
        <f>Hadfieldsartries</f>
        <v>2</v>
      </c>
      <c r="D118" s="2" t="s">
        <v>224</v>
      </c>
      <c r="E118" s="2" t="s">
        <v>117</v>
      </c>
      <c r="F118" s="19">
        <f>Thorleygloptscorrect</f>
        <v>15</v>
      </c>
    </row>
    <row r="119" spans="1:6" ht="14.95" customHeight="1" thickBot="1" x14ac:dyDescent="0.3">
      <c r="A119" s="62" t="s">
        <v>624</v>
      </c>
      <c r="B119" s="62" t="s">
        <v>120</v>
      </c>
      <c r="C119" s="9">
        <f>Hendynortries</f>
        <v>2</v>
      </c>
      <c r="D119" s="2" t="s">
        <v>560</v>
      </c>
      <c r="E119" s="2" t="s">
        <v>537</v>
      </c>
      <c r="F119" s="19">
        <f>van_Zylsarptscorrect</f>
        <v>15</v>
      </c>
    </row>
    <row r="120" spans="1:6" ht="14.95" customHeight="1" thickBot="1" x14ac:dyDescent="0.3">
      <c r="A120" s="62" t="s">
        <v>130</v>
      </c>
      <c r="B120" s="62" t="s">
        <v>118</v>
      </c>
      <c r="C120" s="9">
        <f>Hill_Jsaltries</f>
        <v>2</v>
      </c>
      <c r="D120" s="2" t="s">
        <v>610</v>
      </c>
      <c r="E120" s="2" t="s">
        <v>118</v>
      </c>
      <c r="F120" s="19">
        <f>Warrsalpts</f>
        <v>15</v>
      </c>
    </row>
    <row r="121" spans="1:6" ht="14.95" customHeight="1" thickBot="1" x14ac:dyDescent="0.3">
      <c r="A121" s="62" t="s">
        <v>804</v>
      </c>
      <c r="B121" s="62" t="s">
        <v>132</v>
      </c>
      <c r="C121" s="9">
        <f>Jenkins_Dexetries</f>
        <v>2</v>
      </c>
      <c r="D121" s="2" t="s">
        <v>233</v>
      </c>
      <c r="E121" s="2" t="s">
        <v>132</v>
      </c>
      <c r="F121" s="19">
        <f>Woodburnexepts</f>
        <v>15</v>
      </c>
    </row>
    <row r="122" spans="1:6" ht="14.95" customHeight="1" thickBot="1" x14ac:dyDescent="0.3">
      <c r="A122" s="62" t="s">
        <v>1029</v>
      </c>
      <c r="B122" s="62" t="s">
        <v>132</v>
      </c>
      <c r="C122" s="9">
        <f>Johnexetries</f>
        <v>2</v>
      </c>
      <c r="D122" s="2" t="s">
        <v>121</v>
      </c>
      <c r="E122" s="2" t="s">
        <v>119</v>
      </c>
      <c r="F122" s="18">
        <f>bathpentriesptsthisone</f>
        <v>14</v>
      </c>
    </row>
    <row r="123" spans="1:6" ht="14.95" customHeight="1" thickBot="1" x14ac:dyDescent="0.3">
      <c r="A123" s="62" t="s">
        <v>704</v>
      </c>
      <c r="B123" s="62" t="s">
        <v>133</v>
      </c>
      <c r="C123" s="9">
        <f>Jansenleitries</f>
        <v>2</v>
      </c>
      <c r="D123" s="17" t="s">
        <v>121</v>
      </c>
      <c r="E123" s="17" t="s">
        <v>132</v>
      </c>
      <c r="F123" s="19">
        <f>Penalty_Triesexepts</f>
        <v>14</v>
      </c>
    </row>
    <row r="124" spans="1:6" ht="14.95" customHeight="1" thickBot="1" x14ac:dyDescent="0.3">
      <c r="A124" s="10" t="s">
        <v>444</v>
      </c>
      <c r="B124" s="10" t="s">
        <v>133</v>
      </c>
      <c r="C124" s="9">
        <f>Kerrleictries</f>
        <v>2</v>
      </c>
      <c r="D124" s="2" t="s">
        <v>121</v>
      </c>
      <c r="E124" s="2" t="s">
        <v>389</v>
      </c>
      <c r="F124" s="19">
        <f>Penalty_Triesnewptscorrect</f>
        <v>14</v>
      </c>
    </row>
    <row r="125" spans="1:6" ht="14.95" customHeight="1" thickBot="1" x14ac:dyDescent="0.3">
      <c r="A125" s="10" t="s">
        <v>198</v>
      </c>
      <c r="B125" s="62" t="s">
        <v>120</v>
      </c>
      <c r="C125" s="9">
        <f>Lawesnortries</f>
        <v>2</v>
      </c>
      <c r="D125" s="2" t="s">
        <v>247</v>
      </c>
      <c r="E125" s="2" t="s">
        <v>132</v>
      </c>
      <c r="F125" s="19">
        <f>Skinner_Hexepts</f>
        <v>14</v>
      </c>
    </row>
    <row r="126" spans="1:6" ht="14.95" customHeight="1" thickBot="1" x14ac:dyDescent="0.3">
      <c r="A126" s="62" t="s">
        <v>623</v>
      </c>
      <c r="B126" s="62" t="s">
        <v>120</v>
      </c>
      <c r="C126" s="9">
        <f>Litchfieldnortries</f>
        <v>2</v>
      </c>
      <c r="D126" s="2" t="s">
        <v>493</v>
      </c>
      <c r="E126" s="2" t="s">
        <v>131</v>
      </c>
      <c r="F126" s="19">
        <f>Edwardsharpts</f>
        <v>11</v>
      </c>
    </row>
    <row r="127" spans="1:6" ht="14.95" customHeight="1" thickBot="1" x14ac:dyDescent="0.3">
      <c r="A127" s="62" t="s">
        <v>875</v>
      </c>
      <c r="B127" s="62" t="s">
        <v>138</v>
      </c>
      <c r="C127" s="9">
        <f>MarmionBRItries</f>
        <v>2</v>
      </c>
      <c r="D127" s="2" t="s">
        <v>164</v>
      </c>
      <c r="E127" s="2" t="s">
        <v>117</v>
      </c>
      <c r="F127" s="19">
        <f>Ackermannglopts</f>
        <v>10</v>
      </c>
    </row>
    <row r="128" spans="1:6" ht="14.95" customHeight="1" thickBot="1" x14ac:dyDescent="0.3">
      <c r="A128" s="62" t="s">
        <v>466</v>
      </c>
      <c r="B128" s="62" t="s">
        <v>133</v>
      </c>
      <c r="C128" s="9">
        <f>Martinleictries</f>
        <v>2</v>
      </c>
      <c r="D128" s="2" t="s">
        <v>354</v>
      </c>
      <c r="E128" s="2" t="s">
        <v>117</v>
      </c>
      <c r="F128" s="19">
        <f>Alemannoglopts</f>
        <v>10</v>
      </c>
    </row>
    <row r="129" spans="1:6" ht="14.95" customHeight="1" thickBot="1" x14ac:dyDescent="0.3">
      <c r="A129" s="62" t="s">
        <v>207</v>
      </c>
      <c r="B129" s="62" t="s">
        <v>119</v>
      </c>
      <c r="C129" s="9">
        <f>McConnochiebthtries</f>
        <v>2</v>
      </c>
      <c r="D129" s="2" t="s">
        <v>925</v>
      </c>
      <c r="E129" s="2" t="s">
        <v>132</v>
      </c>
      <c r="F129" s="19">
        <f>ArmstrongEXEpts</f>
        <v>10</v>
      </c>
    </row>
    <row r="130" spans="1:6" ht="14.95" customHeight="1" thickBot="1" x14ac:dyDescent="0.3">
      <c r="A130" s="62" t="s">
        <v>994</v>
      </c>
      <c r="B130" s="62" t="s">
        <v>117</v>
      </c>
      <c r="C130" s="9">
        <f>Meehanglotries</f>
        <v>2</v>
      </c>
      <c r="D130" s="2" t="s">
        <v>478</v>
      </c>
      <c r="E130" s="2" t="s">
        <v>119</v>
      </c>
      <c r="F130" s="19">
        <f>Baileybthpts</f>
        <v>10</v>
      </c>
    </row>
    <row r="131" spans="1:6" ht="14.95" customHeight="1" thickBot="1" x14ac:dyDescent="0.3">
      <c r="A131" s="62" t="s">
        <v>489</v>
      </c>
      <c r="B131" s="62" t="s">
        <v>389</v>
      </c>
      <c r="C131" s="6">
        <f>Montgomerynewtries</f>
        <v>2</v>
      </c>
      <c r="D131" s="2" t="s">
        <v>647</v>
      </c>
      <c r="E131" s="2" t="s">
        <v>117</v>
      </c>
      <c r="F131" s="19">
        <f>Blakeglopts</f>
        <v>10</v>
      </c>
    </row>
    <row r="132" spans="1:6" ht="14.95" customHeight="1" thickBot="1" x14ac:dyDescent="0.3">
      <c r="A132" s="10" t="s">
        <v>211</v>
      </c>
      <c r="B132" s="10" t="s">
        <v>119</v>
      </c>
      <c r="C132" s="6">
        <f>Obanobthtries</f>
        <v>2</v>
      </c>
      <c r="D132" s="2" t="s">
        <v>351</v>
      </c>
      <c r="E132" s="2" t="s">
        <v>389</v>
      </c>
      <c r="F132" s="19">
        <f>Burrellnewpts</f>
        <v>10</v>
      </c>
    </row>
    <row r="133" spans="1:6" ht="14.95" customHeight="1" thickBot="1" x14ac:dyDescent="0.3">
      <c r="A133" s="62" t="s">
        <v>655</v>
      </c>
      <c r="B133" s="62" t="s">
        <v>120</v>
      </c>
      <c r="C133" s="6">
        <f>PearsonNOR_tries</f>
        <v>2</v>
      </c>
      <c r="D133" s="2" t="s">
        <v>171</v>
      </c>
      <c r="E133" s="2" t="s">
        <v>131</v>
      </c>
      <c r="F133" s="19">
        <f>Carepts</f>
        <v>10</v>
      </c>
    </row>
    <row r="134" spans="1:6" ht="14.95" customHeight="1" thickBot="1" x14ac:dyDescent="0.3">
      <c r="A134" s="10" t="s">
        <v>121</v>
      </c>
      <c r="B134" s="10" t="s">
        <v>389</v>
      </c>
      <c r="C134" s="9">
        <f>Penalty_Triesnewtriescorrect</f>
        <v>2</v>
      </c>
      <c r="D134" s="2" t="s">
        <v>759</v>
      </c>
      <c r="E134" s="2" t="s">
        <v>117</v>
      </c>
      <c r="F134" s="19">
        <f>Clarkglopts</f>
        <v>10</v>
      </c>
    </row>
    <row r="135" spans="1:6" ht="14.95" customHeight="1" thickBot="1" x14ac:dyDescent="0.3">
      <c r="A135" s="10" t="s">
        <v>121</v>
      </c>
      <c r="B135" s="10" t="s">
        <v>132</v>
      </c>
      <c r="C135" s="9">
        <f>Penalty_Triesexetries</f>
        <v>2</v>
      </c>
      <c r="D135" s="2" t="s">
        <v>597</v>
      </c>
      <c r="E135" s="2" t="s">
        <v>117</v>
      </c>
      <c r="F135" s="19">
        <f>Coetzerglopts</f>
        <v>10</v>
      </c>
    </row>
    <row r="136" spans="1:6" ht="14.95" customHeight="1" thickBot="1" x14ac:dyDescent="0.3">
      <c r="A136" s="62" t="s">
        <v>121</v>
      </c>
      <c r="B136" s="62" t="s">
        <v>119</v>
      </c>
      <c r="C136" s="9">
        <f>bathpentriestriesthisone</f>
        <v>2</v>
      </c>
      <c r="D136" s="2" t="s">
        <v>1039</v>
      </c>
      <c r="E136" s="2" t="s">
        <v>131</v>
      </c>
      <c r="F136" s="19">
        <f>Cunningham_Sthharpts</f>
        <v>10</v>
      </c>
    </row>
    <row r="137" spans="1:6" ht="14.95" customHeight="1" thickBot="1" x14ac:dyDescent="0.3">
      <c r="A137" s="62" t="s">
        <v>485</v>
      </c>
      <c r="B137" s="62" t="s">
        <v>118</v>
      </c>
      <c r="C137" s="9">
        <f>Quirkesaltries</f>
        <v>2</v>
      </c>
      <c r="D137" s="2" t="s">
        <v>259</v>
      </c>
      <c r="E137" s="2" t="s">
        <v>120</v>
      </c>
      <c r="F137" s="19">
        <f>Dingwallnorpts</f>
        <v>10</v>
      </c>
    </row>
    <row r="138" spans="1:6" ht="14.95" customHeight="1" thickBot="1" x14ac:dyDescent="0.3">
      <c r="A138" s="62" t="s">
        <v>716</v>
      </c>
      <c r="B138" s="62" t="s">
        <v>131</v>
      </c>
      <c r="C138" s="9">
        <f>Scotland_W_sonhartries</f>
        <v>2</v>
      </c>
      <c r="D138" s="2" t="s">
        <v>620</v>
      </c>
      <c r="E138" s="2" t="s">
        <v>118</v>
      </c>
      <c r="F138" s="19">
        <f>Dugdalesalpts</f>
        <v>10</v>
      </c>
    </row>
    <row r="139" spans="1:6" ht="14.95" customHeight="1" thickBot="1" x14ac:dyDescent="0.3">
      <c r="A139" s="62" t="s">
        <v>895</v>
      </c>
      <c r="B139" s="62" t="s">
        <v>133</v>
      </c>
      <c r="C139" s="9">
        <f>RogersonLEItries</f>
        <v>2</v>
      </c>
      <c r="D139" s="2" t="s">
        <v>962</v>
      </c>
      <c r="E139" s="2" t="s">
        <v>138</v>
      </c>
      <c r="F139" s="19">
        <f>cranebripts</f>
        <v>10</v>
      </c>
    </row>
    <row r="140" spans="1:6" ht="14.95" customHeight="1" thickBot="1" x14ac:dyDescent="0.3">
      <c r="A140" s="62" t="s">
        <v>943</v>
      </c>
      <c r="B140" s="62" t="s">
        <v>132</v>
      </c>
      <c r="C140" s="9">
        <f>Schickerlingexetries</f>
        <v>2</v>
      </c>
      <c r="D140" s="210" t="s">
        <v>1031</v>
      </c>
      <c r="E140" s="210" t="s">
        <v>117</v>
      </c>
      <c r="F140" s="19">
        <f>Englefieldglopts</f>
        <v>10</v>
      </c>
    </row>
    <row r="141" spans="1:6" ht="14.95" customHeight="1" thickBot="1" x14ac:dyDescent="0.3">
      <c r="A141" s="62" t="s">
        <v>981</v>
      </c>
      <c r="B141" s="62" t="s">
        <v>119</v>
      </c>
      <c r="C141" s="9">
        <f>Schreuderbthtries</f>
        <v>2</v>
      </c>
      <c r="D141" s="2" t="s">
        <v>718</v>
      </c>
      <c r="E141" s="2" t="s">
        <v>119</v>
      </c>
      <c r="F141" s="19">
        <f>Garveymattpts</f>
        <v>10</v>
      </c>
    </row>
    <row r="142" spans="1:6" ht="14.95" customHeight="1" thickBot="1" x14ac:dyDescent="0.3">
      <c r="A142" s="62" t="s">
        <v>353</v>
      </c>
      <c r="B142" s="62" t="s">
        <v>133</v>
      </c>
      <c r="C142" s="9">
        <f>Scottleictries</f>
        <v>2</v>
      </c>
      <c r="D142" s="17" t="s">
        <v>1009</v>
      </c>
      <c r="E142" s="17" t="s">
        <v>537</v>
      </c>
      <c r="F142" s="19">
        <f>Hadfieldsarpts</f>
        <v>10</v>
      </c>
    </row>
    <row r="143" spans="1:6" ht="14.95" customHeight="1" thickBot="1" x14ac:dyDescent="0.3">
      <c r="A143" s="62" t="s">
        <v>558</v>
      </c>
      <c r="B143" s="62" t="s">
        <v>537</v>
      </c>
      <c r="C143" s="9">
        <f>Segunsartriescorrect</f>
        <v>2</v>
      </c>
      <c r="D143" s="2" t="s">
        <v>624</v>
      </c>
      <c r="E143" s="2" t="s">
        <v>120</v>
      </c>
      <c r="F143" s="19">
        <f>Hendynorpts</f>
        <v>10</v>
      </c>
    </row>
    <row r="144" spans="1:6" ht="14.95" customHeight="1" thickBot="1" x14ac:dyDescent="0.3">
      <c r="A144" s="62" t="s">
        <v>896</v>
      </c>
      <c r="B144" s="62" t="s">
        <v>133</v>
      </c>
      <c r="C144" s="9">
        <f>ShillcockLEItries</f>
        <v>2</v>
      </c>
      <c r="D144" s="2" t="s">
        <v>130</v>
      </c>
      <c r="E144" s="2" t="s">
        <v>118</v>
      </c>
      <c r="F144" s="19">
        <f>Hill_Jsalpts</f>
        <v>10</v>
      </c>
    </row>
    <row r="145" spans="1:6" ht="14.95" customHeight="1" thickBot="1" x14ac:dyDescent="0.3">
      <c r="A145" s="62" t="s">
        <v>793</v>
      </c>
      <c r="B145" s="62" t="s">
        <v>132</v>
      </c>
      <c r="C145" s="9">
        <f>Sioexetries</f>
        <v>2</v>
      </c>
      <c r="D145" s="2" t="s">
        <v>804</v>
      </c>
      <c r="E145" s="2" t="s">
        <v>132</v>
      </c>
      <c r="F145" s="20">
        <f>Jenkins_Dexepts</f>
        <v>10</v>
      </c>
    </row>
    <row r="146" spans="1:6" ht="14.95" customHeight="1" thickBot="1" x14ac:dyDescent="0.3">
      <c r="A146" s="62" t="s">
        <v>247</v>
      </c>
      <c r="B146" s="62" t="s">
        <v>132</v>
      </c>
      <c r="C146" s="9">
        <f>Skinner_Hexetries</f>
        <v>2</v>
      </c>
      <c r="D146" s="17" t="s">
        <v>1029</v>
      </c>
      <c r="E146" s="17" t="s">
        <v>132</v>
      </c>
      <c r="F146" s="19">
        <f>Johnexepts</f>
        <v>10</v>
      </c>
    </row>
    <row r="147" spans="1:6" ht="14.95" customHeight="1" thickBot="1" x14ac:dyDescent="0.3">
      <c r="A147" s="62" t="s">
        <v>595</v>
      </c>
      <c r="B147" s="62" t="s">
        <v>389</v>
      </c>
      <c r="C147" s="9">
        <f>Smithrnewtries</f>
        <v>2</v>
      </c>
      <c r="D147" s="2" t="s">
        <v>704</v>
      </c>
      <c r="E147" s="2" t="s">
        <v>133</v>
      </c>
      <c r="F147" s="18">
        <f>Jansenleipts</f>
        <v>10</v>
      </c>
    </row>
    <row r="148" spans="1:6" ht="14.95" customHeight="1" thickBot="1" x14ac:dyDescent="0.3">
      <c r="A148" s="62" t="s">
        <v>427</v>
      </c>
      <c r="B148" s="62" t="s">
        <v>389</v>
      </c>
      <c r="C148" s="9">
        <f>Kruisgeorgetries</f>
        <v>2</v>
      </c>
      <c r="D148" s="2" t="s">
        <v>444</v>
      </c>
      <c r="E148" s="2" t="s">
        <v>133</v>
      </c>
      <c r="F148" s="19">
        <f>Kerrleicpts</f>
        <v>10</v>
      </c>
    </row>
    <row r="149" spans="1:6" ht="14.95" customHeight="1" thickBot="1" x14ac:dyDescent="0.3">
      <c r="A149" s="10" t="s">
        <v>976</v>
      </c>
      <c r="B149" s="10" t="s">
        <v>119</v>
      </c>
      <c r="C149" s="9">
        <f>Stookebthtries</f>
        <v>2</v>
      </c>
      <c r="D149" s="17" t="s">
        <v>198</v>
      </c>
      <c r="E149" s="2" t="s">
        <v>120</v>
      </c>
      <c r="F149" s="19">
        <f>Lawesnorpts</f>
        <v>10</v>
      </c>
    </row>
    <row r="150" spans="1:6" ht="14.95" customHeight="1" thickBot="1" x14ac:dyDescent="0.3">
      <c r="A150" s="10" t="s">
        <v>465</v>
      </c>
      <c r="B150" s="10" t="s">
        <v>133</v>
      </c>
      <c r="C150" s="9">
        <f>van_Poortvlietleictries</f>
        <v>2</v>
      </c>
      <c r="D150" s="2" t="s">
        <v>623</v>
      </c>
      <c r="E150" s="2" t="s">
        <v>120</v>
      </c>
      <c r="F150" s="19">
        <f>Litchfieldnorpts</f>
        <v>10</v>
      </c>
    </row>
    <row r="151" spans="1:6" ht="14.95" customHeight="1" thickBot="1" x14ac:dyDescent="0.3">
      <c r="A151" s="10" t="s">
        <v>229</v>
      </c>
      <c r="B151" s="10" t="s">
        <v>133</v>
      </c>
      <c r="C151" s="9">
        <f>van_Wyk_Fleictries</f>
        <v>2</v>
      </c>
      <c r="D151" s="17" t="s">
        <v>874</v>
      </c>
      <c r="E151" s="17" t="s">
        <v>138</v>
      </c>
      <c r="F151" s="19">
        <f>MarmionBRIpts</f>
        <v>10</v>
      </c>
    </row>
    <row r="152" spans="1:6" ht="14.95" customHeight="1" thickBot="1" x14ac:dyDescent="0.3">
      <c r="A152" s="62" t="s">
        <v>944</v>
      </c>
      <c r="B152" s="62" t="s">
        <v>132</v>
      </c>
      <c r="C152" s="9">
        <f>Whittentries</f>
        <v>2</v>
      </c>
      <c r="D152" s="2" t="s">
        <v>466</v>
      </c>
      <c r="E152" s="2" t="s">
        <v>133</v>
      </c>
      <c r="F152" s="19">
        <f>Martinleicpts</f>
        <v>10</v>
      </c>
    </row>
    <row r="153" spans="1:6" ht="14.95" customHeight="1" thickBot="1" x14ac:dyDescent="0.3">
      <c r="A153" s="62" t="s">
        <v>503</v>
      </c>
      <c r="B153" s="62" t="s">
        <v>537</v>
      </c>
      <c r="C153" s="9">
        <f>Vunipola_Bsartriescorrect</f>
        <v>2</v>
      </c>
      <c r="D153" s="2" t="s">
        <v>207</v>
      </c>
      <c r="E153" s="2" t="s">
        <v>119</v>
      </c>
      <c r="F153" s="19">
        <f>McConnochiebthpts</f>
        <v>10</v>
      </c>
    </row>
    <row r="154" spans="1:6" ht="14.95" customHeight="1" thickBot="1" x14ac:dyDescent="0.3">
      <c r="A154" s="62" t="s">
        <v>165</v>
      </c>
      <c r="B154" s="62" t="s">
        <v>119</v>
      </c>
      <c r="C154" s="9">
        <f>Annettbthtries</f>
        <v>1</v>
      </c>
      <c r="D154" s="2" t="s">
        <v>994</v>
      </c>
      <c r="E154" s="2" t="s">
        <v>117</v>
      </c>
      <c r="F154" s="19">
        <f>Meehanglopts</f>
        <v>10</v>
      </c>
    </row>
    <row r="155" spans="1:6" ht="14.95" customHeight="1" thickBot="1" x14ac:dyDescent="0.3">
      <c r="A155" s="62" t="s">
        <v>658</v>
      </c>
      <c r="B155" s="62" t="s">
        <v>117</v>
      </c>
      <c r="C155" s="9">
        <f>Atkinson_Sglotries</f>
        <v>1</v>
      </c>
      <c r="D155" s="2" t="s">
        <v>489</v>
      </c>
      <c r="E155" s="2" t="s">
        <v>389</v>
      </c>
      <c r="F155" s="19">
        <f>Montgomerynewpts</f>
        <v>10</v>
      </c>
    </row>
    <row r="156" spans="1:6" ht="14.95" customHeight="1" thickBot="1" x14ac:dyDescent="0.3">
      <c r="A156" s="62" t="s">
        <v>641</v>
      </c>
      <c r="B156" s="62" t="s">
        <v>120</v>
      </c>
      <c r="C156" s="9">
        <f>Augustusnortries</f>
        <v>1</v>
      </c>
      <c r="D156" s="17" t="s">
        <v>211</v>
      </c>
      <c r="E156" s="17" t="s">
        <v>119</v>
      </c>
      <c r="F156" s="19">
        <f>Obanobthpts</f>
        <v>10</v>
      </c>
    </row>
    <row r="157" spans="1:6" ht="14.95" customHeight="1" thickBot="1" x14ac:dyDescent="0.3">
      <c r="A157" s="62" t="s">
        <v>167</v>
      </c>
      <c r="B157" s="62" t="s">
        <v>119</v>
      </c>
      <c r="C157" s="9">
        <f>Baylissbthtries</f>
        <v>1</v>
      </c>
      <c r="D157" s="2" t="s">
        <v>655</v>
      </c>
      <c r="E157" s="2" t="s">
        <v>120</v>
      </c>
      <c r="F157" s="19">
        <f>PearsonNOR_pts</f>
        <v>10</v>
      </c>
    </row>
    <row r="158" spans="1:6" ht="14.95" customHeight="1" thickBot="1" x14ac:dyDescent="0.3">
      <c r="A158" s="10" t="s">
        <v>639</v>
      </c>
      <c r="B158" s="10" t="s">
        <v>131</v>
      </c>
      <c r="C158" s="9">
        <f>Beardhartries</f>
        <v>1</v>
      </c>
      <c r="D158" s="2" t="s">
        <v>485</v>
      </c>
      <c r="E158" s="2" t="s">
        <v>118</v>
      </c>
      <c r="F158" s="19">
        <f>Quirkesalpts</f>
        <v>10</v>
      </c>
    </row>
    <row r="159" spans="1:6" ht="14.95" customHeight="1" thickBot="1" x14ac:dyDescent="0.3">
      <c r="A159" s="62" t="s">
        <v>983</v>
      </c>
      <c r="B159" s="62" t="s">
        <v>120</v>
      </c>
      <c r="C159" s="9">
        <f>Braleynortriescorrect</f>
        <v>1</v>
      </c>
      <c r="D159" s="2" t="s">
        <v>716</v>
      </c>
      <c r="E159" s="2" t="s">
        <v>131</v>
      </c>
      <c r="F159" s="19">
        <f>Scotland_W_sonharpts</f>
        <v>10</v>
      </c>
    </row>
    <row r="160" spans="1:6" ht="14.95" customHeight="1" thickBot="1" x14ac:dyDescent="0.3">
      <c r="A160" s="62" t="s">
        <v>950</v>
      </c>
      <c r="B160" s="62" t="s">
        <v>389</v>
      </c>
      <c r="C160" s="9">
        <f>brownnewtries</f>
        <v>1</v>
      </c>
      <c r="D160" s="2" t="s">
        <v>895</v>
      </c>
      <c r="E160" s="2" t="s">
        <v>133</v>
      </c>
      <c r="F160" s="19">
        <f>RogersonLEIpts</f>
        <v>10</v>
      </c>
    </row>
    <row r="161" spans="1:6" ht="14.95" customHeight="1" thickBot="1" x14ac:dyDescent="0.3">
      <c r="A161" s="62" t="s">
        <v>515</v>
      </c>
      <c r="B161" s="62" t="s">
        <v>119</v>
      </c>
      <c r="C161" s="9">
        <f>Buttbthtries</f>
        <v>1</v>
      </c>
      <c r="D161" s="17" t="s">
        <v>943</v>
      </c>
      <c r="E161" s="17" t="s">
        <v>132</v>
      </c>
      <c r="F161" s="19">
        <f>Schickerlingexepts</f>
        <v>10</v>
      </c>
    </row>
    <row r="162" spans="1:6" ht="14.95" customHeight="1" thickBot="1" x14ac:dyDescent="0.3">
      <c r="A162" s="62" t="s">
        <v>922</v>
      </c>
      <c r="B162" s="62" t="s">
        <v>118</v>
      </c>
      <c r="C162" s="49">
        <f>Cainesaltries</f>
        <v>1</v>
      </c>
      <c r="D162" s="2" t="s">
        <v>981</v>
      </c>
      <c r="E162" s="2" t="s">
        <v>119</v>
      </c>
      <c r="F162" s="19">
        <f>Schreuderbthpts</f>
        <v>10</v>
      </c>
    </row>
    <row r="163" spans="1:6" ht="14.95" customHeight="1" thickBot="1" x14ac:dyDescent="0.3">
      <c r="A163" s="62" t="s">
        <v>299</v>
      </c>
      <c r="B163" s="62" t="s">
        <v>138</v>
      </c>
      <c r="C163" s="9">
        <f>Caponbritries</f>
        <v>1</v>
      </c>
      <c r="D163" s="2" t="s">
        <v>353</v>
      </c>
      <c r="E163" s="2" t="s">
        <v>133</v>
      </c>
      <c r="F163" s="19">
        <f>Scottleicpts</f>
        <v>10</v>
      </c>
    </row>
    <row r="164" spans="1:6" ht="14.95" customHeight="1" thickBot="1" x14ac:dyDescent="0.3">
      <c r="A164" s="62" t="s">
        <v>1027</v>
      </c>
      <c r="B164" s="62" t="s">
        <v>389</v>
      </c>
      <c r="C164" s="9">
        <f>Carrerasnewtries</f>
        <v>1</v>
      </c>
      <c r="D164" s="2" t="s">
        <v>558</v>
      </c>
      <c r="E164" s="2" t="s">
        <v>537</v>
      </c>
      <c r="F164" s="19">
        <f>Segunsarptscorrect</f>
        <v>10</v>
      </c>
    </row>
    <row r="165" spans="1:6" ht="14.95" customHeight="1" thickBot="1" x14ac:dyDescent="0.3">
      <c r="A165" s="62" t="s">
        <v>873</v>
      </c>
      <c r="B165" s="62" t="s">
        <v>138</v>
      </c>
      <c r="C165" s="9">
        <f>CaulfieldBRItries</f>
        <v>1</v>
      </c>
      <c r="D165" s="2" t="s">
        <v>793</v>
      </c>
      <c r="E165" s="2" t="s">
        <v>132</v>
      </c>
      <c r="F165" s="19">
        <f>Sioexepts</f>
        <v>10</v>
      </c>
    </row>
    <row r="166" spans="1:6" ht="14.95" customHeight="1" thickBot="1" x14ac:dyDescent="0.3">
      <c r="A166" s="62" t="s">
        <v>395</v>
      </c>
      <c r="B166" s="62" t="s">
        <v>389</v>
      </c>
      <c r="C166" s="9">
        <f>Burgerjacquestries</f>
        <v>1</v>
      </c>
      <c r="D166" s="2" t="s">
        <v>595</v>
      </c>
      <c r="E166" s="2" t="s">
        <v>389</v>
      </c>
      <c r="F166" s="19">
        <f>Smithrnewpts</f>
        <v>10</v>
      </c>
    </row>
    <row r="167" spans="1:6" ht="14.95" customHeight="1" thickBot="1" x14ac:dyDescent="0.3">
      <c r="A167" s="62" t="s">
        <v>123</v>
      </c>
      <c r="B167" s="62" t="s">
        <v>131</v>
      </c>
      <c r="C167" s="49">
        <f>Chisholmjameshartries</f>
        <v>1</v>
      </c>
      <c r="D167" s="2" t="s">
        <v>427</v>
      </c>
      <c r="E167" s="2" t="s">
        <v>389</v>
      </c>
      <c r="F167" s="19">
        <f>Kruisgeorgepts</f>
        <v>10</v>
      </c>
    </row>
    <row r="168" spans="1:6" ht="14.95" customHeight="1" thickBot="1" x14ac:dyDescent="0.3">
      <c r="A168" s="62" t="s">
        <v>429</v>
      </c>
      <c r="B168" s="62" t="s">
        <v>133</v>
      </c>
      <c r="C168" s="9">
        <f>Blommetjiesleictries</f>
        <v>1</v>
      </c>
      <c r="D168" s="2" t="s">
        <v>976</v>
      </c>
      <c r="E168" s="2" t="s">
        <v>119</v>
      </c>
      <c r="F168" s="19">
        <f>Stookebthpts</f>
        <v>10</v>
      </c>
    </row>
    <row r="169" spans="1:6" ht="14.95" customHeight="1" thickBot="1" x14ac:dyDescent="0.3">
      <c r="A169" s="62" t="s">
        <v>172</v>
      </c>
      <c r="B169" s="62" t="s">
        <v>117</v>
      </c>
      <c r="C169" s="9">
        <f>Dawidiukglotries</f>
        <v>1</v>
      </c>
      <c r="D169" s="2" t="s">
        <v>465</v>
      </c>
      <c r="E169" s="2" t="s">
        <v>133</v>
      </c>
      <c r="F169" s="19">
        <f>van_Poortvlietleicpts</f>
        <v>10</v>
      </c>
    </row>
    <row r="170" spans="1:6" ht="14.95" customHeight="1" thickBot="1" x14ac:dyDescent="0.3">
      <c r="A170" s="62" t="s">
        <v>960</v>
      </c>
      <c r="B170" s="62" t="s">
        <v>119</v>
      </c>
      <c r="C170" s="9">
        <f>Cookbthtries</f>
        <v>1</v>
      </c>
      <c r="D170" s="2" t="s">
        <v>229</v>
      </c>
      <c r="E170" s="2" t="s">
        <v>133</v>
      </c>
      <c r="F170" s="19">
        <f>van_Wyk_Fleicpts</f>
        <v>10</v>
      </c>
    </row>
    <row r="171" spans="1:6" ht="14.95" customHeight="1" thickBot="1" x14ac:dyDescent="0.3">
      <c r="A171" s="62" t="s">
        <v>174</v>
      </c>
      <c r="B171" s="62" t="s">
        <v>133</v>
      </c>
      <c r="C171" s="9">
        <f>Coleleitries</f>
        <v>1</v>
      </c>
      <c r="D171" s="2" t="s">
        <v>944</v>
      </c>
      <c r="E171" s="2" t="s">
        <v>132</v>
      </c>
      <c r="F171" s="19">
        <f>Whittenpts</f>
        <v>10</v>
      </c>
    </row>
    <row r="172" spans="1:6" ht="14.95" customHeight="1" thickBot="1" x14ac:dyDescent="0.3">
      <c r="A172" s="10" t="s">
        <v>418</v>
      </c>
      <c r="B172" s="10" t="s">
        <v>389</v>
      </c>
      <c r="C172" s="9">
        <f>Connonnewtriescorrectthsione</f>
        <v>1</v>
      </c>
      <c r="D172" s="2" t="s">
        <v>503</v>
      </c>
      <c r="E172" s="2" t="s">
        <v>537</v>
      </c>
      <c r="F172" s="19">
        <f>Vunipola_Bsarptscorrect</f>
        <v>10</v>
      </c>
    </row>
    <row r="173" spans="1:6" ht="14.95" customHeight="1" thickBot="1" x14ac:dyDescent="0.3">
      <c r="A173" s="62" t="s">
        <v>712</v>
      </c>
      <c r="B173" s="62" t="s">
        <v>133</v>
      </c>
      <c r="C173" s="49">
        <f>Croninleitrie</f>
        <v>1</v>
      </c>
      <c r="D173" s="2" t="s">
        <v>546</v>
      </c>
      <c r="E173" s="2" t="s">
        <v>537</v>
      </c>
      <c r="F173" s="19">
        <f>Goodesarptscorrect</f>
        <v>9</v>
      </c>
    </row>
    <row r="174" spans="1:6" ht="14.95" customHeight="1" thickBot="1" x14ac:dyDescent="0.3">
      <c r="A174" s="62" t="s">
        <v>541</v>
      </c>
      <c r="B174" s="62" t="s">
        <v>537</v>
      </c>
      <c r="C174" s="9">
        <f>Dalysartriescorrect</f>
        <v>1</v>
      </c>
      <c r="D174" s="17" t="s">
        <v>1002</v>
      </c>
      <c r="E174" s="2" t="s">
        <v>120</v>
      </c>
      <c r="F174" s="19">
        <f>Savalanorpts</f>
        <v>8</v>
      </c>
    </row>
    <row r="175" spans="1:6" ht="14.95" customHeight="1" thickBot="1" x14ac:dyDescent="0.3">
      <c r="A175" s="62" t="s">
        <v>788</v>
      </c>
      <c r="B175" s="62" t="s">
        <v>138</v>
      </c>
      <c r="C175" s="49">
        <f>Daviesbritries</f>
        <v>1</v>
      </c>
      <c r="D175" s="2" t="s">
        <v>5</v>
      </c>
      <c r="E175" s="2" t="s">
        <v>537</v>
      </c>
      <c r="F175" s="19">
        <f>Penalty_Triessarptscorrect</f>
        <v>7</v>
      </c>
    </row>
    <row r="176" spans="1:6" ht="14.95" customHeight="1" thickBot="1" x14ac:dyDescent="0.3">
      <c r="A176" s="62" t="s">
        <v>932</v>
      </c>
      <c r="B176" s="62" t="s">
        <v>389</v>
      </c>
      <c r="C176" s="9">
        <f>de_ChavesNEWtries</f>
        <v>1</v>
      </c>
      <c r="D176" s="2" t="s">
        <v>121</v>
      </c>
      <c r="E176" s="2" t="s">
        <v>117</v>
      </c>
      <c r="F176" s="19">
        <f>Penalty_Triesglopts</f>
        <v>7</v>
      </c>
    </row>
    <row r="177" spans="1:6" ht="14.95" customHeight="1" thickBot="1" x14ac:dyDescent="0.3">
      <c r="A177" s="10" t="s">
        <v>287</v>
      </c>
      <c r="B177" s="62" t="s">
        <v>118</v>
      </c>
      <c r="C177" s="9">
        <f>du_Preez_Dsaltries</f>
        <v>1</v>
      </c>
      <c r="D177" s="2" t="s">
        <v>121</v>
      </c>
      <c r="E177" s="2" t="s">
        <v>133</v>
      </c>
      <c r="F177" s="18">
        <f>leicspentriespts</f>
        <v>7</v>
      </c>
    </row>
    <row r="178" spans="1:6" ht="14.95" customHeight="1" thickBot="1" x14ac:dyDescent="0.3">
      <c r="A178" s="62" t="s">
        <v>180</v>
      </c>
      <c r="B178" s="62" t="s">
        <v>537</v>
      </c>
      <c r="C178" s="9">
        <f>Earlsartriescorrect</f>
        <v>1</v>
      </c>
      <c r="D178" s="2" t="s">
        <v>327</v>
      </c>
      <c r="E178" s="2" t="s">
        <v>117</v>
      </c>
      <c r="F178" s="19">
        <f>Vellacottglopts</f>
        <v>7</v>
      </c>
    </row>
    <row r="179" spans="1:6" ht="14.95" customHeight="1" thickBot="1" x14ac:dyDescent="0.3">
      <c r="A179" s="62" t="s">
        <v>544</v>
      </c>
      <c r="B179" s="62" t="s">
        <v>537</v>
      </c>
      <c r="C179" s="9">
        <f>farrellsartriescorrect</f>
        <v>1</v>
      </c>
      <c r="D179" s="2" t="s">
        <v>244</v>
      </c>
      <c r="E179" s="2" t="s">
        <v>133</v>
      </c>
      <c r="F179" s="19">
        <f>WilkinsonLEIpts</f>
        <v>6</v>
      </c>
    </row>
    <row r="180" spans="1:6" ht="14.95" customHeight="1" thickBot="1" x14ac:dyDescent="0.3">
      <c r="A180" s="62" t="s">
        <v>1018</v>
      </c>
      <c r="B180" s="62" t="s">
        <v>120</v>
      </c>
      <c r="C180" s="9">
        <f>Garsidenortries</f>
        <v>1</v>
      </c>
      <c r="D180" s="17" t="s">
        <v>165</v>
      </c>
      <c r="E180" s="17" t="s">
        <v>119</v>
      </c>
      <c r="F180" s="19">
        <f>Annettbthpts</f>
        <v>5</v>
      </c>
    </row>
    <row r="181" spans="1:6" ht="14.95" customHeight="1" thickBot="1" x14ac:dyDescent="0.3">
      <c r="A181" s="62" t="s">
        <v>546</v>
      </c>
      <c r="B181" s="62" t="s">
        <v>537</v>
      </c>
      <c r="C181" s="9">
        <f>Goodesartriescorrect</f>
        <v>1</v>
      </c>
      <c r="D181" s="2" t="s">
        <v>658</v>
      </c>
      <c r="E181" s="2" t="s">
        <v>117</v>
      </c>
      <c r="F181" s="19">
        <f>Atkinson_Sglopts</f>
        <v>5</v>
      </c>
    </row>
    <row r="182" spans="1:6" ht="14.95" customHeight="1" thickBot="1" x14ac:dyDescent="0.3">
      <c r="A182" s="62" t="s">
        <v>599</v>
      </c>
      <c r="B182" s="62" t="s">
        <v>117</v>
      </c>
      <c r="C182" s="9">
        <f>Hudsonglotries</f>
        <v>1</v>
      </c>
      <c r="D182" s="2" t="s">
        <v>641</v>
      </c>
      <c r="E182" s="2" t="s">
        <v>120</v>
      </c>
      <c r="F182" s="19">
        <f>Augustusnorpts</f>
        <v>5</v>
      </c>
    </row>
    <row r="183" spans="1:6" ht="14.95" customHeight="1" thickBot="1" x14ac:dyDescent="0.3">
      <c r="A183" s="62" t="s">
        <v>887</v>
      </c>
      <c r="B183" s="62" t="s">
        <v>117</v>
      </c>
      <c r="C183" s="9">
        <f>HearleGLOtries</f>
        <v>1</v>
      </c>
      <c r="D183" s="2" t="s">
        <v>167</v>
      </c>
      <c r="E183" s="2" t="s">
        <v>119</v>
      </c>
      <c r="F183" s="19">
        <f>Baylissbthpts</f>
        <v>5</v>
      </c>
    </row>
    <row r="184" spans="1:6" ht="14.95" customHeight="1" thickBot="1" x14ac:dyDescent="0.3">
      <c r="A184" s="62" t="s">
        <v>189</v>
      </c>
      <c r="B184" s="62" t="s">
        <v>138</v>
      </c>
      <c r="C184" s="9">
        <f>Fowlietomtries</f>
        <v>1</v>
      </c>
      <c r="D184" s="2" t="s">
        <v>639</v>
      </c>
      <c r="E184" s="2" t="s">
        <v>131</v>
      </c>
      <c r="F184" s="19">
        <f>Beardharpts</f>
        <v>5</v>
      </c>
    </row>
    <row r="185" spans="1:6" ht="14.95" customHeight="1" thickBot="1" x14ac:dyDescent="0.3">
      <c r="A185" s="62" t="s">
        <v>190</v>
      </c>
      <c r="B185" s="62" t="s">
        <v>132</v>
      </c>
      <c r="C185" s="9">
        <f>Hendricksonexetries</f>
        <v>1</v>
      </c>
      <c r="D185" s="2" t="s">
        <v>983</v>
      </c>
      <c r="E185" s="2" t="s">
        <v>120</v>
      </c>
      <c r="F185" s="19">
        <f>Braleynorptscorrect</f>
        <v>5</v>
      </c>
    </row>
    <row r="186" spans="1:6" ht="14.95" customHeight="1" thickBot="1" x14ac:dyDescent="0.3">
      <c r="A186" s="62" t="s">
        <v>872</v>
      </c>
      <c r="B186" s="62" t="s">
        <v>119</v>
      </c>
      <c r="C186" s="9">
        <f>HennesseyBTHtries</f>
        <v>1</v>
      </c>
      <c r="D186" s="2" t="s">
        <v>950</v>
      </c>
      <c r="E186" s="2" t="s">
        <v>389</v>
      </c>
      <c r="F186" s="19">
        <f>brownnewpts</f>
        <v>5</v>
      </c>
    </row>
    <row r="187" spans="1:6" ht="14.95" customHeight="1" thickBot="1" x14ac:dyDescent="0.3">
      <c r="A187" s="10" t="s">
        <v>239</v>
      </c>
      <c r="B187" s="10" t="s">
        <v>119</v>
      </c>
      <c r="C187" s="9">
        <f>Hillbthtries</f>
        <v>1</v>
      </c>
      <c r="D187" s="2" t="s">
        <v>515</v>
      </c>
      <c r="E187" s="2" t="s">
        <v>119</v>
      </c>
      <c r="F187" s="19">
        <f>Buttbthpts</f>
        <v>5</v>
      </c>
    </row>
    <row r="188" spans="1:6" ht="14.95" customHeight="1" thickBot="1" x14ac:dyDescent="0.3">
      <c r="A188" s="62" t="s">
        <v>192</v>
      </c>
      <c r="B188" s="62" t="s">
        <v>120</v>
      </c>
      <c r="C188" s="9">
        <f>Hutchinsonnortries</f>
        <v>1</v>
      </c>
      <c r="D188" s="2" t="s">
        <v>922</v>
      </c>
      <c r="E188" s="2" t="s">
        <v>118</v>
      </c>
      <c r="F188" s="19">
        <f>Cainesalpts</f>
        <v>5</v>
      </c>
    </row>
    <row r="189" spans="1:6" ht="14.95" customHeight="1" thickBot="1" x14ac:dyDescent="0.3">
      <c r="A189" s="62" t="s">
        <v>1036</v>
      </c>
      <c r="B189" s="62" t="s">
        <v>120</v>
      </c>
      <c r="C189" s="9">
        <f>Irvinenortries</f>
        <v>1</v>
      </c>
      <c r="D189" s="2" t="s">
        <v>299</v>
      </c>
      <c r="E189" s="2" t="s">
        <v>138</v>
      </c>
      <c r="F189" s="19">
        <f>Caponbripts</f>
        <v>5</v>
      </c>
    </row>
    <row r="190" spans="1:6" ht="14.95" customHeight="1" thickBot="1" x14ac:dyDescent="0.3">
      <c r="A190" s="62" t="s">
        <v>742</v>
      </c>
      <c r="B190" s="62" t="s">
        <v>131</v>
      </c>
      <c r="C190" s="9">
        <f>Jibuluhartries</f>
        <v>1</v>
      </c>
      <c r="D190" s="2" t="s">
        <v>1027</v>
      </c>
      <c r="E190" s="2" t="s">
        <v>389</v>
      </c>
      <c r="F190" s="19">
        <f>Carrerasnewpts</f>
        <v>5</v>
      </c>
    </row>
    <row r="191" spans="1:6" ht="14.95" customHeight="1" thickBot="1" x14ac:dyDescent="0.3">
      <c r="A191" s="62" t="s">
        <v>491</v>
      </c>
      <c r="B191" s="62" t="s">
        <v>131</v>
      </c>
      <c r="C191" s="9">
        <f>Kenninghamhartries</f>
        <v>1</v>
      </c>
      <c r="D191" s="2" t="s">
        <v>873</v>
      </c>
      <c r="E191" s="2" t="s">
        <v>138</v>
      </c>
      <c r="F191" s="19">
        <f>CaulfieldBRIpts</f>
        <v>5</v>
      </c>
    </row>
    <row r="192" spans="1:6" ht="14.95" customHeight="1" thickBot="1" x14ac:dyDescent="0.3">
      <c r="A192" s="62" t="s">
        <v>318</v>
      </c>
      <c r="B192" s="62" t="s">
        <v>131</v>
      </c>
      <c r="C192" s="9">
        <f>Marfohartries</f>
        <v>1</v>
      </c>
      <c r="D192" s="17" t="s">
        <v>395</v>
      </c>
      <c r="E192" s="17" t="s">
        <v>389</v>
      </c>
      <c r="F192" s="18">
        <f>Burgerjacquespts</f>
        <v>5</v>
      </c>
    </row>
    <row r="193" spans="1:6" ht="14.95" customHeight="1" thickBot="1" x14ac:dyDescent="0.3">
      <c r="A193" s="62" t="s">
        <v>202</v>
      </c>
      <c r="B193" s="62" t="s">
        <v>120</v>
      </c>
      <c r="C193" s="9">
        <f>Ludlamnortries</f>
        <v>1</v>
      </c>
      <c r="D193" s="2" t="s">
        <v>123</v>
      </c>
      <c r="E193" s="2" t="s">
        <v>131</v>
      </c>
      <c r="F193" s="19">
        <f>Chisholmjamesharpts</f>
        <v>5</v>
      </c>
    </row>
    <row r="194" spans="1:6" ht="14.95" customHeight="1" thickBot="1" x14ac:dyDescent="0.3">
      <c r="A194" s="62" t="s">
        <v>203</v>
      </c>
      <c r="B194" s="62" t="s">
        <v>117</v>
      </c>
      <c r="C194" s="9">
        <f>Ludlowglotries</f>
        <v>1</v>
      </c>
      <c r="D194" s="21" t="s">
        <v>429</v>
      </c>
      <c r="E194" s="21" t="s">
        <v>133</v>
      </c>
      <c r="F194" s="19">
        <f>Blommetjiesleicpts</f>
        <v>5</v>
      </c>
    </row>
    <row r="195" spans="1:6" ht="14.95" customHeight="1" thickBot="1" x14ac:dyDescent="0.3">
      <c r="A195" s="8" t="s">
        <v>1020</v>
      </c>
      <c r="B195" s="62" t="s">
        <v>117</v>
      </c>
      <c r="C195" s="9">
        <f>McBurneyglotries</f>
        <v>1</v>
      </c>
      <c r="D195" s="21" t="s">
        <v>172</v>
      </c>
      <c r="E195" s="21" t="s">
        <v>117</v>
      </c>
      <c r="F195" s="19">
        <f>Dawidiukglopts</f>
        <v>5</v>
      </c>
    </row>
    <row r="196" spans="1:6" ht="14.95" customHeight="1" thickBot="1" x14ac:dyDescent="0.3">
      <c r="A196" s="9" t="s">
        <v>899</v>
      </c>
      <c r="B196" s="10" t="s">
        <v>389</v>
      </c>
      <c r="C196" s="9">
        <f>McDonaldNEWtries</f>
        <v>1</v>
      </c>
      <c r="D196" s="21" t="s">
        <v>960</v>
      </c>
      <c r="E196" s="21" t="s">
        <v>119</v>
      </c>
      <c r="F196" s="19">
        <f>Cookbthpts</f>
        <v>5</v>
      </c>
    </row>
    <row r="197" spans="1:6" ht="14.95" customHeight="1" thickBot="1" x14ac:dyDescent="0.3">
      <c r="A197" s="8" t="s">
        <v>709</v>
      </c>
      <c r="B197" s="62" t="s">
        <v>138</v>
      </c>
      <c r="C197" s="9">
        <f>MacGintybritries</f>
        <v>1</v>
      </c>
      <c r="D197" s="21" t="s">
        <v>174</v>
      </c>
      <c r="E197" s="21" t="s">
        <v>133</v>
      </c>
      <c r="F197" s="19">
        <f>Coleleipts</f>
        <v>5</v>
      </c>
    </row>
    <row r="198" spans="1:6" ht="14.95" customHeight="1" thickBot="1" x14ac:dyDescent="0.3">
      <c r="A198" s="8" t="s">
        <v>270</v>
      </c>
      <c r="B198" s="62" t="s">
        <v>120</v>
      </c>
      <c r="C198" s="9">
        <f>Moon_Anortries</f>
        <v>1</v>
      </c>
      <c r="D198" s="21" t="s">
        <v>712</v>
      </c>
      <c r="E198" s="21" t="s">
        <v>133</v>
      </c>
      <c r="F198" s="19">
        <f>Croninleipts</f>
        <v>5</v>
      </c>
    </row>
    <row r="199" spans="1:6" ht="14.95" customHeight="1" thickBot="1" x14ac:dyDescent="0.3">
      <c r="A199" s="8" t="s">
        <v>293</v>
      </c>
      <c r="B199" s="62" t="s">
        <v>117</v>
      </c>
      <c r="C199" s="9">
        <f>Morrisjglotries</f>
        <v>1</v>
      </c>
      <c r="D199" s="21" t="s">
        <v>788</v>
      </c>
      <c r="E199" s="21" t="s">
        <v>138</v>
      </c>
      <c r="F199" s="20">
        <f>Daviesbripts</f>
        <v>5</v>
      </c>
    </row>
    <row r="200" spans="1:6" ht="14.95" customHeight="1" thickBot="1" x14ac:dyDescent="0.3">
      <c r="A200" s="8" t="s">
        <v>373</v>
      </c>
      <c r="B200" s="62" t="s">
        <v>138</v>
      </c>
      <c r="C200" s="9">
        <f>Muldowneybritries</f>
        <v>1</v>
      </c>
      <c r="D200" s="21" t="s">
        <v>932</v>
      </c>
      <c r="E200" s="21" t="s">
        <v>389</v>
      </c>
      <c r="F200" s="19">
        <f>de_ChavesNEWpts</f>
        <v>5</v>
      </c>
    </row>
    <row r="201" spans="1:6" ht="14.95" customHeight="1" thickBot="1" x14ac:dyDescent="0.3">
      <c r="A201" s="324" t="s">
        <v>1044</v>
      </c>
      <c r="B201" s="12" t="s">
        <v>120</v>
      </c>
      <c r="C201" s="9">
        <f>Odendaalnortries</f>
        <v>1</v>
      </c>
      <c r="D201" s="19" t="s">
        <v>287</v>
      </c>
      <c r="E201" s="21" t="s">
        <v>118</v>
      </c>
      <c r="F201" s="19">
        <f>du_Preez_Dsalpts</f>
        <v>5</v>
      </c>
    </row>
    <row r="202" spans="1:6" ht="14.95" customHeight="1" thickBot="1" x14ac:dyDescent="0.3">
      <c r="A202" s="8" t="s">
        <v>608</v>
      </c>
      <c r="B202" s="62" t="s">
        <v>119</v>
      </c>
      <c r="C202" s="9">
        <f>OjomohBTHTRIES</f>
        <v>1</v>
      </c>
      <c r="D202" s="21" t="s">
        <v>180</v>
      </c>
      <c r="E202" s="21" t="s">
        <v>537</v>
      </c>
      <c r="F202" s="19">
        <f>Earlsarptscorrect</f>
        <v>5</v>
      </c>
    </row>
    <row r="203" spans="1:6" ht="14.95" customHeight="1" thickBot="1" x14ac:dyDescent="0.3">
      <c r="A203" s="8" t="s">
        <v>450</v>
      </c>
      <c r="B203" s="62" t="s">
        <v>389</v>
      </c>
      <c r="C203" s="9">
        <f>Itojesartries</f>
        <v>1</v>
      </c>
      <c r="D203" s="21" t="s">
        <v>1018</v>
      </c>
      <c r="E203" s="21" t="s">
        <v>120</v>
      </c>
      <c r="F203" s="19">
        <f>Garsidenorpts</f>
        <v>5</v>
      </c>
    </row>
    <row r="204" spans="1:6" ht="14.95" customHeight="1" thickBot="1" x14ac:dyDescent="0.3">
      <c r="A204" s="8" t="s">
        <v>5</v>
      </c>
      <c r="B204" s="62" t="s">
        <v>537</v>
      </c>
      <c r="C204" s="9">
        <f>Penalty_Triessartriescorrect</f>
        <v>1</v>
      </c>
      <c r="D204" s="21" t="s">
        <v>887</v>
      </c>
      <c r="E204" s="21" t="s">
        <v>117</v>
      </c>
      <c r="F204" s="19">
        <f>HearleGLOpts</f>
        <v>5</v>
      </c>
    </row>
    <row r="205" spans="1:6" ht="14.95" customHeight="1" thickBot="1" x14ac:dyDescent="0.3">
      <c r="A205" s="8" t="s">
        <v>121</v>
      </c>
      <c r="B205" s="62" t="s">
        <v>117</v>
      </c>
      <c r="C205" s="9">
        <f>Penalty_Triesglotries</f>
        <v>1</v>
      </c>
      <c r="D205" s="21" t="s">
        <v>189</v>
      </c>
      <c r="E205" s="21" t="s">
        <v>138</v>
      </c>
      <c r="F205" s="19">
        <f>Fowlielipts</f>
        <v>5</v>
      </c>
    </row>
    <row r="206" spans="1:6" ht="14.95" customHeight="1" thickBot="1" x14ac:dyDescent="0.3">
      <c r="A206" s="8" t="s">
        <v>121</v>
      </c>
      <c r="B206" s="62" t="s">
        <v>133</v>
      </c>
      <c r="C206" s="9">
        <f>leicspentriestries</f>
        <v>1</v>
      </c>
      <c r="D206" s="21" t="s">
        <v>190</v>
      </c>
      <c r="E206" s="21" t="s">
        <v>132</v>
      </c>
      <c r="F206" s="19">
        <f>Hendricksonexepts</f>
        <v>5</v>
      </c>
    </row>
    <row r="207" spans="1:6" ht="14.95" customHeight="1" thickBot="1" x14ac:dyDescent="0.3">
      <c r="A207" s="9" t="s">
        <v>791</v>
      </c>
      <c r="B207" s="62" t="s">
        <v>389</v>
      </c>
      <c r="C207" s="9">
        <f>Peppernewtries</f>
        <v>1</v>
      </c>
      <c r="D207" s="21" t="s">
        <v>872</v>
      </c>
      <c r="E207" s="21" t="s">
        <v>119</v>
      </c>
      <c r="F207" s="19">
        <f>HennesseyBTHpts</f>
        <v>5</v>
      </c>
    </row>
    <row r="208" spans="1:6" ht="14.95" customHeight="1" thickBot="1" x14ac:dyDescent="0.3">
      <c r="A208" s="8" t="s">
        <v>998</v>
      </c>
      <c r="B208" s="62" t="s">
        <v>389</v>
      </c>
      <c r="C208" s="9">
        <f>Kpokusartries</f>
        <v>1</v>
      </c>
      <c r="D208" s="21" t="s">
        <v>239</v>
      </c>
      <c r="E208" s="21" t="s">
        <v>119</v>
      </c>
      <c r="F208" s="19">
        <f>Hillbthpts</f>
        <v>5</v>
      </c>
    </row>
    <row r="209" spans="1:6" ht="14.95" customHeight="1" thickBot="1" x14ac:dyDescent="0.3">
      <c r="A209" s="8" t="s">
        <v>557</v>
      </c>
      <c r="B209" s="62" t="s">
        <v>537</v>
      </c>
      <c r="C209" s="9">
        <f>Riccionisartriescorrect</f>
        <v>1</v>
      </c>
      <c r="D209" s="21" t="s">
        <v>192</v>
      </c>
      <c r="E209" s="21" t="s">
        <v>120</v>
      </c>
      <c r="F209" s="19">
        <f>Hutchinsonnorpts</f>
        <v>5</v>
      </c>
    </row>
    <row r="210" spans="1:6" ht="14.95" customHeight="1" thickBot="1" x14ac:dyDescent="0.3">
      <c r="A210" s="8" t="s">
        <v>662</v>
      </c>
      <c r="B210" s="62" t="s">
        <v>119</v>
      </c>
      <c r="C210" s="9">
        <f>Richardsbthtries</f>
        <v>1</v>
      </c>
      <c r="D210" s="21" t="s">
        <v>1036</v>
      </c>
      <c r="E210" s="21" t="s">
        <v>120</v>
      </c>
      <c r="F210" s="19">
        <f>Irvinenorpts</f>
        <v>5</v>
      </c>
    </row>
    <row r="211" spans="1:6" ht="14.95" customHeight="1" thickBot="1" x14ac:dyDescent="0.3">
      <c r="A211" s="8" t="s">
        <v>221</v>
      </c>
      <c r="B211" s="62" t="s">
        <v>133</v>
      </c>
      <c r="C211" s="9">
        <f>Simmonsleictries</f>
        <v>1</v>
      </c>
      <c r="D211" s="21" t="s">
        <v>742</v>
      </c>
      <c r="E211" s="21" t="s">
        <v>131</v>
      </c>
      <c r="F211" s="19">
        <f>Jibuluharpts</f>
        <v>5</v>
      </c>
    </row>
    <row r="212" spans="1:6" ht="14.95" customHeight="1" thickBot="1" x14ac:dyDescent="0.3">
      <c r="A212" s="8" t="s">
        <v>310</v>
      </c>
      <c r="B212" s="62" t="s">
        <v>537</v>
      </c>
      <c r="C212" s="9">
        <f>Simpson_Gsartries</f>
        <v>1</v>
      </c>
      <c r="D212" s="21" t="s">
        <v>491</v>
      </c>
      <c r="E212" s="21" t="s">
        <v>131</v>
      </c>
      <c r="F212" s="19">
        <f>Kenninghamharpts</f>
        <v>5</v>
      </c>
    </row>
    <row r="213" spans="1:6" ht="14.95" customHeight="1" thickBot="1" x14ac:dyDescent="0.3">
      <c r="A213" s="8" t="s">
        <v>222</v>
      </c>
      <c r="B213" s="62" t="s">
        <v>138</v>
      </c>
      <c r="C213" s="9">
        <f>Stirzakerbritries</f>
        <v>1</v>
      </c>
      <c r="D213" s="21" t="s">
        <v>318</v>
      </c>
      <c r="E213" s="21" t="s">
        <v>131</v>
      </c>
      <c r="F213" s="19">
        <f>Marfoharpts</f>
        <v>5</v>
      </c>
    </row>
    <row r="214" spans="1:6" ht="14.95" customHeight="1" thickBot="1" x14ac:dyDescent="0.3">
      <c r="A214" s="8" t="s">
        <v>674</v>
      </c>
      <c r="B214" s="62" t="s">
        <v>120</v>
      </c>
      <c r="C214" s="9">
        <f>Smith_Rnortries</f>
        <v>1</v>
      </c>
      <c r="D214" s="21" t="s">
        <v>202</v>
      </c>
      <c r="E214" s="21" t="s">
        <v>120</v>
      </c>
      <c r="F214" s="19">
        <f>Ludlamnorpts</f>
        <v>5</v>
      </c>
    </row>
    <row r="215" spans="1:6" ht="14.95" customHeight="1" thickBot="1" x14ac:dyDescent="0.3">
      <c r="A215" s="9" t="s">
        <v>409</v>
      </c>
      <c r="B215" s="10" t="s">
        <v>389</v>
      </c>
      <c r="C215" s="9">
        <f>Lamositelesartries</f>
        <v>1</v>
      </c>
      <c r="D215" s="21" t="s">
        <v>203</v>
      </c>
      <c r="E215" s="21" t="s">
        <v>117</v>
      </c>
      <c r="F215" s="19">
        <f>Ludlowglopts</f>
        <v>5</v>
      </c>
    </row>
    <row r="216" spans="1:6" ht="14.95" customHeight="1" thickBot="1" x14ac:dyDescent="0.3">
      <c r="A216" s="8" t="s">
        <v>689</v>
      </c>
      <c r="B216" s="62" t="s">
        <v>117</v>
      </c>
      <c r="C216" s="9">
        <f>Thomasglotries</f>
        <v>1</v>
      </c>
      <c r="D216" s="19" t="s">
        <v>1020</v>
      </c>
      <c r="E216" s="21" t="s">
        <v>117</v>
      </c>
      <c r="F216" s="19">
        <f>McBurneyglopts</f>
        <v>5</v>
      </c>
    </row>
    <row r="217" spans="1:6" ht="14.95" customHeight="1" thickBot="1" x14ac:dyDescent="0.3">
      <c r="A217" s="8" t="s">
        <v>226</v>
      </c>
      <c r="B217" s="8" t="s">
        <v>118</v>
      </c>
      <c r="C217" s="9">
        <f>Tuitupousamtries</f>
        <v>1</v>
      </c>
      <c r="D217" s="21" t="s">
        <v>899</v>
      </c>
      <c r="E217" s="21" t="s">
        <v>389</v>
      </c>
      <c r="F217" s="19">
        <f>McDonaldNEWpts</f>
        <v>5</v>
      </c>
    </row>
    <row r="218" spans="1:6" ht="14.95" customHeight="1" thickBot="1" x14ac:dyDescent="0.3">
      <c r="A218" s="8" t="s">
        <v>327</v>
      </c>
      <c r="B218" s="8" t="s">
        <v>117</v>
      </c>
      <c r="C218" s="49">
        <f>Vellacottglotries</f>
        <v>1</v>
      </c>
      <c r="D218" s="19" t="s">
        <v>270</v>
      </c>
      <c r="E218" s="21" t="s">
        <v>120</v>
      </c>
      <c r="F218" s="19">
        <f>Moonnorpts</f>
        <v>5</v>
      </c>
    </row>
    <row r="219" spans="1:6" ht="14.95" customHeight="1" thickBot="1" x14ac:dyDescent="0.3">
      <c r="A219" s="8" t="s">
        <v>513</v>
      </c>
      <c r="B219" s="8" t="s">
        <v>537</v>
      </c>
      <c r="C219" s="9">
        <f>Vunipola__Makosartriescorrect</f>
        <v>1</v>
      </c>
      <c r="D219" s="21" t="s">
        <v>293</v>
      </c>
      <c r="E219" s="21" t="s">
        <v>117</v>
      </c>
      <c r="F219" s="19">
        <f>Morrisjglopts</f>
        <v>5</v>
      </c>
    </row>
    <row r="220" spans="1:6" ht="14.95" customHeight="1" thickBot="1" x14ac:dyDescent="0.3">
      <c r="A220" s="8" t="s">
        <v>512</v>
      </c>
      <c r="B220" s="8" t="s">
        <v>537</v>
      </c>
      <c r="C220" s="9">
        <f>Vunipola__Manusartriescorrect</f>
        <v>1</v>
      </c>
      <c r="D220" s="21" t="s">
        <v>373</v>
      </c>
      <c r="E220" s="21" t="s">
        <v>138</v>
      </c>
      <c r="F220" s="19">
        <f>Muldowneybripts</f>
        <v>5</v>
      </c>
    </row>
    <row r="221" spans="1:6" ht="14.95" customHeight="1" thickBot="1" x14ac:dyDescent="0.3">
      <c r="A221" s="8" t="s">
        <v>126</v>
      </c>
      <c r="B221" s="8" t="s">
        <v>120</v>
      </c>
      <c r="C221" s="9">
        <f>A_Wallertries</f>
        <v>1</v>
      </c>
      <c r="D221" s="21" t="s">
        <v>1044</v>
      </c>
      <c r="E221" s="21" t="s">
        <v>120</v>
      </c>
      <c r="F221" s="19">
        <f>Odendaalnorpts</f>
        <v>5</v>
      </c>
    </row>
    <row r="222" spans="1:6" ht="14.95" customHeight="1" thickBot="1" x14ac:dyDescent="0.3">
      <c r="A222" s="8" t="s">
        <v>773</v>
      </c>
      <c r="B222" s="8" t="s">
        <v>133</v>
      </c>
      <c r="C222" s="9">
        <f>Watsonleictries</f>
        <v>1</v>
      </c>
      <c r="D222" s="21" t="s">
        <v>608</v>
      </c>
      <c r="E222" s="21" t="s">
        <v>119</v>
      </c>
      <c r="F222" s="19">
        <f>OjomohBTHPTS</f>
        <v>5</v>
      </c>
    </row>
    <row r="223" spans="1:6" ht="14.95" customHeight="1" thickBot="1" x14ac:dyDescent="0.3">
      <c r="A223" s="8" t="s">
        <v>526</v>
      </c>
      <c r="B223" s="8" t="s">
        <v>133</v>
      </c>
      <c r="C223" s="9">
        <f>WhiteleyLEItries</f>
        <v>1</v>
      </c>
      <c r="D223" s="21" t="s">
        <v>450</v>
      </c>
      <c r="E223" s="21" t="s">
        <v>389</v>
      </c>
      <c r="F223" s="19">
        <f>Itojesarpts</f>
        <v>5</v>
      </c>
    </row>
    <row r="224" spans="1:6" ht="14.95" customHeight="1" thickBot="1" x14ac:dyDescent="0.3">
      <c r="A224" s="9" t="s">
        <v>985</v>
      </c>
      <c r="B224" s="9" t="s">
        <v>132</v>
      </c>
      <c r="C224" s="9">
        <f>Williamsexetries</f>
        <v>1</v>
      </c>
      <c r="D224" s="19" t="s">
        <v>791</v>
      </c>
      <c r="E224" s="19" t="s">
        <v>389</v>
      </c>
      <c r="F224" s="19">
        <f>Peppernewpts</f>
        <v>5</v>
      </c>
    </row>
    <row r="225" spans="1:6" ht="14.95" customHeight="1" thickBot="1" x14ac:dyDescent="0.3">
      <c r="A225" s="8" t="s">
        <v>283</v>
      </c>
      <c r="B225" s="8" t="s">
        <v>132</v>
      </c>
      <c r="C225" s="9">
        <f>Wyattexetries</f>
        <v>1</v>
      </c>
      <c r="D225" s="21" t="s">
        <v>998</v>
      </c>
      <c r="E225" s="21" t="s">
        <v>389</v>
      </c>
      <c r="F225" s="19">
        <f>Kpokusarpts</f>
        <v>5</v>
      </c>
    </row>
    <row r="226" spans="1:6" ht="14.95" customHeight="1" thickBot="1" x14ac:dyDescent="0.3">
      <c r="A226" s="8" t="s">
        <v>538</v>
      </c>
      <c r="B226" s="8" t="s">
        <v>537</v>
      </c>
      <c r="C226" s="9">
        <f>Adams_Halesartriescorrect</f>
        <v>0</v>
      </c>
      <c r="D226" s="21" t="s">
        <v>557</v>
      </c>
      <c r="E226" s="21" t="s">
        <v>537</v>
      </c>
      <c r="F226" s="19">
        <f>Riccionisarptscorrect</f>
        <v>5</v>
      </c>
    </row>
    <row r="227" spans="1:6" ht="14.95" customHeight="1" thickBot="1" x14ac:dyDescent="0.3">
      <c r="A227" s="8" t="s">
        <v>684</v>
      </c>
      <c r="B227" s="8" t="s">
        <v>537</v>
      </c>
      <c r="C227" s="9">
        <f>Adejimisartries</f>
        <v>0</v>
      </c>
      <c r="D227" s="21" t="s">
        <v>662</v>
      </c>
      <c r="E227" s="21" t="s">
        <v>119</v>
      </c>
      <c r="F227" s="19">
        <f>Richardsbthpts</f>
        <v>5</v>
      </c>
    </row>
    <row r="228" spans="1:6" ht="14.95" customHeight="1" thickBot="1" x14ac:dyDescent="0.3">
      <c r="A228" s="8" t="s">
        <v>811</v>
      </c>
      <c r="B228" s="8" t="s">
        <v>131</v>
      </c>
      <c r="C228" s="9">
        <f>Andersonhartries</f>
        <v>0</v>
      </c>
      <c r="D228" s="21" t="s">
        <v>221</v>
      </c>
      <c r="E228" s="21" t="s">
        <v>133</v>
      </c>
      <c r="F228" s="19">
        <f>Simmonsleicpts</f>
        <v>5</v>
      </c>
    </row>
    <row r="229" spans="1:6" ht="14.95" customHeight="1" thickBot="1" x14ac:dyDescent="0.3">
      <c r="A229" s="8" t="s">
        <v>710</v>
      </c>
      <c r="B229" s="8" t="s">
        <v>131</v>
      </c>
      <c r="C229" s="9">
        <f>Anyanwuhartries</f>
        <v>0</v>
      </c>
      <c r="D229" s="21" t="s">
        <v>310</v>
      </c>
      <c r="E229" s="21" t="s">
        <v>537</v>
      </c>
      <c r="F229" s="19">
        <f>Simpson_Gsarpts</f>
        <v>5</v>
      </c>
    </row>
    <row r="230" spans="1:6" ht="14.95" customHeight="1" thickBot="1" x14ac:dyDescent="0.3">
      <c r="A230" s="397" t="s">
        <v>367</v>
      </c>
      <c r="B230" s="397" t="s">
        <v>138</v>
      </c>
      <c r="C230" s="9">
        <f>Armstrongjakebritries</f>
        <v>0</v>
      </c>
      <c r="D230" s="21" t="s">
        <v>222</v>
      </c>
      <c r="E230" s="21" t="s">
        <v>138</v>
      </c>
      <c r="F230" s="19">
        <f>Stirzakerbripts</f>
        <v>5</v>
      </c>
    </row>
    <row r="231" spans="1:6" ht="14.95" customHeight="1" thickBot="1" x14ac:dyDescent="0.3">
      <c r="A231" s="9" t="s">
        <v>521</v>
      </c>
      <c r="B231" s="9" t="s">
        <v>138</v>
      </c>
      <c r="C231" s="9">
        <f>Ascherlbritries</f>
        <v>0</v>
      </c>
      <c r="D231" s="2" t="s">
        <v>674</v>
      </c>
      <c r="E231" s="2" t="s">
        <v>120</v>
      </c>
      <c r="F231" s="19">
        <f>Smith_Rnorpts</f>
        <v>5</v>
      </c>
    </row>
    <row r="232" spans="1:6" ht="14.95" customHeight="1" thickBot="1" x14ac:dyDescent="0.3">
      <c r="A232" s="8" t="s">
        <v>789</v>
      </c>
      <c r="B232" s="8" t="s">
        <v>138</v>
      </c>
      <c r="C232" s="49">
        <f>Armstrongbritries</f>
        <v>0</v>
      </c>
      <c r="D232" s="17" t="s">
        <v>409</v>
      </c>
      <c r="E232" s="17" t="s">
        <v>389</v>
      </c>
      <c r="F232" s="19">
        <f>Lamositelesarpts</f>
        <v>5</v>
      </c>
    </row>
    <row r="233" spans="1:6" ht="14.95" customHeight="1" thickBot="1" x14ac:dyDescent="0.3">
      <c r="A233" s="62" t="s">
        <v>478</v>
      </c>
      <c r="B233" s="62" t="s">
        <v>119</v>
      </c>
      <c r="C233" s="9">
        <f>Baileybthtries</f>
        <v>0</v>
      </c>
      <c r="D233" s="2" t="s">
        <v>689</v>
      </c>
      <c r="E233" s="2" t="s">
        <v>117</v>
      </c>
      <c r="F233" s="19">
        <f>Thomasglopts</f>
        <v>5</v>
      </c>
    </row>
    <row r="234" spans="1:6" ht="14.95" customHeight="1" thickBot="1" x14ac:dyDescent="0.3">
      <c r="A234" s="62" t="s">
        <v>166</v>
      </c>
      <c r="B234" s="62" t="s">
        <v>117</v>
      </c>
      <c r="C234" s="9">
        <f>Balmainglotries</f>
        <v>0</v>
      </c>
      <c r="D234" s="2" t="s">
        <v>226</v>
      </c>
      <c r="E234" s="2" t="s">
        <v>118</v>
      </c>
      <c r="F234" s="19">
        <f>Tuitupousampts</f>
        <v>5</v>
      </c>
    </row>
    <row r="235" spans="1:6" ht="14.95" customHeight="1" thickBot="1" x14ac:dyDescent="0.3">
      <c r="A235" s="62" t="s">
        <v>927</v>
      </c>
      <c r="B235" s="62" t="s">
        <v>118</v>
      </c>
      <c r="C235" s="9">
        <f>BamberSALtries</f>
        <v>0</v>
      </c>
      <c r="D235" s="2" t="s">
        <v>513</v>
      </c>
      <c r="E235" s="2" t="s">
        <v>537</v>
      </c>
      <c r="F235" s="16">
        <f>Vunipola__Makosarptscorrect</f>
        <v>5</v>
      </c>
    </row>
    <row r="236" spans="1:6" ht="14.95" customHeight="1" thickBot="1" x14ac:dyDescent="0.3">
      <c r="A236" s="62" t="s">
        <v>809</v>
      </c>
      <c r="B236" s="62" t="s">
        <v>131</v>
      </c>
      <c r="C236" s="9">
        <f>Barneshartries</f>
        <v>0</v>
      </c>
      <c r="D236" s="2" t="s">
        <v>126</v>
      </c>
      <c r="E236" s="2" t="s">
        <v>120</v>
      </c>
      <c r="F236" s="273">
        <f>A_Wallerpts</f>
        <v>5</v>
      </c>
    </row>
    <row r="237" spans="1:6" ht="14.95" customHeight="1" thickBot="1" x14ac:dyDescent="0.3">
      <c r="A237" s="62" t="s">
        <v>691</v>
      </c>
      <c r="B237" s="62" t="s">
        <v>117</v>
      </c>
      <c r="C237" s="9">
        <f>Bartlettglotries</f>
        <v>0</v>
      </c>
      <c r="D237" s="2" t="s">
        <v>773</v>
      </c>
      <c r="E237" s="2" t="s">
        <v>133</v>
      </c>
      <c r="F237" s="404">
        <f>Watsonleicpts</f>
        <v>5</v>
      </c>
    </row>
    <row r="238" spans="1:6" ht="14.95" customHeight="1" thickBot="1" x14ac:dyDescent="0.3">
      <c r="A238" s="62" t="s">
        <v>280</v>
      </c>
      <c r="B238" s="62" t="s">
        <v>117</v>
      </c>
      <c r="C238" s="9">
        <f>Bartonglotries</f>
        <v>0</v>
      </c>
      <c r="D238" s="2" t="s">
        <v>526</v>
      </c>
      <c r="E238" s="2" t="s">
        <v>133</v>
      </c>
      <c r="F238" s="404">
        <f>WhiteleyLEIpts</f>
        <v>5</v>
      </c>
    </row>
    <row r="239" spans="1:6" ht="14.95" customHeight="1" thickBot="1" x14ac:dyDescent="0.3">
      <c r="A239" s="62" t="s">
        <v>713</v>
      </c>
      <c r="B239" s="62" t="s">
        <v>389</v>
      </c>
      <c r="C239" s="9">
        <f>Barringtonrichardtries</f>
        <v>0</v>
      </c>
      <c r="D239" s="17" t="s">
        <v>985</v>
      </c>
      <c r="E239" s="17" t="s">
        <v>132</v>
      </c>
      <c r="F239" s="404">
        <f>Williamsexepts</f>
        <v>5</v>
      </c>
    </row>
    <row r="240" spans="1:6" ht="14.95" customHeight="1" thickBot="1" x14ac:dyDescent="0.3">
      <c r="A240" s="62" t="s">
        <v>928</v>
      </c>
      <c r="B240" s="62" t="s">
        <v>133</v>
      </c>
      <c r="C240" s="9">
        <f>BassettLEItries</f>
        <v>0</v>
      </c>
      <c r="D240" s="2" t="s">
        <v>283</v>
      </c>
      <c r="E240" s="2" t="s">
        <v>132</v>
      </c>
      <c r="F240" s="16">
        <f>Wyattexepts</f>
        <v>5</v>
      </c>
    </row>
    <row r="241" spans="1:6" ht="14.95" customHeight="1" thickBot="1" x14ac:dyDescent="0.3">
      <c r="A241" s="10" t="s">
        <v>297</v>
      </c>
      <c r="B241" s="10" t="s">
        <v>138</v>
      </c>
      <c r="C241" s="9">
        <f>Batesbritries</f>
        <v>0</v>
      </c>
      <c r="D241" s="2" t="s">
        <v>807</v>
      </c>
      <c r="E241" s="2" t="s">
        <v>119</v>
      </c>
      <c r="F241" s="16">
        <f>Harrisbthpts</f>
        <v>2</v>
      </c>
    </row>
    <row r="242" spans="1:6" ht="14.95" customHeight="1" thickBot="1" x14ac:dyDescent="0.3">
      <c r="A242" s="62" t="s">
        <v>846</v>
      </c>
      <c r="B242" s="62" t="s">
        <v>131</v>
      </c>
      <c r="C242" s="9">
        <f>Baxterhartries</f>
        <v>0</v>
      </c>
      <c r="D242" s="2" t="s">
        <v>474</v>
      </c>
      <c r="E242" s="2" t="s">
        <v>117</v>
      </c>
      <c r="F242" s="16">
        <f>Socinoglopts</f>
        <v>2</v>
      </c>
    </row>
    <row r="243" spans="1:6" ht="14.95" customHeight="1" thickBot="1" x14ac:dyDescent="0.3">
      <c r="A243" s="62" t="s">
        <v>651</v>
      </c>
      <c r="B243" s="62" t="s">
        <v>537</v>
      </c>
      <c r="C243" s="9">
        <f>Beatonsartries</f>
        <v>0</v>
      </c>
      <c r="D243" s="2" t="s">
        <v>723</v>
      </c>
      <c r="E243" s="2" t="s">
        <v>389</v>
      </c>
      <c r="F243" s="404">
        <f>Thomasnewpts</f>
        <v>2</v>
      </c>
    </row>
    <row r="244" spans="1:6" ht="14.95" customHeight="1" thickBot="1" x14ac:dyDescent="0.3">
      <c r="A244" s="62" t="s">
        <v>168</v>
      </c>
      <c r="B244" s="62" t="s">
        <v>118</v>
      </c>
      <c r="C244" s="6">
        <f>Beaumontsaltries</f>
        <v>0</v>
      </c>
      <c r="D244" s="2" t="s">
        <v>538</v>
      </c>
      <c r="E244" s="2" t="s">
        <v>537</v>
      </c>
      <c r="F244" s="16">
        <f>Adams_Halesarptscorrect</f>
        <v>0</v>
      </c>
    </row>
    <row r="245" spans="1:6" ht="14.95" customHeight="1" thickBot="1" x14ac:dyDescent="0.3">
      <c r="A245" s="62" t="s">
        <v>757</v>
      </c>
      <c r="B245" s="62" t="s">
        <v>132</v>
      </c>
      <c r="C245" s="9">
        <f>Armanddontries</f>
        <v>0</v>
      </c>
      <c r="D245" s="2" t="s">
        <v>684</v>
      </c>
      <c r="E245" s="2" t="s">
        <v>537</v>
      </c>
      <c r="F245" s="16">
        <f>Adejimisarpts</f>
        <v>0</v>
      </c>
    </row>
    <row r="246" spans="1:6" ht="14.95" customHeight="1" thickBot="1" x14ac:dyDescent="0.3">
      <c r="A246" s="62" t="s">
        <v>249</v>
      </c>
      <c r="B246" s="62" t="s">
        <v>138</v>
      </c>
      <c r="C246" s="9">
        <f>bedlowbritries</f>
        <v>0</v>
      </c>
      <c r="D246" s="2" t="s">
        <v>811</v>
      </c>
      <c r="E246" s="2" t="s">
        <v>131</v>
      </c>
      <c r="F246" s="16">
        <f>Andersonharpts</f>
        <v>0</v>
      </c>
    </row>
    <row r="247" spans="1:6" ht="14.95" customHeight="1" thickBot="1" x14ac:dyDescent="0.3">
      <c r="A247" s="62" t="s">
        <v>249</v>
      </c>
      <c r="B247" s="62" t="s">
        <v>118</v>
      </c>
      <c r="C247" s="6">
        <f>BedlowSAL_tries</f>
        <v>0</v>
      </c>
      <c r="D247" s="17" t="s">
        <v>710</v>
      </c>
      <c r="E247" s="17" t="s">
        <v>131</v>
      </c>
      <c r="F247" s="16">
        <f>Anyanwuharpts</f>
        <v>0</v>
      </c>
    </row>
    <row r="248" spans="1:6" ht="14.95" customHeight="1" thickBot="1" x14ac:dyDescent="0.3">
      <c r="A248" s="10" t="s">
        <v>990</v>
      </c>
      <c r="B248" s="10" t="s">
        <v>389</v>
      </c>
      <c r="C248" s="9">
        <f>Bellonewtries</f>
        <v>0</v>
      </c>
      <c r="D248" s="2" t="s">
        <v>367</v>
      </c>
      <c r="E248" s="2" t="s">
        <v>138</v>
      </c>
      <c r="F248" s="16">
        <f>Armstrongjakebripts</f>
        <v>0</v>
      </c>
    </row>
    <row r="249" spans="1:6" ht="14.95" customHeight="1" thickBot="1" x14ac:dyDescent="0.3">
      <c r="A249" s="62" t="s">
        <v>618</v>
      </c>
      <c r="B249" s="62" t="s">
        <v>131</v>
      </c>
      <c r="C249" s="9">
        <f>Bensonhartries</f>
        <v>0</v>
      </c>
      <c r="D249" s="2" t="s">
        <v>521</v>
      </c>
      <c r="E249" s="2" t="s">
        <v>138</v>
      </c>
      <c r="F249" s="22">
        <f>Ascherlbripts</f>
        <v>0</v>
      </c>
    </row>
    <row r="250" spans="1:6" ht="14.95" customHeight="1" thickBot="1" x14ac:dyDescent="0.3">
      <c r="A250" s="62" t="s">
        <v>785</v>
      </c>
      <c r="B250" s="62" t="s">
        <v>138</v>
      </c>
      <c r="C250" s="49">
        <f>Benz_Salomon_Jbritri</f>
        <v>0</v>
      </c>
      <c r="D250" s="2" t="s">
        <v>789</v>
      </c>
      <c r="E250" s="2" t="s">
        <v>138</v>
      </c>
      <c r="F250" s="22">
        <f>Armstrongbripts</f>
        <v>0</v>
      </c>
    </row>
    <row r="251" spans="1:6" ht="14.95" customHeight="1" thickBot="1" x14ac:dyDescent="0.3">
      <c r="A251" s="12" t="s">
        <v>629</v>
      </c>
      <c r="B251" s="12" t="s">
        <v>118</v>
      </c>
      <c r="C251" s="6">
        <f>Birchsaltries</f>
        <v>0</v>
      </c>
      <c r="D251" s="2" t="s">
        <v>166</v>
      </c>
      <c r="E251" s="2" t="s">
        <v>117</v>
      </c>
      <c r="F251" s="22">
        <f>Balmainglopts</f>
        <v>0</v>
      </c>
    </row>
    <row r="252" spans="1:6" ht="14.95" customHeight="1" thickBot="1" x14ac:dyDescent="0.3">
      <c r="A252" s="12" t="s">
        <v>725</v>
      </c>
      <c r="B252" s="12" t="s">
        <v>389</v>
      </c>
      <c r="C252" s="6">
        <f>Blackettnewtries</f>
        <v>0</v>
      </c>
      <c r="D252" s="2" t="s">
        <v>927</v>
      </c>
      <c r="E252" s="2" t="s">
        <v>118</v>
      </c>
      <c r="F252" s="418">
        <f>BamberSALpts</f>
        <v>0</v>
      </c>
    </row>
    <row r="253" spans="1:6" ht="14.95" customHeight="1" thickBot="1" x14ac:dyDescent="0.3">
      <c r="A253" s="62" t="s">
        <v>169</v>
      </c>
      <c r="B253" s="62" t="s">
        <v>119</v>
      </c>
      <c r="C253" s="9">
        <f>Boycebthtries</f>
        <v>0</v>
      </c>
      <c r="D253" s="2" t="s">
        <v>809</v>
      </c>
      <c r="E253" s="2" t="s">
        <v>131</v>
      </c>
      <c r="F253" s="22">
        <f>Barnesharpts</f>
        <v>0</v>
      </c>
    </row>
    <row r="254" spans="1:6" ht="14.95" customHeight="1" thickBot="1" x14ac:dyDescent="0.3">
      <c r="A254" s="62" t="s">
        <v>744</v>
      </c>
      <c r="B254" s="62" t="s">
        <v>131</v>
      </c>
      <c r="C254" s="9">
        <f>Bradleyhartries</f>
        <v>0</v>
      </c>
      <c r="D254" s="2" t="s">
        <v>691</v>
      </c>
      <c r="E254" s="2" t="s">
        <v>117</v>
      </c>
      <c r="F254" s="22">
        <f>Bartlettglopts</f>
        <v>0</v>
      </c>
    </row>
    <row r="255" spans="1:6" ht="14.95" customHeight="1" thickBot="1" x14ac:dyDescent="0.3">
      <c r="A255" s="62" t="s">
        <v>393</v>
      </c>
      <c r="B255" s="62" t="s">
        <v>389</v>
      </c>
      <c r="C255" s="9">
        <f>Boschmarcelotries</f>
        <v>0</v>
      </c>
      <c r="D255" s="2" t="s">
        <v>713</v>
      </c>
      <c r="E255" s="2" t="s">
        <v>389</v>
      </c>
      <c r="F255" s="23">
        <f>Barringtonrichardpts</f>
        <v>0</v>
      </c>
    </row>
    <row r="256" spans="1:6" ht="14.95" customHeight="1" thickBot="1" x14ac:dyDescent="0.3">
      <c r="A256" s="62" t="s">
        <v>929</v>
      </c>
      <c r="B256" s="62" t="s">
        <v>131</v>
      </c>
      <c r="C256" s="9">
        <f>BrowneHARtries</f>
        <v>0</v>
      </c>
      <c r="D256" s="2" t="s">
        <v>928</v>
      </c>
      <c r="E256" s="2" t="s">
        <v>133</v>
      </c>
      <c r="F256" s="23">
        <f>BassettLEIpts</f>
        <v>0</v>
      </c>
    </row>
    <row r="257" spans="1:6" ht="14.95" customHeight="1" thickBot="1" x14ac:dyDescent="0.3">
      <c r="A257" s="62" t="s">
        <v>683</v>
      </c>
      <c r="B257" s="62" t="s">
        <v>537</v>
      </c>
      <c r="C257" s="9">
        <f>Bryansartries</f>
        <v>0</v>
      </c>
      <c r="D257" s="17" t="s">
        <v>297</v>
      </c>
      <c r="E257" s="17" t="s">
        <v>138</v>
      </c>
      <c r="F257" s="419">
        <f>Batesbripts</f>
        <v>0</v>
      </c>
    </row>
    <row r="258" spans="1:6" ht="14.95" customHeight="1" thickBot="1" x14ac:dyDescent="0.3">
      <c r="A258" s="62" t="s">
        <v>930</v>
      </c>
      <c r="B258" s="62" t="s">
        <v>132</v>
      </c>
      <c r="C258" s="9">
        <f>BurrowsEXEtries</f>
        <v>0</v>
      </c>
      <c r="D258" s="2" t="s">
        <v>846</v>
      </c>
      <c r="E258" s="2" t="s">
        <v>131</v>
      </c>
      <c r="F258" s="23">
        <f>Baxterharpts</f>
        <v>0</v>
      </c>
    </row>
    <row r="259" spans="1:6" ht="14.95" customHeight="1" thickBot="1" x14ac:dyDescent="0.3">
      <c r="A259" s="62" t="s">
        <v>844</v>
      </c>
      <c r="B259" s="62" t="s">
        <v>132</v>
      </c>
      <c r="C259" s="9">
        <f>Cairnsexetries</f>
        <v>0</v>
      </c>
      <c r="D259" s="2" t="s">
        <v>651</v>
      </c>
      <c r="E259" s="2" t="s">
        <v>537</v>
      </c>
      <c r="F259" s="23">
        <f>Beatonsarpts</f>
        <v>0</v>
      </c>
    </row>
    <row r="260" spans="1:6" ht="14.95" customHeight="1" thickBot="1" x14ac:dyDescent="0.3">
      <c r="A260" s="62" t="s">
        <v>255</v>
      </c>
      <c r="B260" s="62" t="s">
        <v>132</v>
      </c>
      <c r="C260" s="9">
        <f>Capstickexetries</f>
        <v>0</v>
      </c>
      <c r="D260" s="2" t="s">
        <v>168</v>
      </c>
      <c r="E260" s="2" t="s">
        <v>118</v>
      </c>
      <c r="F260" s="23">
        <f>Beaumontsalpts</f>
        <v>0</v>
      </c>
    </row>
    <row r="261" spans="1:6" ht="14.95" customHeight="1" thickBot="1" x14ac:dyDescent="0.3">
      <c r="A261" s="62" t="s">
        <v>743</v>
      </c>
      <c r="B261" s="62" t="s">
        <v>131</v>
      </c>
      <c r="C261" s="9">
        <f>Carrhartries</f>
        <v>0</v>
      </c>
      <c r="D261" s="2" t="s">
        <v>757</v>
      </c>
      <c r="E261" s="2" t="s">
        <v>132</v>
      </c>
      <c r="F261" s="23">
        <f>Armanddonpts</f>
        <v>0</v>
      </c>
    </row>
    <row r="262" spans="1:6" ht="14.95" customHeight="1" thickBot="1" x14ac:dyDescent="0.3">
      <c r="A262" s="12" t="s">
        <v>806</v>
      </c>
      <c r="B262" s="12" t="s">
        <v>119</v>
      </c>
      <c r="C262" s="9">
        <f>Ciprianibthtries</f>
        <v>0</v>
      </c>
      <c r="D262" s="2" t="s">
        <v>249</v>
      </c>
      <c r="E262" s="2" t="s">
        <v>138</v>
      </c>
      <c r="F262" s="23">
        <f>Bedlowbripts</f>
        <v>0</v>
      </c>
    </row>
    <row r="263" spans="1:6" ht="14.95" customHeight="1" thickBot="1" x14ac:dyDescent="0.3">
      <c r="A263" s="62" t="s">
        <v>657</v>
      </c>
      <c r="B263" s="62" t="s">
        <v>138</v>
      </c>
      <c r="C263" s="9">
        <f>Challengerbritries</f>
        <v>0</v>
      </c>
      <c r="D263" s="2" t="s">
        <v>249</v>
      </c>
      <c r="E263" s="2" t="s">
        <v>118</v>
      </c>
      <c r="F263" s="23">
        <f>BedlowSAL_pts</f>
        <v>0</v>
      </c>
    </row>
    <row r="264" spans="1:6" ht="14.95" customHeight="1" thickBot="1" x14ac:dyDescent="0.3">
      <c r="A264" s="62" t="s">
        <v>246</v>
      </c>
      <c r="B264" s="62" t="s">
        <v>117</v>
      </c>
      <c r="C264" s="9">
        <f>Chapmanglotries</f>
        <v>0</v>
      </c>
      <c r="D264" s="2" t="s">
        <v>990</v>
      </c>
      <c r="E264" s="2" t="s">
        <v>389</v>
      </c>
      <c r="F264" s="23">
        <f>Bellonewpts</f>
        <v>0</v>
      </c>
    </row>
    <row r="265" spans="1:6" ht="14.95" customHeight="1" thickBot="1" x14ac:dyDescent="0.3">
      <c r="A265" s="62" t="s">
        <v>730</v>
      </c>
      <c r="B265" s="62" t="s">
        <v>133</v>
      </c>
      <c r="C265" s="6">
        <f>Chessum_Lleitries</f>
        <v>0</v>
      </c>
      <c r="D265" s="2" t="s">
        <v>618</v>
      </c>
      <c r="E265" s="2" t="s">
        <v>131</v>
      </c>
      <c r="F265" s="19">
        <f>Bensonharpts</f>
        <v>0</v>
      </c>
    </row>
    <row r="266" spans="1:6" ht="14.95" customHeight="1" thickBot="1" x14ac:dyDescent="0.3">
      <c r="A266" s="12" t="s">
        <v>472</v>
      </c>
      <c r="B266" s="12" t="s">
        <v>133</v>
      </c>
      <c r="C266" s="6">
        <f>Chessumleictries</f>
        <v>0</v>
      </c>
      <c r="D266" s="2" t="s">
        <v>785</v>
      </c>
      <c r="E266" s="2" t="s">
        <v>138</v>
      </c>
      <c r="F266" s="16">
        <f>Benz_Salomon_Jbripts</f>
        <v>0</v>
      </c>
    </row>
    <row r="267" spans="1:6" ht="14.95" customHeight="1" thickBot="1" x14ac:dyDescent="0.3">
      <c r="A267" s="62" t="s">
        <v>540</v>
      </c>
      <c r="B267" s="62" t="s">
        <v>537</v>
      </c>
      <c r="C267" s="9">
        <f>Clareysartriescorrect</f>
        <v>0</v>
      </c>
      <c r="D267" s="210" t="s">
        <v>629</v>
      </c>
      <c r="E267" s="210" t="s">
        <v>118</v>
      </c>
      <c r="F267" s="19">
        <f>Birchsalpts</f>
        <v>0</v>
      </c>
    </row>
    <row r="268" spans="1:6" ht="14.95" customHeight="1" thickBot="1" x14ac:dyDescent="0.3">
      <c r="A268" s="12" t="s">
        <v>688</v>
      </c>
      <c r="B268" s="12" t="s">
        <v>131</v>
      </c>
      <c r="C268" s="9">
        <f>Cleaveshartries</f>
        <v>0</v>
      </c>
      <c r="D268" s="2" t="s">
        <v>725</v>
      </c>
      <c r="E268" s="2" t="s">
        <v>389</v>
      </c>
      <c r="F268" s="19">
        <f>Blackettnewpts</f>
        <v>0</v>
      </c>
    </row>
    <row r="269" spans="1:6" ht="14.95" customHeight="1" thickBot="1" x14ac:dyDescent="0.3">
      <c r="A269" s="62" t="s">
        <v>834</v>
      </c>
      <c r="B269" s="62" t="s">
        <v>119</v>
      </c>
      <c r="C269" s="9">
        <f>Coetzeebthtries</f>
        <v>0</v>
      </c>
      <c r="D269" s="2" t="s">
        <v>169</v>
      </c>
      <c r="E269" s="2" t="s">
        <v>119</v>
      </c>
      <c r="F269" s="19">
        <f>Boycebthpts</f>
        <v>0</v>
      </c>
    </row>
    <row r="270" spans="1:6" ht="14.95" customHeight="1" thickBot="1" x14ac:dyDescent="0.3">
      <c r="A270" s="62" t="s">
        <v>95</v>
      </c>
      <c r="B270" s="62" t="s">
        <v>133</v>
      </c>
      <c r="C270" s="9">
        <f>CokanasigaLEItries</f>
        <v>0</v>
      </c>
      <c r="D270" s="2" t="s">
        <v>744</v>
      </c>
      <c r="E270" s="2" t="s">
        <v>131</v>
      </c>
      <c r="F270" s="19">
        <f>Bradleyharpts</f>
        <v>0</v>
      </c>
    </row>
    <row r="271" spans="1:6" ht="14.95" customHeight="1" thickBot="1" x14ac:dyDescent="0.3">
      <c r="A271" s="62" t="s">
        <v>396</v>
      </c>
      <c r="B271" s="62" t="s">
        <v>389</v>
      </c>
      <c r="C271" s="10">
        <f>de_Kockneiltries</f>
        <v>0</v>
      </c>
      <c r="D271" s="2" t="s">
        <v>393</v>
      </c>
      <c r="E271" s="2" t="s">
        <v>389</v>
      </c>
      <c r="F271" s="19">
        <f>Boschmarcelopts</f>
        <v>0</v>
      </c>
    </row>
    <row r="272" spans="1:6" ht="14.95" customHeight="1" thickBot="1" x14ac:dyDescent="0.3">
      <c r="A272" s="62" t="s">
        <v>175</v>
      </c>
      <c r="B272" s="62" t="s">
        <v>131</v>
      </c>
      <c r="C272" s="10">
        <f>Collierhartries</f>
        <v>0</v>
      </c>
      <c r="D272" s="21" t="s">
        <v>929</v>
      </c>
      <c r="E272" s="21" t="s">
        <v>131</v>
      </c>
      <c r="F272" s="19">
        <f>BrowneHARpts</f>
        <v>0</v>
      </c>
    </row>
    <row r="273" spans="1:6" ht="14.95" customHeight="1" thickBot="1" x14ac:dyDescent="0.3">
      <c r="A273" s="62" t="s">
        <v>399</v>
      </c>
      <c r="B273" s="62" t="s">
        <v>389</v>
      </c>
      <c r="C273" s="10">
        <f>Crossdalesartriescorrect</f>
        <v>0</v>
      </c>
      <c r="D273" s="21" t="s">
        <v>683</v>
      </c>
      <c r="E273" s="21" t="s">
        <v>537</v>
      </c>
      <c r="F273" s="19">
        <f>Bryansarpts</f>
        <v>0</v>
      </c>
    </row>
    <row r="274" spans="1:6" ht="14.95" customHeight="1" thickBot="1" x14ac:dyDescent="0.3">
      <c r="A274" s="62" t="s">
        <v>645</v>
      </c>
      <c r="B274" s="62" t="s">
        <v>133</v>
      </c>
      <c r="C274" s="403">
        <f>Cracknellleitries</f>
        <v>0</v>
      </c>
      <c r="D274" s="21" t="s">
        <v>930</v>
      </c>
      <c r="E274" s="21" t="s">
        <v>132</v>
      </c>
      <c r="F274" s="19">
        <f>BurrowsEXEpts</f>
        <v>0</v>
      </c>
    </row>
    <row r="275" spans="1:6" ht="14.95" customHeight="1" thickBot="1" x14ac:dyDescent="0.3">
      <c r="A275" s="8" t="s">
        <v>379</v>
      </c>
      <c r="B275" s="8" t="s">
        <v>117</v>
      </c>
      <c r="C275" s="10">
        <f>Dentonglotries</f>
        <v>0</v>
      </c>
      <c r="D275" s="21" t="s">
        <v>844</v>
      </c>
      <c r="E275" s="21" t="s">
        <v>132</v>
      </c>
      <c r="F275" s="18">
        <f>Cairnsexepts</f>
        <v>0</v>
      </c>
    </row>
    <row r="276" spans="1:6" ht="14.95" customHeight="1" thickBot="1" x14ac:dyDescent="0.3">
      <c r="A276" s="8" t="s">
        <v>931</v>
      </c>
      <c r="B276" s="8" t="s">
        <v>120</v>
      </c>
      <c r="C276" s="9">
        <f>CruseNORtries</f>
        <v>0</v>
      </c>
      <c r="D276" s="21" t="s">
        <v>255</v>
      </c>
      <c r="E276" s="21" t="s">
        <v>132</v>
      </c>
      <c r="F276" s="18">
        <f>Capstickexepts</f>
        <v>0</v>
      </c>
    </row>
    <row r="277" spans="1:6" ht="14.95" customHeight="1" thickBot="1" x14ac:dyDescent="0.3">
      <c r="A277" s="8" t="s">
        <v>128</v>
      </c>
      <c r="B277" s="8" t="s">
        <v>118</v>
      </c>
      <c r="C277" s="9">
        <f>Curry_Tsaltries</f>
        <v>0</v>
      </c>
      <c r="D277" s="21" t="s">
        <v>743</v>
      </c>
      <c r="E277" s="21" t="s">
        <v>131</v>
      </c>
      <c r="F277" s="19">
        <f>Carrharpts</f>
        <v>0</v>
      </c>
    </row>
    <row r="278" spans="1:6" ht="14.95" customHeight="1" thickBot="1" x14ac:dyDescent="0.3">
      <c r="A278" s="8" t="s">
        <v>291</v>
      </c>
      <c r="B278" s="8" t="s">
        <v>118</v>
      </c>
      <c r="C278" s="9">
        <f>Curtissaltries</f>
        <v>0</v>
      </c>
      <c r="D278" s="402" t="s">
        <v>806</v>
      </c>
      <c r="E278" s="402" t="s">
        <v>119</v>
      </c>
      <c r="F278" s="19">
        <f>ciprianibthpts</f>
        <v>0</v>
      </c>
    </row>
    <row r="279" spans="1:6" ht="14.95" customHeight="1" thickBot="1" x14ac:dyDescent="0.3">
      <c r="A279" s="8" t="s">
        <v>581</v>
      </c>
      <c r="B279" s="8" t="s">
        <v>389</v>
      </c>
      <c r="C279" s="9">
        <f>Daltonnewtries</f>
        <v>0</v>
      </c>
      <c r="D279" s="21" t="s">
        <v>657</v>
      </c>
      <c r="E279" s="21" t="s">
        <v>138</v>
      </c>
      <c r="F279" s="19">
        <f>Challengerbripts</f>
        <v>0</v>
      </c>
    </row>
    <row r="280" spans="1:6" ht="14.95" customHeight="1" thickBot="1" x14ac:dyDescent="0.3">
      <c r="A280" s="8" t="s">
        <v>611</v>
      </c>
      <c r="B280" s="8" t="s">
        <v>120</v>
      </c>
      <c r="C280" s="9">
        <f>DavidsonNORtries</f>
        <v>0</v>
      </c>
      <c r="D280" s="21" t="s">
        <v>246</v>
      </c>
      <c r="E280" s="21" t="s">
        <v>117</v>
      </c>
      <c r="F280" s="19">
        <f>Chapmanglopts</f>
        <v>0</v>
      </c>
    </row>
    <row r="281" spans="1:6" ht="14.95" customHeight="1" thickBot="1" x14ac:dyDescent="0.3">
      <c r="A281" s="8" t="s">
        <v>612</v>
      </c>
      <c r="B281" s="8" t="s">
        <v>117</v>
      </c>
      <c r="C281" s="9">
        <f>Davidsonglotries</f>
        <v>0</v>
      </c>
      <c r="D281" s="21" t="s">
        <v>730</v>
      </c>
      <c r="E281" s="21" t="s">
        <v>133</v>
      </c>
      <c r="F281" s="19">
        <f>Chessum_Lleipts</f>
        <v>0</v>
      </c>
    </row>
    <row r="282" spans="1:6" ht="14.95" customHeight="1" thickBot="1" x14ac:dyDescent="0.3">
      <c r="A282" s="8" t="s">
        <v>542</v>
      </c>
      <c r="B282" s="8" t="s">
        <v>537</v>
      </c>
      <c r="C282" s="9">
        <f>Daviessartriescorrect</f>
        <v>0</v>
      </c>
      <c r="D282" s="21" t="s">
        <v>472</v>
      </c>
      <c r="E282" s="21" t="s">
        <v>133</v>
      </c>
      <c r="F282" s="19">
        <f>Chessumleicpts</f>
        <v>0</v>
      </c>
    </row>
    <row r="283" spans="1:6" ht="14.95" customHeight="1" thickBot="1" x14ac:dyDescent="0.3">
      <c r="A283" s="8" t="s">
        <v>770</v>
      </c>
      <c r="B283" s="8" t="s">
        <v>118</v>
      </c>
      <c r="C283" s="416">
        <f>de_Jagersaltries</f>
        <v>0</v>
      </c>
      <c r="D283" s="21" t="s">
        <v>540</v>
      </c>
      <c r="E283" s="21" t="s">
        <v>537</v>
      </c>
      <c r="F283" s="19">
        <f>Clareysarptscorrect</f>
        <v>0</v>
      </c>
    </row>
    <row r="284" spans="1:6" ht="14.95" customHeight="1" thickBot="1" x14ac:dyDescent="0.3">
      <c r="A284" s="8" t="s">
        <v>802</v>
      </c>
      <c r="B284" s="8" t="s">
        <v>132</v>
      </c>
      <c r="C284" s="9">
        <f>Davisexetrie</f>
        <v>0</v>
      </c>
      <c r="D284" s="402" t="s">
        <v>688</v>
      </c>
      <c r="E284" s="402" t="s">
        <v>131</v>
      </c>
      <c r="F284" s="19">
        <f>Cleavesharpts</f>
        <v>0</v>
      </c>
    </row>
    <row r="285" spans="1:6" ht="14.95" customHeight="1" thickBot="1" x14ac:dyDescent="0.3">
      <c r="A285" s="8" t="s">
        <v>476</v>
      </c>
      <c r="B285" s="8" t="s">
        <v>389</v>
      </c>
      <c r="C285" s="9">
        <f>Crossdalesartries</f>
        <v>0</v>
      </c>
      <c r="D285" s="21" t="s">
        <v>834</v>
      </c>
      <c r="E285" s="21" t="s">
        <v>119</v>
      </c>
      <c r="F285" s="19">
        <f>Coetzeebthpts</f>
        <v>0</v>
      </c>
    </row>
    <row r="286" spans="1:6" ht="14.95" customHeight="1" thickBot="1" x14ac:dyDescent="0.3">
      <c r="A286" s="8" t="s">
        <v>543</v>
      </c>
      <c r="B286" s="8" t="s">
        <v>537</v>
      </c>
      <c r="C286" s="9">
        <f>de_Haassartriescorrect</f>
        <v>0</v>
      </c>
      <c r="D286" s="21" t="s">
        <v>95</v>
      </c>
      <c r="E286" s="21" t="s">
        <v>133</v>
      </c>
      <c r="F286" s="19">
        <f>CokanasigaLEIpts</f>
        <v>0</v>
      </c>
    </row>
    <row r="287" spans="1:6" ht="14.95" customHeight="1" thickBot="1" x14ac:dyDescent="0.3">
      <c r="A287" s="8" t="s">
        <v>176</v>
      </c>
      <c r="B287" s="8" t="s">
        <v>132</v>
      </c>
      <c r="C287" s="9">
        <f>Devotoexetries</f>
        <v>0</v>
      </c>
      <c r="D287" s="21" t="s">
        <v>396</v>
      </c>
      <c r="E287" s="21" t="s">
        <v>389</v>
      </c>
      <c r="F287" s="19">
        <f>de_Kockneilpts</f>
        <v>0</v>
      </c>
    </row>
    <row r="288" spans="1:6" ht="14.95" customHeight="1" thickBot="1" x14ac:dyDescent="0.3">
      <c r="A288" s="8" t="s">
        <v>568</v>
      </c>
      <c r="B288" s="8" t="s">
        <v>133</v>
      </c>
      <c r="C288" s="49">
        <f>Diaz_Bonilla_Jleictries</f>
        <v>0</v>
      </c>
      <c r="D288" s="21" t="s">
        <v>175</v>
      </c>
      <c r="E288" s="21" t="s">
        <v>131</v>
      </c>
      <c r="F288" s="19">
        <f>Collierharpts</f>
        <v>0</v>
      </c>
    </row>
    <row r="289" spans="1:6" ht="14.95" customHeight="1" thickBot="1" x14ac:dyDescent="0.3">
      <c r="A289" s="8" t="s">
        <v>897</v>
      </c>
      <c r="B289" s="8" t="s">
        <v>389</v>
      </c>
      <c r="C289" s="9">
        <f>DouglasNEWtries</f>
        <v>0</v>
      </c>
      <c r="D289" s="19" t="s">
        <v>399</v>
      </c>
      <c r="E289" s="19" t="s">
        <v>389</v>
      </c>
      <c r="F289" s="19">
        <f>Crossdalesarptscorrect</f>
        <v>0</v>
      </c>
    </row>
    <row r="290" spans="1:6" ht="14.95" customHeight="1" thickBot="1" x14ac:dyDescent="0.3">
      <c r="A290" s="9" t="s">
        <v>261</v>
      </c>
      <c r="B290" s="8" t="s">
        <v>118</v>
      </c>
      <c r="C290" s="9">
        <f>du_Preez_J_Lsaltries</f>
        <v>0</v>
      </c>
      <c r="D290" s="21" t="s">
        <v>645</v>
      </c>
      <c r="E290" s="21" t="s">
        <v>133</v>
      </c>
      <c r="F290" s="19">
        <f>Cracknellleipts</f>
        <v>0</v>
      </c>
    </row>
    <row r="291" spans="1:6" ht="14.95" customHeight="1" thickBot="1" x14ac:dyDescent="0.3">
      <c r="A291" s="8" t="s">
        <v>885</v>
      </c>
      <c r="B291" s="8" t="s">
        <v>117</v>
      </c>
      <c r="C291" s="9">
        <f>DunnGLOtries</f>
        <v>0</v>
      </c>
      <c r="D291" s="21" t="s">
        <v>379</v>
      </c>
      <c r="E291" s="21" t="s">
        <v>117</v>
      </c>
      <c r="F291" s="19">
        <f>Dentonglopts</f>
        <v>0</v>
      </c>
    </row>
    <row r="292" spans="1:6" ht="14.95" customHeight="1" thickBot="1" x14ac:dyDescent="0.3">
      <c r="A292" s="8" t="s">
        <v>974</v>
      </c>
      <c r="B292" s="8" t="s">
        <v>132</v>
      </c>
      <c r="C292" s="9">
        <f>Dunneexetries</f>
        <v>0</v>
      </c>
      <c r="D292" s="21" t="s">
        <v>931</v>
      </c>
      <c r="E292" s="21" t="s">
        <v>120</v>
      </c>
      <c r="F292" s="19">
        <f>CruseNORpts</f>
        <v>0</v>
      </c>
    </row>
    <row r="293" spans="1:6" ht="14.95" customHeight="1" thickBot="1" x14ac:dyDescent="0.3">
      <c r="A293" s="9" t="s">
        <v>179</v>
      </c>
      <c r="B293" s="8" t="s">
        <v>138</v>
      </c>
      <c r="C293" s="9">
        <f>Danielsbritries</f>
        <v>0</v>
      </c>
      <c r="D293" s="21" t="s">
        <v>128</v>
      </c>
      <c r="E293" s="21" t="s">
        <v>118</v>
      </c>
      <c r="F293" s="19">
        <f>Curry_Tsalpts</f>
        <v>0</v>
      </c>
    </row>
    <row r="294" spans="1:6" ht="14.95" customHeight="1" thickBot="1" x14ac:dyDescent="0.3">
      <c r="A294" s="8" t="s">
        <v>181</v>
      </c>
      <c r="B294" s="8" t="s">
        <v>389</v>
      </c>
      <c r="C294" s="9">
        <f>du_Plessissartries</f>
        <v>0</v>
      </c>
      <c r="D294" s="21" t="s">
        <v>291</v>
      </c>
      <c r="E294" s="21" t="s">
        <v>118</v>
      </c>
      <c r="F294" s="19">
        <f>Curtissalpts</f>
        <v>0</v>
      </c>
    </row>
    <row r="295" spans="1:6" ht="14.95" customHeight="1" thickBot="1" x14ac:dyDescent="0.3">
      <c r="A295" s="8" t="s">
        <v>251</v>
      </c>
      <c r="B295" s="8" t="s">
        <v>138</v>
      </c>
      <c r="C295" s="9">
        <f>Edenbritries</f>
        <v>0</v>
      </c>
      <c r="D295" s="19" t="s">
        <v>581</v>
      </c>
      <c r="E295" s="19" t="s">
        <v>389</v>
      </c>
      <c r="F295" s="19">
        <f>Daltonnewpts</f>
        <v>0</v>
      </c>
    </row>
    <row r="296" spans="1:6" ht="14.95" customHeight="1" thickBot="1" x14ac:dyDescent="0.3">
      <c r="A296" s="9" t="s">
        <v>697</v>
      </c>
      <c r="B296" s="8" t="s">
        <v>133</v>
      </c>
      <c r="C296" s="9">
        <f>Edwardsleictries</f>
        <v>0</v>
      </c>
      <c r="D296" s="21" t="s">
        <v>611</v>
      </c>
      <c r="E296" s="21" t="s">
        <v>120</v>
      </c>
      <c r="F296" s="19">
        <f>DavidsonNORpts</f>
        <v>0</v>
      </c>
    </row>
    <row r="297" spans="1:6" ht="14.95" customHeight="1" thickBot="1" x14ac:dyDescent="0.3">
      <c r="A297" s="8" t="s">
        <v>493</v>
      </c>
      <c r="B297" s="8" t="s">
        <v>131</v>
      </c>
      <c r="C297" s="9">
        <f>Edwardshartries</f>
        <v>0</v>
      </c>
      <c r="D297" s="21" t="s">
        <v>612</v>
      </c>
      <c r="E297" s="21" t="s">
        <v>117</v>
      </c>
      <c r="F297" s="19">
        <f>Davidsonglopts</f>
        <v>0</v>
      </c>
    </row>
    <row r="298" spans="1:6" ht="14.95" customHeight="1" thickBot="1" x14ac:dyDescent="0.3">
      <c r="A298" s="9" t="s">
        <v>777</v>
      </c>
      <c r="B298" s="9" t="s">
        <v>537</v>
      </c>
      <c r="C298" s="9">
        <f>Elliottsartries</f>
        <v>0</v>
      </c>
      <c r="D298" s="21" t="s">
        <v>542</v>
      </c>
      <c r="E298" s="21" t="s">
        <v>537</v>
      </c>
      <c r="F298" s="19">
        <f>Daviessarptscorrect</f>
        <v>0</v>
      </c>
    </row>
    <row r="299" spans="1:6" ht="14.95" customHeight="1" thickBot="1" x14ac:dyDescent="0.3">
      <c r="A299" s="8" t="s">
        <v>660</v>
      </c>
      <c r="B299" s="8" t="s">
        <v>117</v>
      </c>
      <c r="C299" s="9">
        <f>Elringtonglotries</f>
        <v>0</v>
      </c>
      <c r="D299" s="21" t="s">
        <v>770</v>
      </c>
      <c r="E299" s="21" t="s">
        <v>118</v>
      </c>
      <c r="F299" s="19">
        <f>de_Jagersalpts</f>
        <v>0</v>
      </c>
    </row>
    <row r="300" spans="1:6" ht="14.95" customHeight="1" thickBot="1" x14ac:dyDescent="0.3">
      <c r="A300" s="9" t="s">
        <v>384</v>
      </c>
      <c r="B300" s="9" t="s">
        <v>131</v>
      </c>
      <c r="C300" s="9">
        <f>Evans_Ohartries</f>
        <v>0</v>
      </c>
      <c r="D300" s="21" t="s">
        <v>802</v>
      </c>
      <c r="E300" s="21" t="s">
        <v>132</v>
      </c>
      <c r="F300" s="20">
        <f>Davisexepoints</f>
        <v>0</v>
      </c>
    </row>
    <row r="301" spans="1:6" ht="14.95" customHeight="1" thickBot="1" x14ac:dyDescent="0.3">
      <c r="A301" s="8" t="s">
        <v>910</v>
      </c>
      <c r="B301" s="8" t="s">
        <v>118</v>
      </c>
      <c r="C301" s="9">
        <f>EneSALtries</f>
        <v>0</v>
      </c>
      <c r="D301" s="21" t="s">
        <v>476</v>
      </c>
      <c r="E301" s="21" t="s">
        <v>389</v>
      </c>
      <c r="F301" s="19">
        <f>Crossdalesarpts</f>
        <v>0</v>
      </c>
    </row>
    <row r="302" spans="1:6" ht="14.95" customHeight="1" thickBot="1" x14ac:dyDescent="0.3">
      <c r="A302" s="8" t="s">
        <v>1031</v>
      </c>
      <c r="B302" s="8" t="s">
        <v>117</v>
      </c>
      <c r="C302" s="6">
        <f>Englefieldglotries</f>
        <v>0</v>
      </c>
      <c r="D302" s="21" t="s">
        <v>543</v>
      </c>
      <c r="E302" s="21" t="s">
        <v>537</v>
      </c>
      <c r="F302" s="19">
        <f>de_Haassarptscorrect</f>
        <v>0</v>
      </c>
    </row>
    <row r="303" spans="1:6" ht="14.95" customHeight="1" thickBot="1" x14ac:dyDescent="0.3">
      <c r="A303" s="8" t="s">
        <v>921</v>
      </c>
      <c r="B303" s="8" t="s">
        <v>131</v>
      </c>
      <c r="C303" s="9">
        <f>Evans_Jhartriescorrect</f>
        <v>0</v>
      </c>
      <c r="D303" s="21" t="s">
        <v>176</v>
      </c>
      <c r="E303" s="21" t="s">
        <v>132</v>
      </c>
      <c r="F303" s="19">
        <f>Devotoexepts</f>
        <v>0</v>
      </c>
    </row>
    <row r="304" spans="1:6" ht="14.95" customHeight="1" thickBot="1" x14ac:dyDescent="0.3">
      <c r="A304" s="9" t="s">
        <v>122</v>
      </c>
      <c r="B304" s="8" t="s">
        <v>117</v>
      </c>
      <c r="C304" s="9">
        <f>Evans_Lglotries</f>
        <v>0</v>
      </c>
      <c r="D304" s="21" t="s">
        <v>568</v>
      </c>
      <c r="E304" s="21" t="s">
        <v>133</v>
      </c>
      <c r="F304" s="19">
        <f>Diaz_Bonilla_Jleicpts</f>
        <v>0</v>
      </c>
    </row>
    <row r="305" spans="1:6" ht="14.95" customHeight="1" thickBot="1" x14ac:dyDescent="0.3">
      <c r="A305" s="8" t="s">
        <v>182</v>
      </c>
      <c r="B305" s="8" t="s">
        <v>119</v>
      </c>
      <c r="C305" s="9">
        <f>ewelsbthtries</f>
        <v>0</v>
      </c>
      <c r="D305" s="21" t="s">
        <v>897</v>
      </c>
      <c r="E305" s="21" t="s">
        <v>389</v>
      </c>
      <c r="F305" s="19">
        <f>DouglasNEWpts</f>
        <v>0</v>
      </c>
    </row>
    <row r="306" spans="1:6" ht="14.95" customHeight="1" thickBot="1" x14ac:dyDescent="0.3">
      <c r="A306" s="9" t="s">
        <v>583</v>
      </c>
      <c r="B306" s="9" t="s">
        <v>389</v>
      </c>
      <c r="C306" s="9">
        <f>Earlsartries</f>
        <v>0</v>
      </c>
      <c r="D306" s="19" t="s">
        <v>261</v>
      </c>
      <c r="E306" s="21" t="s">
        <v>118</v>
      </c>
      <c r="F306" s="19">
        <f>du_Preez_J_Lsalpts</f>
        <v>0</v>
      </c>
    </row>
    <row r="307" spans="1:6" ht="14.95" customHeight="1" thickBot="1" x14ac:dyDescent="0.3">
      <c r="A307" s="9" t="s">
        <v>585</v>
      </c>
      <c r="B307" s="9" t="s">
        <v>389</v>
      </c>
      <c r="C307" s="9">
        <f>Fearnsnewtries</f>
        <v>0</v>
      </c>
      <c r="D307" s="21" t="s">
        <v>44</v>
      </c>
      <c r="E307" s="21" t="s">
        <v>117</v>
      </c>
      <c r="F307" s="19">
        <f>DunnGLOpts</f>
        <v>0</v>
      </c>
    </row>
    <row r="308" spans="1:6" ht="14.95" customHeight="1" thickBot="1" x14ac:dyDescent="0.3">
      <c r="A308" s="8" t="s">
        <v>819</v>
      </c>
      <c r="B308" s="8" t="s">
        <v>389</v>
      </c>
      <c r="C308" s="9">
        <f>Fusernewtries</f>
        <v>0</v>
      </c>
      <c r="D308" s="21" t="s">
        <v>974</v>
      </c>
      <c r="E308" s="21" t="s">
        <v>132</v>
      </c>
      <c r="F308" s="20">
        <f>Dunneexepts</f>
        <v>0</v>
      </c>
    </row>
    <row r="309" spans="1:6" ht="14.95" customHeight="1" thickBot="1" x14ac:dyDescent="0.3">
      <c r="A309" s="8" t="s">
        <v>840</v>
      </c>
      <c r="B309" s="8" t="s">
        <v>118</v>
      </c>
      <c r="C309" s="9">
        <f>Fordgeorgesaltries</f>
        <v>0</v>
      </c>
      <c r="D309" s="21" t="s">
        <v>179</v>
      </c>
      <c r="E309" s="21" t="s">
        <v>138</v>
      </c>
      <c r="F309" s="19">
        <f>Danielsbripts</f>
        <v>0</v>
      </c>
    </row>
    <row r="310" spans="1:6" ht="14.95" customHeight="1" thickBot="1" x14ac:dyDescent="0.3">
      <c r="A310" s="8" t="s">
        <v>359</v>
      </c>
      <c r="B310" s="8" t="s">
        <v>119</v>
      </c>
      <c r="C310" s="9">
        <f>Fotuali_ibthtries</f>
        <v>0</v>
      </c>
      <c r="D310" s="21" t="s">
        <v>181</v>
      </c>
      <c r="E310" s="21" t="s">
        <v>389</v>
      </c>
      <c r="F310" s="19">
        <f>du_Plessissarpts</f>
        <v>0</v>
      </c>
    </row>
    <row r="311" spans="1:6" ht="14.95" customHeight="1" thickBot="1" x14ac:dyDescent="0.3">
      <c r="A311" s="9" t="s">
        <v>125</v>
      </c>
      <c r="B311" s="9" t="s">
        <v>119</v>
      </c>
      <c r="C311" s="9">
        <f>Grahambthtres</f>
        <v>0</v>
      </c>
      <c r="D311" s="21" t="s">
        <v>251</v>
      </c>
      <c r="E311" s="21" t="s">
        <v>138</v>
      </c>
      <c r="F311" s="19">
        <f>Edenbripts</f>
        <v>0</v>
      </c>
    </row>
    <row r="312" spans="1:6" ht="14.95" customHeight="1" thickBot="1" x14ac:dyDescent="0.3">
      <c r="A312" s="8" t="s">
        <v>308</v>
      </c>
      <c r="B312" s="8" t="s">
        <v>138</v>
      </c>
      <c r="C312" s="9">
        <f>Dorrianlitries</f>
        <v>0</v>
      </c>
      <c r="D312" s="21" t="s">
        <v>697</v>
      </c>
      <c r="E312" s="21" t="s">
        <v>133</v>
      </c>
      <c r="F312" s="19">
        <f>Edwardsleicpts</f>
        <v>0</v>
      </c>
    </row>
    <row r="313" spans="1:6" ht="14.95" customHeight="1" thickBot="1" x14ac:dyDescent="0.3">
      <c r="A313" s="8" t="s">
        <v>672</v>
      </c>
      <c r="B313" s="8" t="s">
        <v>131</v>
      </c>
      <c r="C313" s="9">
        <f>Gjaltemahartries</f>
        <v>0</v>
      </c>
      <c r="D313" s="21" t="s">
        <v>777</v>
      </c>
      <c r="E313" s="21" t="s">
        <v>537</v>
      </c>
      <c r="F313" s="19">
        <f>Elliottsarpts</f>
        <v>0</v>
      </c>
    </row>
    <row r="314" spans="1:6" ht="14.95" customHeight="1" thickBot="1" x14ac:dyDescent="0.3">
      <c r="A314" s="62" t="s">
        <v>186</v>
      </c>
      <c r="B314" s="8" t="s">
        <v>117</v>
      </c>
      <c r="C314" s="9">
        <f>Halaifonuaglotries</f>
        <v>0</v>
      </c>
      <c r="D314" s="21" t="s">
        <v>660</v>
      </c>
      <c r="E314" s="21" t="s">
        <v>117</v>
      </c>
      <c r="F314" s="19">
        <f>Elringtonglopts</f>
        <v>0</v>
      </c>
    </row>
    <row r="315" spans="1:6" ht="14.95" customHeight="1" thickBot="1" x14ac:dyDescent="0.3">
      <c r="A315" s="62" t="s">
        <v>904</v>
      </c>
      <c r="B315" s="8" t="s">
        <v>120</v>
      </c>
      <c r="C315" s="9">
        <f>GlisterNORtries</f>
        <v>0</v>
      </c>
      <c r="D315" s="17" t="s">
        <v>384</v>
      </c>
      <c r="E315" s="19" t="s">
        <v>131</v>
      </c>
      <c r="F315" s="19">
        <f>Evans_Oharpts</f>
        <v>0</v>
      </c>
    </row>
    <row r="316" spans="1:6" ht="14.95" customHeight="1" thickBot="1" x14ac:dyDescent="0.3">
      <c r="A316" s="62" t="s">
        <v>768</v>
      </c>
      <c r="B316" s="8" t="s">
        <v>118</v>
      </c>
      <c r="C316" s="9">
        <f>Hammersleysaltries</f>
        <v>0</v>
      </c>
      <c r="D316" s="2" t="s">
        <v>910</v>
      </c>
      <c r="E316" s="21" t="s">
        <v>118</v>
      </c>
      <c r="F316" s="19">
        <f>EneSALpts</f>
        <v>0</v>
      </c>
    </row>
    <row r="317" spans="1:6" ht="14.95" customHeight="1" thickBot="1" x14ac:dyDescent="0.3">
      <c r="A317" s="9" t="s">
        <v>433</v>
      </c>
      <c r="B317" s="9" t="s">
        <v>389</v>
      </c>
      <c r="C317" s="9">
        <f>Farrellowentries</f>
        <v>0</v>
      </c>
      <c r="D317" s="19" t="s">
        <v>122</v>
      </c>
      <c r="E317" s="19" t="s">
        <v>117</v>
      </c>
      <c r="F317" s="19">
        <f>Evans_Lglopts</f>
        <v>0</v>
      </c>
    </row>
    <row r="318" spans="1:6" ht="14.95" customHeight="1" thickBot="1" x14ac:dyDescent="0.3">
      <c r="A318" s="8" t="s">
        <v>747</v>
      </c>
      <c r="B318" s="8" t="s">
        <v>120</v>
      </c>
      <c r="C318" s="9">
        <f>Gillespienortries</f>
        <v>0</v>
      </c>
      <c r="D318" s="21" t="s">
        <v>182</v>
      </c>
      <c r="E318" s="21" t="s">
        <v>119</v>
      </c>
      <c r="F318" s="19">
        <f>Ewelsbthpts</f>
        <v>0</v>
      </c>
    </row>
    <row r="319" spans="1:6" ht="14.95" customHeight="1" thickBot="1" x14ac:dyDescent="0.3">
      <c r="A319" s="8" t="s">
        <v>344</v>
      </c>
      <c r="B319" s="8" t="s">
        <v>132</v>
      </c>
      <c r="C319" s="9">
        <f>Grayexetries</f>
        <v>0</v>
      </c>
      <c r="D319" s="19" t="s">
        <v>583</v>
      </c>
      <c r="E319" s="19" t="s">
        <v>389</v>
      </c>
      <c r="F319" s="19">
        <f>Earlsarpts</f>
        <v>0</v>
      </c>
    </row>
    <row r="320" spans="1:6" ht="14.95" customHeight="1" thickBot="1" x14ac:dyDescent="0.3">
      <c r="A320" s="8" t="s">
        <v>187</v>
      </c>
      <c r="B320" s="8" t="s">
        <v>120</v>
      </c>
      <c r="C320" s="9">
        <f>Graysonnortries</f>
        <v>0</v>
      </c>
      <c r="D320" s="19" t="s">
        <v>585</v>
      </c>
      <c r="E320" s="19" t="s">
        <v>389</v>
      </c>
      <c r="F320" s="19">
        <f>Fearnsnewpts</f>
        <v>0</v>
      </c>
    </row>
    <row r="321" spans="1:6" ht="14.95" customHeight="1" thickBot="1" x14ac:dyDescent="0.3">
      <c r="A321" s="8" t="s">
        <v>435</v>
      </c>
      <c r="B321" s="8" t="s">
        <v>133</v>
      </c>
      <c r="C321" s="9">
        <f>Hardwickleitries</f>
        <v>0</v>
      </c>
      <c r="D321" s="21" t="s">
        <v>819</v>
      </c>
      <c r="E321" s="21" t="s">
        <v>389</v>
      </c>
      <c r="F321" s="19">
        <f>Fusernewpts</f>
        <v>0</v>
      </c>
    </row>
    <row r="322" spans="1:6" ht="14.95" customHeight="1" thickBot="1" x14ac:dyDescent="0.3">
      <c r="A322" s="8" t="s">
        <v>714</v>
      </c>
      <c r="B322" s="8" t="s">
        <v>131</v>
      </c>
      <c r="C322" s="9">
        <f>Grayjoehartries</f>
        <v>0</v>
      </c>
      <c r="D322" s="21" t="s">
        <v>359</v>
      </c>
      <c r="E322" s="21" t="s">
        <v>119</v>
      </c>
      <c r="F322" s="19">
        <f>Fotuali_ibthpts</f>
        <v>0</v>
      </c>
    </row>
    <row r="323" spans="1:6" ht="14.95" customHeight="1" thickBot="1" x14ac:dyDescent="0.3">
      <c r="A323" s="8" t="s">
        <v>188</v>
      </c>
      <c r="B323" s="8" t="s">
        <v>138</v>
      </c>
      <c r="C323" s="9">
        <f>Fenbylitries</f>
        <v>0</v>
      </c>
      <c r="D323" s="19" t="s">
        <v>125</v>
      </c>
      <c r="E323" s="19" t="s">
        <v>119</v>
      </c>
      <c r="F323" s="19">
        <f>Grahambthpts</f>
        <v>0</v>
      </c>
    </row>
    <row r="324" spans="1:6" ht="14.95" customHeight="1" thickBot="1" x14ac:dyDescent="0.3">
      <c r="A324" s="8" t="s">
        <v>720</v>
      </c>
      <c r="B324" s="8" t="s">
        <v>537</v>
      </c>
      <c r="C324" s="9">
        <f>Harrissartries</f>
        <v>0</v>
      </c>
      <c r="D324" s="21" t="s">
        <v>308</v>
      </c>
      <c r="E324" s="21" t="s">
        <v>138</v>
      </c>
      <c r="F324" s="19">
        <f>Dorrianlipts</f>
        <v>0</v>
      </c>
    </row>
    <row r="325" spans="1:6" ht="14.95" customHeight="1" thickBot="1" x14ac:dyDescent="0.3">
      <c r="A325" s="8" t="s">
        <v>879</v>
      </c>
      <c r="B325" s="8" t="s">
        <v>132</v>
      </c>
      <c r="C325" s="9">
        <f>HammersleyEXEtries</f>
        <v>0</v>
      </c>
      <c r="D325" s="21" t="s">
        <v>672</v>
      </c>
      <c r="E325" s="21" t="s">
        <v>131</v>
      </c>
      <c r="F325" s="19">
        <f>Gjaltemaharpts</f>
        <v>0</v>
      </c>
    </row>
    <row r="326" spans="1:6" ht="14.95" customHeight="1" thickBot="1" x14ac:dyDescent="0.3">
      <c r="A326" s="9" t="s">
        <v>686</v>
      </c>
      <c r="B326" s="9" t="s">
        <v>118</v>
      </c>
      <c r="C326" s="9">
        <f>Harpersaltries</f>
        <v>0</v>
      </c>
      <c r="D326" s="21" t="s">
        <v>186</v>
      </c>
      <c r="E326" s="21" t="s">
        <v>117</v>
      </c>
      <c r="F326" s="19">
        <f>Halaifonuaglopts</f>
        <v>0</v>
      </c>
    </row>
    <row r="327" spans="1:6" ht="14.95" customHeight="1" thickBot="1" x14ac:dyDescent="0.3">
      <c r="A327" s="8" t="s">
        <v>134</v>
      </c>
      <c r="B327" s="8" t="s">
        <v>537</v>
      </c>
      <c r="C327" s="9">
        <f>Harrissartriescorrect</f>
        <v>0</v>
      </c>
      <c r="D327" s="21" t="s">
        <v>904</v>
      </c>
      <c r="E327" s="21" t="s">
        <v>120</v>
      </c>
      <c r="F327" s="18">
        <f>GlisterNORpts</f>
        <v>0</v>
      </c>
    </row>
    <row r="328" spans="1:6" ht="14.95" customHeight="1" thickBot="1" x14ac:dyDescent="0.3">
      <c r="A328" s="8" t="s">
        <v>807</v>
      </c>
      <c r="B328" s="8" t="s">
        <v>119</v>
      </c>
      <c r="C328" s="9">
        <f>Harrisbthtries</f>
        <v>0</v>
      </c>
      <c r="D328" s="21" t="s">
        <v>768</v>
      </c>
      <c r="E328" s="21" t="s">
        <v>118</v>
      </c>
      <c r="F328" s="19">
        <f>Hammersleysalpts</f>
        <v>0</v>
      </c>
    </row>
    <row r="329" spans="1:6" ht="14.95" customHeight="1" thickBot="1" x14ac:dyDescent="0.3">
      <c r="A329" s="8" t="s">
        <v>135</v>
      </c>
      <c r="B329" s="8" t="s">
        <v>118</v>
      </c>
      <c r="C329" s="9">
        <f>Harrisonsaltris</f>
        <v>0</v>
      </c>
      <c r="D329" s="19" t="s">
        <v>433</v>
      </c>
      <c r="E329" s="19" t="s">
        <v>389</v>
      </c>
      <c r="F329" s="19">
        <f>Farrellsarpts</f>
        <v>0</v>
      </c>
    </row>
    <row r="330" spans="1:6" ht="14.95" customHeight="1" thickBot="1" x14ac:dyDescent="0.3">
      <c r="A330" s="8" t="s">
        <v>893</v>
      </c>
      <c r="B330" s="8" t="s">
        <v>133</v>
      </c>
      <c r="C330" s="9">
        <f>HatherellLEItries</f>
        <v>0</v>
      </c>
      <c r="D330" s="21" t="s">
        <v>747</v>
      </c>
      <c r="E330" s="21" t="s">
        <v>120</v>
      </c>
      <c r="F330" s="18">
        <f>Gillespienorpts</f>
        <v>0</v>
      </c>
    </row>
    <row r="331" spans="1:6" ht="14.95" customHeight="1" thickBot="1" x14ac:dyDescent="0.3">
      <c r="A331" s="8" t="s">
        <v>369</v>
      </c>
      <c r="B331" s="8" t="s">
        <v>138</v>
      </c>
      <c r="C331" s="9">
        <f>Fenbylitries</f>
        <v>0</v>
      </c>
      <c r="D331" s="21" t="s">
        <v>344</v>
      </c>
      <c r="E331" s="21" t="s">
        <v>132</v>
      </c>
      <c r="F331" s="19">
        <f>Grayexepts</f>
        <v>0</v>
      </c>
    </row>
    <row r="332" spans="1:6" ht="14.95" customHeight="1" thickBot="1" x14ac:dyDescent="0.3">
      <c r="A332" s="8" t="s">
        <v>880</v>
      </c>
      <c r="B332" s="8" t="s">
        <v>132</v>
      </c>
      <c r="C332" s="9">
        <f>Haydon_WoodEXEtries</f>
        <v>0</v>
      </c>
      <c r="D332" s="21" t="s">
        <v>187</v>
      </c>
      <c r="E332" s="21" t="s">
        <v>120</v>
      </c>
      <c r="F332" s="19">
        <f>Graysonnorpts</f>
        <v>0</v>
      </c>
    </row>
    <row r="333" spans="1:6" ht="14.95" customHeight="1" thickBot="1" x14ac:dyDescent="0.3">
      <c r="A333" s="9" t="s">
        <v>706</v>
      </c>
      <c r="B333" s="9" t="s">
        <v>131</v>
      </c>
      <c r="C333" s="9">
        <f>JonesHhartries</f>
        <v>0</v>
      </c>
      <c r="D333" s="21" t="s">
        <v>435</v>
      </c>
      <c r="E333" s="21" t="s">
        <v>133</v>
      </c>
      <c r="F333" s="18">
        <f>Hardwickleipts</f>
        <v>0</v>
      </c>
    </row>
    <row r="334" spans="1:6" ht="14.95" customHeight="1" thickBot="1" x14ac:dyDescent="0.3">
      <c r="A334" s="9" t="s">
        <v>336</v>
      </c>
      <c r="B334" s="9" t="s">
        <v>133</v>
      </c>
      <c r="C334" s="9">
        <f>Harrisonsamtries</f>
        <v>0</v>
      </c>
      <c r="D334" s="21" t="s">
        <v>714</v>
      </c>
      <c r="E334" s="21" t="s">
        <v>131</v>
      </c>
      <c r="F334" s="19">
        <f>Grayjoeharpts</f>
        <v>0</v>
      </c>
    </row>
    <row r="335" spans="1:6" ht="14.95" customHeight="1" thickBot="1" x14ac:dyDescent="0.3">
      <c r="A335" s="8" t="s">
        <v>191</v>
      </c>
      <c r="B335" s="8" t="s">
        <v>132</v>
      </c>
      <c r="C335" s="9">
        <f>Hepburnexetries</f>
        <v>0</v>
      </c>
      <c r="D335" s="21" t="s">
        <v>188</v>
      </c>
      <c r="E335" s="21" t="s">
        <v>138</v>
      </c>
      <c r="F335" s="19">
        <f>Fenbylipts</f>
        <v>0</v>
      </c>
    </row>
    <row r="336" spans="1:6" ht="14.95" customHeight="1" thickBot="1" x14ac:dyDescent="0.3">
      <c r="A336" s="8" t="s">
        <v>970</v>
      </c>
      <c r="B336" s="8" t="s">
        <v>131</v>
      </c>
      <c r="C336" s="9">
        <f>Herbsthartries</f>
        <v>0</v>
      </c>
      <c r="D336" s="21" t="s">
        <v>720</v>
      </c>
      <c r="E336" s="21" t="s">
        <v>537</v>
      </c>
      <c r="F336" s="19">
        <f>Harrissarpts</f>
        <v>0</v>
      </c>
    </row>
    <row r="337" spans="1:6" ht="14.95" customHeight="1" thickBot="1" x14ac:dyDescent="0.3">
      <c r="A337" s="8" t="s">
        <v>388</v>
      </c>
      <c r="B337" s="8" t="s">
        <v>133</v>
      </c>
      <c r="C337" s="9">
        <f>Holmesleictries</f>
        <v>0</v>
      </c>
      <c r="D337" s="21" t="s">
        <v>879</v>
      </c>
      <c r="E337" s="21" t="s">
        <v>132</v>
      </c>
      <c r="F337" s="19">
        <f>HammersleyEXEpts</f>
        <v>0</v>
      </c>
    </row>
    <row r="338" spans="1:6" ht="14.95" customHeight="1" thickBot="1" x14ac:dyDescent="0.3">
      <c r="A338" s="9" t="s">
        <v>158</v>
      </c>
      <c r="B338" s="8" t="s">
        <v>120</v>
      </c>
      <c r="C338" s="9">
        <f>Hodgsonnortries</f>
        <v>0</v>
      </c>
      <c r="D338" s="19" t="s">
        <v>686</v>
      </c>
      <c r="E338" s="21" t="s">
        <v>118</v>
      </c>
      <c r="F338" s="19">
        <f>Harpersalpts</f>
        <v>0</v>
      </c>
    </row>
    <row r="339" spans="1:6" ht="14.95" customHeight="1" thickBot="1" x14ac:dyDescent="0.3">
      <c r="A339" s="8" t="s">
        <v>666</v>
      </c>
      <c r="B339" s="8" t="s">
        <v>117</v>
      </c>
      <c r="C339" s="9">
        <f>Hillman_Cooperglotries</f>
        <v>0</v>
      </c>
      <c r="D339" s="19" t="s">
        <v>134</v>
      </c>
      <c r="E339" s="21" t="s">
        <v>537</v>
      </c>
      <c r="F339" s="19">
        <f>Harrissarptscorrect</f>
        <v>0</v>
      </c>
    </row>
    <row r="340" spans="1:6" ht="14.95" customHeight="1" thickBot="1" x14ac:dyDescent="0.3">
      <c r="A340" s="8" t="s">
        <v>159</v>
      </c>
      <c r="B340" s="8" t="s">
        <v>138</v>
      </c>
      <c r="C340" s="49">
        <f>Frankslirtries</f>
        <v>0</v>
      </c>
      <c r="D340" s="21" t="s">
        <v>135</v>
      </c>
      <c r="E340" s="21" t="s">
        <v>118</v>
      </c>
      <c r="F340" s="19">
        <f>Harrisonsalpts</f>
        <v>0</v>
      </c>
    </row>
    <row r="341" spans="1:6" ht="14.95" customHeight="1" thickBot="1" x14ac:dyDescent="0.3">
      <c r="A341" s="8" t="s">
        <v>731</v>
      </c>
      <c r="B341" s="8" t="s">
        <v>133</v>
      </c>
      <c r="C341" s="6">
        <f>Hortonleitries</f>
        <v>0</v>
      </c>
      <c r="D341" s="21" t="s">
        <v>893</v>
      </c>
      <c r="E341" s="21" t="s">
        <v>133</v>
      </c>
      <c r="F341" s="18">
        <f>HatherellLEIpts</f>
        <v>0</v>
      </c>
    </row>
    <row r="342" spans="1:6" ht="14.95" customHeight="1" thickBot="1" x14ac:dyDescent="0.3">
      <c r="A342" s="8" t="s">
        <v>547</v>
      </c>
      <c r="B342" s="8" t="s">
        <v>537</v>
      </c>
      <c r="C342" s="9">
        <f>Hunter_Hillsartriescorrect</f>
        <v>0</v>
      </c>
      <c r="D342" s="21" t="s">
        <v>369</v>
      </c>
      <c r="E342" s="21" t="s">
        <v>138</v>
      </c>
      <c r="F342" s="19">
        <f>Fenbylipts</f>
        <v>0</v>
      </c>
    </row>
    <row r="343" spans="1:6" ht="14.95" customHeight="1" thickBot="1" x14ac:dyDescent="0.3">
      <c r="A343" s="8" t="s">
        <v>570</v>
      </c>
      <c r="B343" s="8" t="s">
        <v>133</v>
      </c>
      <c r="C343" s="9">
        <f>Hurdleictries</f>
        <v>0</v>
      </c>
      <c r="D343" s="21" t="s">
        <v>880</v>
      </c>
      <c r="E343" s="21" t="s">
        <v>132</v>
      </c>
      <c r="F343" s="19">
        <f>Haywood_WoodEXEpts</f>
        <v>0</v>
      </c>
    </row>
    <row r="344" spans="1:6" ht="14.95" customHeight="1" thickBot="1" x14ac:dyDescent="0.3">
      <c r="A344" s="8" t="s">
        <v>735</v>
      </c>
      <c r="B344" s="8" t="s">
        <v>133</v>
      </c>
      <c r="C344" s="9">
        <f>Ilioneleitries</f>
        <v>0</v>
      </c>
      <c r="D344" s="19" t="s">
        <v>706</v>
      </c>
      <c r="E344" s="19" t="s">
        <v>131</v>
      </c>
      <c r="F344" s="19">
        <f>JonesHharpts</f>
        <v>0</v>
      </c>
    </row>
    <row r="345" spans="1:6" ht="14.95" customHeight="1" thickBot="1" x14ac:dyDescent="0.3">
      <c r="A345" s="8" t="s">
        <v>193</v>
      </c>
      <c r="B345" s="8" t="s">
        <v>132</v>
      </c>
      <c r="C345" s="9">
        <f>holmesexetries</f>
        <v>0</v>
      </c>
      <c r="D345" s="19" t="s">
        <v>336</v>
      </c>
      <c r="E345" s="19" t="s">
        <v>133</v>
      </c>
      <c r="F345" s="19">
        <f>Harrisonsampts</f>
        <v>0</v>
      </c>
    </row>
    <row r="346" spans="1:6" ht="14.95" customHeight="1" thickBot="1" x14ac:dyDescent="0.3">
      <c r="A346" s="8" t="s">
        <v>432</v>
      </c>
      <c r="B346" s="8" t="s">
        <v>537</v>
      </c>
      <c r="C346" s="9">
        <f>Isiekwesartriescorrect</f>
        <v>0</v>
      </c>
      <c r="D346" s="21" t="s">
        <v>191</v>
      </c>
      <c r="E346" s="21" t="s">
        <v>132</v>
      </c>
      <c r="F346" s="19">
        <f>Hepburnexepts</f>
        <v>0</v>
      </c>
    </row>
    <row r="347" spans="1:6" ht="14.95" customHeight="1" thickBot="1" x14ac:dyDescent="0.3">
      <c r="A347" s="8" t="s">
        <v>678</v>
      </c>
      <c r="B347" s="8" t="s">
        <v>537</v>
      </c>
      <c r="C347" s="9">
        <f>Jacksonsartries</f>
        <v>0</v>
      </c>
      <c r="D347" s="21" t="s">
        <v>970</v>
      </c>
      <c r="E347" s="21" t="s">
        <v>131</v>
      </c>
      <c r="F347" s="19">
        <f>Herbstharpts</f>
        <v>0</v>
      </c>
    </row>
    <row r="348" spans="1:6" ht="14.95" customHeight="1" thickBot="1" x14ac:dyDescent="0.3">
      <c r="A348" s="8" t="s">
        <v>106</v>
      </c>
      <c r="B348" s="8" t="s">
        <v>118</v>
      </c>
      <c r="C348" s="9">
        <f>James_Lsaltries</f>
        <v>0</v>
      </c>
      <c r="D348" s="21" t="s">
        <v>388</v>
      </c>
      <c r="E348" s="21" t="s">
        <v>133</v>
      </c>
      <c r="F348" s="20">
        <f>Holmesleicpts</f>
        <v>0</v>
      </c>
    </row>
    <row r="349" spans="1:6" ht="14.95" customHeight="1" thickBot="1" x14ac:dyDescent="0.3">
      <c r="A349" s="8" t="s">
        <v>803</v>
      </c>
      <c r="B349" s="8" t="s">
        <v>132</v>
      </c>
      <c r="C349" s="9">
        <f>Jenkins_Iexetries</f>
        <v>0</v>
      </c>
      <c r="D349" s="19" t="s">
        <v>158</v>
      </c>
      <c r="E349" s="21" t="s">
        <v>120</v>
      </c>
      <c r="F349" s="19">
        <f>Hodgsonnorpts</f>
        <v>0</v>
      </c>
    </row>
    <row r="350" spans="1:6" ht="14.95" customHeight="1" thickBot="1" x14ac:dyDescent="0.3">
      <c r="A350" s="8" t="s">
        <v>823</v>
      </c>
      <c r="B350" s="8" t="s">
        <v>138</v>
      </c>
      <c r="C350" s="9">
        <f>Jenkinsbritries</f>
        <v>0</v>
      </c>
      <c r="D350" s="21" t="s">
        <v>666</v>
      </c>
      <c r="E350" s="21" t="s">
        <v>117</v>
      </c>
      <c r="F350" s="19">
        <f>Hillman_Cooperglopts</f>
        <v>0</v>
      </c>
    </row>
    <row r="351" spans="1:6" ht="14.95" customHeight="1" thickBot="1" x14ac:dyDescent="0.3">
      <c r="A351" s="9" t="s">
        <v>941</v>
      </c>
      <c r="B351" s="9" t="s">
        <v>389</v>
      </c>
      <c r="C351" s="9">
        <f>Haydon_Woodnewtries</f>
        <v>0</v>
      </c>
      <c r="D351" s="21" t="s">
        <v>159</v>
      </c>
      <c r="E351" s="21" t="s">
        <v>138</v>
      </c>
      <c r="F351" s="19">
        <f>Frankslirpts</f>
        <v>0</v>
      </c>
    </row>
    <row r="352" spans="1:6" ht="14.95" customHeight="1" thickBot="1" x14ac:dyDescent="0.3">
      <c r="A352" s="9" t="s">
        <v>800</v>
      </c>
      <c r="B352" s="9" t="s">
        <v>389</v>
      </c>
      <c r="C352" s="9">
        <f>Hodgsonnewtriescorrect</f>
        <v>0</v>
      </c>
      <c r="D352" s="21" t="s">
        <v>731</v>
      </c>
      <c r="E352" s="21" t="s">
        <v>133</v>
      </c>
      <c r="F352" s="19">
        <f>Hortonleipts</f>
        <v>0</v>
      </c>
    </row>
    <row r="353" spans="1:6" ht="14.95" customHeight="1" thickBot="1" x14ac:dyDescent="0.3">
      <c r="A353" s="8" t="s">
        <v>888</v>
      </c>
      <c r="B353" s="8" t="s">
        <v>117</v>
      </c>
      <c r="C353" s="9">
        <f>Jones_MGLOtries</f>
        <v>0</v>
      </c>
      <c r="D353" s="21" t="s">
        <v>547</v>
      </c>
      <c r="E353" s="21" t="s">
        <v>537</v>
      </c>
      <c r="F353" s="19">
        <f>Hunter_Hillsarptscorrect</f>
        <v>0</v>
      </c>
    </row>
    <row r="354" spans="1:6" ht="14.95" customHeight="1" thickBot="1" x14ac:dyDescent="0.3">
      <c r="A354" s="9" t="s">
        <v>649</v>
      </c>
      <c r="B354" s="9" t="s">
        <v>119</v>
      </c>
      <c r="C354" s="9">
        <f>Jonkerbthtries</f>
        <v>0</v>
      </c>
      <c r="D354" s="21" t="s">
        <v>570</v>
      </c>
      <c r="E354" s="21" t="s">
        <v>133</v>
      </c>
      <c r="F354" s="19">
        <f>Hurdleicpts</f>
        <v>0</v>
      </c>
    </row>
    <row r="355" spans="1:6" ht="14.95" customHeight="1" thickBot="1" x14ac:dyDescent="0.3">
      <c r="A355" s="8" t="s">
        <v>643</v>
      </c>
      <c r="B355" s="8" t="s">
        <v>117</v>
      </c>
      <c r="C355" s="9">
        <f>Krielglotries</f>
        <v>0</v>
      </c>
      <c r="D355" s="21" t="s">
        <v>735</v>
      </c>
      <c r="E355" s="21" t="s">
        <v>133</v>
      </c>
      <c r="F355" s="18">
        <f>Ilioneleipts</f>
        <v>0</v>
      </c>
    </row>
    <row r="356" spans="1:6" ht="14.95" customHeight="1" thickBot="1" x14ac:dyDescent="0.3">
      <c r="A356" s="8" t="s">
        <v>194</v>
      </c>
      <c r="B356" s="8" t="s">
        <v>138</v>
      </c>
      <c r="C356" s="9">
        <f>Hearnlirtries</f>
        <v>0</v>
      </c>
      <c r="D356" s="21" t="s">
        <v>193</v>
      </c>
      <c r="E356" s="21" t="s">
        <v>132</v>
      </c>
      <c r="F356" s="19">
        <f>Holmesexepts</f>
        <v>0</v>
      </c>
    </row>
    <row r="357" spans="1:6" ht="14.95" customHeight="1" thickBot="1" x14ac:dyDescent="0.3">
      <c r="A357" s="9" t="s">
        <v>616</v>
      </c>
      <c r="B357" s="9" t="s">
        <v>131</v>
      </c>
      <c r="C357" s="9">
        <f>Jureviciushartries</f>
        <v>0</v>
      </c>
      <c r="D357" s="21" t="s">
        <v>432</v>
      </c>
      <c r="E357" s="21" t="s">
        <v>537</v>
      </c>
      <c r="F357" s="19">
        <f>Isiekwesarptscorrect</f>
        <v>0</v>
      </c>
    </row>
    <row r="358" spans="1:6" ht="14.95" customHeight="1" thickBot="1" x14ac:dyDescent="0.3">
      <c r="A358" s="8" t="s">
        <v>257</v>
      </c>
      <c r="B358" s="8" t="s">
        <v>132</v>
      </c>
      <c r="C358" s="9">
        <f>Keastexetries</f>
        <v>0</v>
      </c>
      <c r="D358" s="21" t="s">
        <v>678</v>
      </c>
      <c r="E358" s="21" t="s">
        <v>537</v>
      </c>
      <c r="F358" s="20">
        <f>Jacksonsarpts</f>
        <v>0</v>
      </c>
    </row>
    <row r="359" spans="1:6" ht="14.95" customHeight="1" thickBot="1" x14ac:dyDescent="0.3">
      <c r="A359" s="9" t="s">
        <v>699</v>
      </c>
      <c r="B359" s="9" t="s">
        <v>132</v>
      </c>
      <c r="C359" s="9">
        <f>Kennyexetries</f>
        <v>0</v>
      </c>
      <c r="D359" s="21" t="s">
        <v>106</v>
      </c>
      <c r="E359" s="21" t="s">
        <v>118</v>
      </c>
      <c r="F359" s="19">
        <f>James_Lsalpts</f>
        <v>0</v>
      </c>
    </row>
    <row r="360" spans="1:6" ht="14.95" customHeight="1" thickBot="1" x14ac:dyDescent="0.3">
      <c r="A360" s="8" t="s">
        <v>523</v>
      </c>
      <c r="B360" s="8" t="s">
        <v>138</v>
      </c>
      <c r="C360" s="9">
        <f>Kerrbritries</f>
        <v>0</v>
      </c>
      <c r="D360" s="21" t="s">
        <v>803</v>
      </c>
      <c r="E360" s="21" t="s">
        <v>132</v>
      </c>
      <c r="F360" s="20">
        <f>Jenkins_Iexepts</f>
        <v>0</v>
      </c>
    </row>
    <row r="361" spans="1:6" ht="14.95" customHeight="1" thickBot="1" x14ac:dyDescent="0.3">
      <c r="A361" s="8" t="s">
        <v>673</v>
      </c>
      <c r="B361" s="8" t="s">
        <v>389</v>
      </c>
      <c r="C361" s="9">
        <f>Georgesartries</f>
        <v>0</v>
      </c>
      <c r="D361" s="21" t="s">
        <v>823</v>
      </c>
      <c r="E361" s="21" t="s">
        <v>138</v>
      </c>
      <c r="F361" s="19">
        <f>Jenkinsbripts</f>
        <v>0</v>
      </c>
    </row>
    <row r="362" spans="1:6" ht="14.95" customHeight="1" thickBot="1" x14ac:dyDescent="0.3">
      <c r="A362" s="8" t="s">
        <v>195</v>
      </c>
      <c r="B362" s="8" t="s">
        <v>131</v>
      </c>
      <c r="C362" s="9">
        <f>Ibitoyehartries</f>
        <v>0</v>
      </c>
      <c r="D362" s="21" t="s">
        <v>888</v>
      </c>
      <c r="E362" s="21" t="s">
        <v>117</v>
      </c>
      <c r="F362" s="19">
        <f>Jones_MGLOpts</f>
        <v>0</v>
      </c>
    </row>
    <row r="363" spans="1:6" ht="14.95" customHeight="1" thickBot="1" x14ac:dyDescent="0.3">
      <c r="A363" s="8" t="s">
        <v>448</v>
      </c>
      <c r="B363" s="8" t="s">
        <v>138</v>
      </c>
      <c r="C363" s="9">
        <f>Laybritries</f>
        <v>0</v>
      </c>
      <c r="D363" s="19" t="s">
        <v>649</v>
      </c>
      <c r="E363" s="19" t="s">
        <v>119</v>
      </c>
      <c r="F363" s="19">
        <f>Jonkerbthpts</f>
        <v>0</v>
      </c>
    </row>
    <row r="364" spans="1:6" ht="14.95" customHeight="1" thickBot="1" x14ac:dyDescent="0.3">
      <c r="A364" s="8" t="s">
        <v>812</v>
      </c>
      <c r="B364" s="8" t="s">
        <v>537</v>
      </c>
      <c r="C364" s="9">
        <f>KnightSARtries</f>
        <v>0</v>
      </c>
      <c r="D364" s="21" t="s">
        <v>643</v>
      </c>
      <c r="E364" s="21" t="s">
        <v>117</v>
      </c>
      <c r="F364" s="19">
        <f>Krielglopts</f>
        <v>0</v>
      </c>
    </row>
    <row r="365" spans="1:6" ht="14.95" customHeight="1" thickBot="1" x14ac:dyDescent="0.3">
      <c r="A365" s="8" t="s">
        <v>197</v>
      </c>
      <c r="B365" s="8" t="s">
        <v>131</v>
      </c>
      <c r="C365" s="9">
        <f>Lewisdavehartries</f>
        <v>0</v>
      </c>
      <c r="D365" s="21" t="s">
        <v>194</v>
      </c>
      <c r="E365" s="21" t="s">
        <v>138</v>
      </c>
      <c r="F365" s="19">
        <f>Hearnlirpts</f>
        <v>0</v>
      </c>
    </row>
    <row r="366" spans="1:6" ht="14.95" customHeight="1" thickBot="1" x14ac:dyDescent="0.3">
      <c r="A366" s="8" t="s">
        <v>315</v>
      </c>
      <c r="B366" s="8" t="s">
        <v>133</v>
      </c>
      <c r="C366" s="9">
        <f>Kitchenergrahamtriescorrect</f>
        <v>0</v>
      </c>
      <c r="D366" s="19" t="s">
        <v>616</v>
      </c>
      <c r="E366" s="19" t="s">
        <v>131</v>
      </c>
      <c r="F366" s="19">
        <f>Jureviciusharpts</f>
        <v>0</v>
      </c>
    </row>
    <row r="367" spans="1:6" ht="14.95" customHeight="1" thickBot="1" x14ac:dyDescent="0.3">
      <c r="A367" s="8" t="s">
        <v>830</v>
      </c>
      <c r="B367" s="8" t="s">
        <v>119</v>
      </c>
      <c r="C367" s="49">
        <f>Lee_Warnerbthtries</f>
        <v>0</v>
      </c>
      <c r="D367" s="21" t="s">
        <v>257</v>
      </c>
      <c r="E367" s="21" t="s">
        <v>132</v>
      </c>
      <c r="F367" s="19">
        <f>Keastexepts</f>
        <v>0</v>
      </c>
    </row>
    <row r="368" spans="1:6" ht="14.95" customHeight="1" thickBot="1" x14ac:dyDescent="0.3">
      <c r="A368" s="8" t="s">
        <v>200</v>
      </c>
      <c r="B368" s="8" t="s">
        <v>138</v>
      </c>
      <c r="C368" s="9">
        <f>Loaderlirtries</f>
        <v>0</v>
      </c>
      <c r="D368" s="21" t="s">
        <v>699</v>
      </c>
      <c r="E368" s="21" t="s">
        <v>132</v>
      </c>
      <c r="F368" s="18">
        <f>Kennyexepts</f>
        <v>0</v>
      </c>
    </row>
    <row r="369" spans="1:6" ht="14.95" customHeight="1" thickBot="1" x14ac:dyDescent="0.3">
      <c r="A369" s="8" t="s">
        <v>965</v>
      </c>
      <c r="B369" s="8" t="s">
        <v>138</v>
      </c>
      <c r="C369" s="9">
        <f>LloydBriTries</f>
        <v>0</v>
      </c>
      <c r="D369" s="21" t="s">
        <v>523</v>
      </c>
      <c r="E369" s="21" t="s">
        <v>138</v>
      </c>
      <c r="F369" s="19">
        <f>Kerrbripts</f>
        <v>0</v>
      </c>
    </row>
    <row r="370" spans="1:6" ht="14.95" customHeight="1" thickBot="1" x14ac:dyDescent="0.3">
      <c r="A370" s="8" t="s">
        <v>987</v>
      </c>
      <c r="B370" s="8" t="s">
        <v>131</v>
      </c>
      <c r="C370" s="9">
        <f>Lewishartries</f>
        <v>0</v>
      </c>
      <c r="D370" s="21" t="s">
        <v>673</v>
      </c>
      <c r="E370" s="21" t="s">
        <v>389</v>
      </c>
      <c r="F370" s="19">
        <f>Georgesarpts</f>
        <v>0</v>
      </c>
    </row>
    <row r="371" spans="1:6" ht="14.95" customHeight="1" thickBot="1" x14ac:dyDescent="0.3">
      <c r="A371" s="324" t="s">
        <v>1012</v>
      </c>
      <c r="B371" s="324" t="s">
        <v>117</v>
      </c>
      <c r="C371" s="9">
        <f>Knightglotriescorrect</f>
        <v>0</v>
      </c>
      <c r="D371" s="21" t="s">
        <v>195</v>
      </c>
      <c r="E371" s="21" t="s">
        <v>131</v>
      </c>
      <c r="F371" s="19">
        <f>Ibitoyeharpts</f>
        <v>0</v>
      </c>
    </row>
    <row r="372" spans="1:6" ht="14.95" customHeight="1" thickBot="1" x14ac:dyDescent="0.3">
      <c r="A372" s="8" t="s">
        <v>670</v>
      </c>
      <c r="B372" s="8" t="s">
        <v>138</v>
      </c>
      <c r="C372" s="9">
        <f>Lloyd_Jbritries</f>
        <v>0</v>
      </c>
      <c r="D372" s="21" t="s">
        <v>448</v>
      </c>
      <c r="E372" s="21" t="s">
        <v>138</v>
      </c>
      <c r="F372" s="19">
        <f>Laybripts</f>
        <v>0</v>
      </c>
    </row>
    <row r="373" spans="1:6" ht="14.95" customHeight="1" thickBot="1" x14ac:dyDescent="0.3">
      <c r="A373" s="8" t="s">
        <v>781</v>
      </c>
      <c r="B373" s="8" t="s">
        <v>120</v>
      </c>
      <c r="C373" s="9">
        <f>Lockettnortries</f>
        <v>0</v>
      </c>
      <c r="D373" s="21" t="s">
        <v>812</v>
      </c>
      <c r="E373" s="21" t="s">
        <v>537</v>
      </c>
      <c r="F373" s="19">
        <f>KnightSARpts</f>
        <v>0</v>
      </c>
    </row>
    <row r="374" spans="1:6" ht="14.95" customHeight="1" thickBot="1" x14ac:dyDescent="0.3">
      <c r="A374" s="8" t="s">
        <v>848</v>
      </c>
      <c r="B374" s="8" t="s">
        <v>389</v>
      </c>
      <c r="C374" s="9">
        <f>Lindsay_Haguenewtries</f>
        <v>0</v>
      </c>
      <c r="D374" s="21" t="s">
        <v>197</v>
      </c>
      <c r="E374" s="21" t="s">
        <v>131</v>
      </c>
      <c r="F374" s="20">
        <f>Lewisdaveharpts</f>
        <v>0</v>
      </c>
    </row>
    <row r="375" spans="1:6" ht="14.95" customHeight="1" thickBot="1" x14ac:dyDescent="0.3">
      <c r="A375" s="8" t="s">
        <v>550</v>
      </c>
      <c r="B375" s="8" t="s">
        <v>537</v>
      </c>
      <c r="C375" s="9">
        <f>Lozowskisartriescorrect</f>
        <v>0</v>
      </c>
      <c r="D375" s="21" t="s">
        <v>315</v>
      </c>
      <c r="E375" s="21" t="s">
        <v>133</v>
      </c>
      <c r="F375" s="19">
        <f>Kitchenergrahamptscorrect</f>
        <v>0</v>
      </c>
    </row>
    <row r="376" spans="1:6" ht="14.95" customHeight="1" thickBot="1" x14ac:dyDescent="0.3">
      <c r="A376" s="8" t="s">
        <v>201</v>
      </c>
      <c r="B376" s="8" t="s">
        <v>138</v>
      </c>
      <c r="C376" s="9">
        <f>Marshalllirtries</f>
        <v>0</v>
      </c>
      <c r="D376" s="21" t="s">
        <v>830</v>
      </c>
      <c r="E376" s="21" t="s">
        <v>119</v>
      </c>
      <c r="F376" s="19">
        <f>Lee_Warnerbthpts</f>
        <v>0</v>
      </c>
    </row>
    <row r="377" spans="1:6" ht="14.95" customHeight="1" thickBot="1" x14ac:dyDescent="0.3">
      <c r="A377" s="8" t="s">
        <v>587</v>
      </c>
      <c r="B377" s="8" t="s">
        <v>389</v>
      </c>
      <c r="C377" s="9">
        <f>Lucocknewtries</f>
        <v>0</v>
      </c>
      <c r="D377" s="21" t="s">
        <v>200</v>
      </c>
      <c r="E377" s="21" t="s">
        <v>138</v>
      </c>
      <c r="F377" s="19">
        <f>Loaderlirpts</f>
        <v>0</v>
      </c>
    </row>
    <row r="378" spans="1:6" ht="14.95" customHeight="1" thickBot="1" x14ac:dyDescent="0.3">
      <c r="A378" s="8" t="s">
        <v>400</v>
      </c>
      <c r="B378" s="8" t="s">
        <v>389</v>
      </c>
      <c r="C378" s="9">
        <f>goodealextries</f>
        <v>0</v>
      </c>
      <c r="D378" s="21" t="s">
        <v>965</v>
      </c>
      <c r="E378" s="21" t="s">
        <v>138</v>
      </c>
      <c r="F378" s="19">
        <f>LloydBriPts</f>
        <v>0</v>
      </c>
    </row>
    <row r="379" spans="1:6" ht="14.95" customHeight="1" thickBot="1" x14ac:dyDescent="0.3">
      <c r="A379" s="8" t="s">
        <v>787</v>
      </c>
      <c r="B379" s="8" t="s">
        <v>133</v>
      </c>
      <c r="C379" s="9">
        <f>Manzleictries</f>
        <v>0</v>
      </c>
      <c r="D379" s="21" t="s">
        <v>987</v>
      </c>
      <c r="E379" s="21" t="s">
        <v>131</v>
      </c>
      <c r="F379" s="19">
        <f>Lewisharpts</f>
        <v>0</v>
      </c>
    </row>
    <row r="380" spans="1:6" ht="14.95" customHeight="1" thickBot="1" x14ac:dyDescent="0.3">
      <c r="A380" s="8" t="s">
        <v>205</v>
      </c>
      <c r="B380" s="8" t="s">
        <v>131</v>
      </c>
      <c r="C380" s="9">
        <f>marlertries</f>
        <v>0</v>
      </c>
      <c r="D380" s="21" t="s">
        <v>1012</v>
      </c>
      <c r="E380" s="21" t="s">
        <v>117</v>
      </c>
      <c r="F380" s="19">
        <f>Knightgloptscorrect</f>
        <v>0</v>
      </c>
    </row>
    <row r="381" spans="1:6" ht="14.95" customHeight="1" thickBot="1" x14ac:dyDescent="0.3">
      <c r="A381" s="9" t="s">
        <v>589</v>
      </c>
      <c r="B381" s="9" t="s">
        <v>389</v>
      </c>
      <c r="C381" s="9">
        <f>Matavesinewtriescorrect</f>
        <v>0</v>
      </c>
      <c r="D381" s="21" t="s">
        <v>670</v>
      </c>
      <c r="E381" s="21" t="s">
        <v>138</v>
      </c>
      <c r="F381" s="19">
        <f>Lloyd_Jbripts</f>
        <v>0</v>
      </c>
    </row>
    <row r="382" spans="1:6" ht="14.95" customHeight="1" thickBot="1" x14ac:dyDescent="0.3">
      <c r="A382" s="8" t="s">
        <v>765</v>
      </c>
      <c r="B382" s="8" t="s">
        <v>120</v>
      </c>
      <c r="C382" s="9">
        <f>Marshallnortries</f>
        <v>0</v>
      </c>
      <c r="D382" s="21" t="s">
        <v>781</v>
      </c>
      <c r="E382" s="21" t="s">
        <v>120</v>
      </c>
      <c r="F382" s="20">
        <f>Lockettnorpts</f>
        <v>0</v>
      </c>
    </row>
    <row r="383" spans="1:6" ht="14.95" customHeight="1" thickBot="1" x14ac:dyDescent="0.3">
      <c r="A383" s="8" t="s">
        <v>694</v>
      </c>
      <c r="B383" s="8" t="s">
        <v>132</v>
      </c>
      <c r="C383" s="9">
        <f>Maunder_Sexetries</f>
        <v>0</v>
      </c>
      <c r="D383" s="21" t="s">
        <v>848</v>
      </c>
      <c r="E383" s="21" t="s">
        <v>389</v>
      </c>
      <c r="F383" s="19">
        <f>Lindsay_Haguenewpts</f>
        <v>0</v>
      </c>
    </row>
    <row r="384" spans="1:6" ht="14.95" customHeight="1" thickBot="1" x14ac:dyDescent="0.3">
      <c r="A384" s="8" t="s">
        <v>552</v>
      </c>
      <c r="B384" s="8" t="s">
        <v>537</v>
      </c>
      <c r="C384" s="9">
        <f>Mawisartriescorrect</f>
        <v>0</v>
      </c>
      <c r="D384" s="21" t="s">
        <v>201</v>
      </c>
      <c r="E384" s="21" t="s">
        <v>138</v>
      </c>
      <c r="F384" s="19">
        <f>Marshalllirpts</f>
        <v>0</v>
      </c>
    </row>
    <row r="385" spans="1:6" ht="14.95" customHeight="1" thickBot="1" x14ac:dyDescent="0.3">
      <c r="A385" s="8" t="s">
        <v>992</v>
      </c>
      <c r="B385" s="8" t="s">
        <v>389</v>
      </c>
      <c r="C385" s="6">
        <f>McCallumnewtries</f>
        <v>0</v>
      </c>
      <c r="D385" s="21" t="s">
        <v>587</v>
      </c>
      <c r="E385" s="21" t="s">
        <v>389</v>
      </c>
      <c r="F385" s="19">
        <f>Lucocknewpts</f>
        <v>0</v>
      </c>
    </row>
    <row r="386" spans="1:6" ht="14.95" customHeight="1" thickBot="1" x14ac:dyDescent="0.3">
      <c r="A386" s="8" t="s">
        <v>825</v>
      </c>
      <c r="B386" s="8" t="s">
        <v>118</v>
      </c>
      <c r="C386" s="9">
        <f>McIntyresaltries</f>
        <v>0</v>
      </c>
      <c r="D386" s="21" t="s">
        <v>400</v>
      </c>
      <c r="E386" s="21" t="s">
        <v>389</v>
      </c>
      <c r="F386" s="19">
        <f>Goodealexpts</f>
        <v>0</v>
      </c>
    </row>
    <row r="387" spans="1:6" ht="14.95" customHeight="1" thickBot="1" x14ac:dyDescent="0.3">
      <c r="A387" s="8" t="s">
        <v>325</v>
      </c>
      <c r="B387" s="8" t="s">
        <v>119</v>
      </c>
      <c r="C387" s="9">
        <f>McNallybthtries</f>
        <v>0</v>
      </c>
      <c r="D387" s="21" t="s">
        <v>787</v>
      </c>
      <c r="E387" s="21" t="s">
        <v>133</v>
      </c>
      <c r="F387" s="19">
        <f>Manzleicpts</f>
        <v>0</v>
      </c>
    </row>
    <row r="388" spans="1:6" ht="14.95" customHeight="1" thickBot="1" x14ac:dyDescent="0.3">
      <c r="A388" s="8" t="s">
        <v>906</v>
      </c>
      <c r="B388" s="8" t="s">
        <v>120</v>
      </c>
      <c r="C388" s="9">
        <f>McParlandNORtries</f>
        <v>0</v>
      </c>
      <c r="D388" s="21" t="s">
        <v>205</v>
      </c>
      <c r="E388" s="21" t="s">
        <v>131</v>
      </c>
      <c r="F388" s="20">
        <f>Marlerharpts</f>
        <v>0</v>
      </c>
    </row>
    <row r="389" spans="1:6" ht="14.95" customHeight="1" thickBot="1" x14ac:dyDescent="0.3">
      <c r="A389" s="8" t="s">
        <v>733</v>
      </c>
      <c r="B389" s="8" t="s">
        <v>133</v>
      </c>
      <c r="C389" s="9">
        <f>Meredithleitries</f>
        <v>0</v>
      </c>
      <c r="D389" s="21" t="s">
        <v>589</v>
      </c>
      <c r="E389" s="21" t="s">
        <v>389</v>
      </c>
      <c r="F389" s="19">
        <f>Matavesinewptscorrect</f>
        <v>0</v>
      </c>
    </row>
    <row r="390" spans="1:6" ht="14.95" customHeight="1" thickBot="1" x14ac:dyDescent="0.3">
      <c r="A390" s="8" t="s">
        <v>591</v>
      </c>
      <c r="B390" s="8" t="s">
        <v>389</v>
      </c>
      <c r="C390" s="6">
        <f>Merricknewtries</f>
        <v>0</v>
      </c>
      <c r="D390" s="21" t="s">
        <v>765</v>
      </c>
      <c r="E390" s="21" t="s">
        <v>120</v>
      </c>
      <c r="F390" s="19">
        <f>Marshallnorpts</f>
        <v>0</v>
      </c>
    </row>
    <row r="391" spans="1:6" ht="14.95" customHeight="1" thickBot="1" x14ac:dyDescent="0.3">
      <c r="A391" s="8" t="s">
        <v>763</v>
      </c>
      <c r="B391" s="8" t="s">
        <v>537</v>
      </c>
      <c r="C391" s="6">
        <f>Mooresartries</f>
        <v>0</v>
      </c>
      <c r="D391" s="21" t="s">
        <v>694</v>
      </c>
      <c r="E391" s="21" t="s">
        <v>132</v>
      </c>
      <c r="F391" s="19">
        <f>Maunder_Sexepts</f>
        <v>0</v>
      </c>
    </row>
    <row r="392" spans="1:6" ht="14.95" customHeight="1" thickBot="1" x14ac:dyDescent="0.3">
      <c r="A392" s="8" t="s">
        <v>209</v>
      </c>
      <c r="B392" s="8" t="s">
        <v>138</v>
      </c>
      <c r="C392" s="9">
        <f>McNallylirtries</f>
        <v>0</v>
      </c>
      <c r="D392" s="21" t="s">
        <v>552</v>
      </c>
      <c r="E392" s="21" t="s">
        <v>537</v>
      </c>
      <c r="F392" s="19">
        <f>Mawisarptscorrect</f>
        <v>0</v>
      </c>
    </row>
    <row r="393" spans="1:6" ht="14.95" customHeight="1" thickBot="1" x14ac:dyDescent="0.3">
      <c r="A393" s="8" t="s">
        <v>630</v>
      </c>
      <c r="B393" s="8" t="s">
        <v>117</v>
      </c>
      <c r="C393" s="9">
        <f>Morgan_Aglotries</f>
        <v>0</v>
      </c>
      <c r="D393" s="21" t="s">
        <v>992</v>
      </c>
      <c r="E393" s="21" t="s">
        <v>389</v>
      </c>
      <c r="F393" s="19">
        <f>McCallumnewpts</f>
        <v>0</v>
      </c>
    </row>
    <row r="394" spans="1:6" ht="14.95" customHeight="1" thickBot="1" x14ac:dyDescent="0.3">
      <c r="A394" s="8" t="s">
        <v>210</v>
      </c>
      <c r="B394" s="8" t="s">
        <v>117</v>
      </c>
      <c r="C394" s="9">
        <f>Morganbentries</f>
        <v>0</v>
      </c>
      <c r="D394" s="21" t="s">
        <v>825</v>
      </c>
      <c r="E394" s="21" t="s">
        <v>118</v>
      </c>
      <c r="F394" s="19">
        <f>McIntyresalpts</f>
        <v>0</v>
      </c>
    </row>
    <row r="395" spans="1:6" ht="14.95" customHeight="1" thickBot="1" x14ac:dyDescent="0.3">
      <c r="A395" s="8" t="s">
        <v>769</v>
      </c>
      <c r="B395" s="8" t="s">
        <v>118</v>
      </c>
      <c r="C395" s="9">
        <f>Mooresaltries</f>
        <v>0</v>
      </c>
      <c r="D395" s="21" t="s">
        <v>325</v>
      </c>
      <c r="E395" s="21" t="s">
        <v>119</v>
      </c>
      <c r="F395" s="19">
        <f>McNallybthpts</f>
        <v>0</v>
      </c>
    </row>
    <row r="396" spans="1:6" ht="14.95" customHeight="1" thickBot="1" x14ac:dyDescent="0.3">
      <c r="A396" s="8" t="s">
        <v>554</v>
      </c>
      <c r="B396" s="8" t="s">
        <v>537</v>
      </c>
      <c r="C396" s="9">
        <f>Morrissartriescorrect</f>
        <v>0</v>
      </c>
      <c r="D396" s="21" t="s">
        <v>906</v>
      </c>
      <c r="E396" s="21" t="s">
        <v>120</v>
      </c>
      <c r="F396" s="19">
        <f>McParlandNORpts</f>
        <v>0</v>
      </c>
    </row>
    <row r="397" spans="1:6" ht="14.95" customHeight="1" thickBot="1" x14ac:dyDescent="0.3">
      <c r="A397" s="8" t="s">
        <v>382</v>
      </c>
      <c r="B397" s="8" t="s">
        <v>117</v>
      </c>
      <c r="C397" s="9">
        <f>Morrisglotries</f>
        <v>0</v>
      </c>
      <c r="D397" s="21" t="s">
        <v>733</v>
      </c>
      <c r="E397" s="21" t="s">
        <v>133</v>
      </c>
      <c r="F397" s="18">
        <f>Meredithleipts</f>
        <v>0</v>
      </c>
    </row>
    <row r="398" spans="1:6" ht="14.95" customHeight="1" thickBot="1" x14ac:dyDescent="0.3">
      <c r="A398" s="8" t="s">
        <v>403</v>
      </c>
      <c r="B398" s="8" t="s">
        <v>389</v>
      </c>
      <c r="C398" s="9">
        <f>Isiekwesartries</f>
        <v>0</v>
      </c>
      <c r="D398" s="21" t="s">
        <v>591</v>
      </c>
      <c r="E398" s="21" t="s">
        <v>389</v>
      </c>
      <c r="F398" s="19">
        <f>Merricknewpts</f>
        <v>0</v>
      </c>
    </row>
    <row r="399" spans="1:6" ht="14.95" customHeight="1" thickBot="1" x14ac:dyDescent="0.3">
      <c r="A399" s="8" t="s">
        <v>907</v>
      </c>
      <c r="B399" s="8" t="s">
        <v>120</v>
      </c>
      <c r="C399" s="9">
        <f>MungaNORtries</f>
        <v>0</v>
      </c>
      <c r="D399" s="417" t="s">
        <v>763</v>
      </c>
      <c r="E399" s="417" t="s">
        <v>537</v>
      </c>
      <c r="F399" s="18">
        <f>Mooresarpts</f>
        <v>0</v>
      </c>
    </row>
    <row r="400" spans="1:6" ht="14.95" customHeight="1" thickBot="1" x14ac:dyDescent="0.3">
      <c r="A400" s="8" t="s">
        <v>446</v>
      </c>
      <c r="B400" s="8" t="s">
        <v>133</v>
      </c>
      <c r="C400" s="49">
        <f>Montoyaleictries</f>
        <v>0</v>
      </c>
      <c r="D400" s="21" t="s">
        <v>209</v>
      </c>
      <c r="E400" s="21" t="s">
        <v>138</v>
      </c>
      <c r="F400" s="19">
        <f>McNallylirpts</f>
        <v>0</v>
      </c>
    </row>
    <row r="401" spans="1:6" ht="14.95" customHeight="1" thickBot="1" x14ac:dyDescent="0.3">
      <c r="A401" s="8" t="s">
        <v>746</v>
      </c>
      <c r="B401" s="8" t="s">
        <v>131</v>
      </c>
      <c r="C401" s="9">
        <f>Murrayhartries</f>
        <v>0</v>
      </c>
      <c r="D401" s="19" t="s">
        <v>630</v>
      </c>
      <c r="E401" s="19" t="s">
        <v>117</v>
      </c>
      <c r="F401" s="19">
        <f>Morgan_Aglopts</f>
        <v>0</v>
      </c>
    </row>
    <row r="402" spans="1:6" ht="14.95" customHeight="1" thickBot="1" x14ac:dyDescent="0.3">
      <c r="A402" s="8" t="s">
        <v>758</v>
      </c>
      <c r="B402" s="8" t="s">
        <v>131</v>
      </c>
      <c r="C402" s="9">
        <f>Muskhartries</f>
        <v>0</v>
      </c>
      <c r="D402" s="21" t="s">
        <v>210</v>
      </c>
      <c r="E402" s="21" t="s">
        <v>117</v>
      </c>
      <c r="F402" s="20">
        <f>Morganbenpts</f>
        <v>0</v>
      </c>
    </row>
    <row r="403" spans="1:6" ht="14.95" customHeight="1" thickBot="1" x14ac:dyDescent="0.3">
      <c r="A403" s="9" t="s">
        <v>349</v>
      </c>
      <c r="B403" s="9" t="s">
        <v>133</v>
      </c>
      <c r="C403" s="9">
        <f>Parlingleitries</f>
        <v>0</v>
      </c>
      <c r="D403" s="21" t="s">
        <v>769</v>
      </c>
      <c r="E403" s="21" t="s">
        <v>118</v>
      </c>
      <c r="F403" s="19">
        <f>Mooresalpts</f>
        <v>0</v>
      </c>
    </row>
    <row r="404" spans="1:6" ht="14.95" customHeight="1" thickBot="1" x14ac:dyDescent="0.3">
      <c r="A404" s="8" t="s">
        <v>439</v>
      </c>
      <c r="B404" s="8" t="s">
        <v>117</v>
      </c>
      <c r="C404" s="9">
        <f>Moriartyglotries</f>
        <v>0</v>
      </c>
      <c r="D404" s="21" t="s">
        <v>554</v>
      </c>
      <c r="E404" s="21" t="s">
        <v>537</v>
      </c>
      <c r="F404" s="19">
        <f>Morrissarptscorrect</f>
        <v>0</v>
      </c>
    </row>
    <row r="405" spans="1:6" ht="14.95" customHeight="1" thickBot="1" x14ac:dyDescent="0.3">
      <c r="A405" s="8" t="s">
        <v>593</v>
      </c>
      <c r="B405" s="8" t="s">
        <v>389</v>
      </c>
      <c r="C405" s="9">
        <f>Obonnanewtries</f>
        <v>0</v>
      </c>
      <c r="D405" s="21" t="s">
        <v>382</v>
      </c>
      <c r="E405" s="21" t="s">
        <v>117</v>
      </c>
      <c r="F405" s="19">
        <f>Morrisglopts</f>
        <v>0</v>
      </c>
    </row>
    <row r="406" spans="1:6" ht="14.95" customHeight="1" thickBot="1" x14ac:dyDescent="0.3">
      <c r="A406" s="8" t="s">
        <v>664</v>
      </c>
      <c r="B406" s="8" t="s">
        <v>132</v>
      </c>
      <c r="C406" s="9">
        <f>Noreyexetries</f>
        <v>0</v>
      </c>
      <c r="D406" s="21" t="s">
        <v>403</v>
      </c>
      <c r="E406" s="21" t="s">
        <v>389</v>
      </c>
      <c r="F406" s="19">
        <f>Isiekwesarpts</f>
        <v>0</v>
      </c>
    </row>
    <row r="407" spans="1:6" ht="14.95" customHeight="1" thickBot="1" x14ac:dyDescent="0.3">
      <c r="A407" s="8" t="s">
        <v>555</v>
      </c>
      <c r="B407" s="9" t="s">
        <v>389</v>
      </c>
      <c r="C407" s="6">
        <f>Obatoyinbonewtries</f>
        <v>0</v>
      </c>
      <c r="D407" s="19" t="s">
        <v>907</v>
      </c>
      <c r="E407" s="21" t="s">
        <v>120</v>
      </c>
      <c r="F407" s="19">
        <f>MungaNORpts</f>
        <v>0</v>
      </c>
    </row>
    <row r="408" spans="1:6" ht="14.95" customHeight="1" thickBot="1" x14ac:dyDescent="0.3">
      <c r="A408" s="8" t="s">
        <v>212</v>
      </c>
      <c r="B408" s="8" t="s">
        <v>138</v>
      </c>
      <c r="C408" s="9">
        <f>MulchronelirtriesCORRECT</f>
        <v>0</v>
      </c>
      <c r="D408" s="21" t="s">
        <v>446</v>
      </c>
      <c r="E408" s="21" t="s">
        <v>133</v>
      </c>
      <c r="F408" s="19">
        <f>Montoyaleicpts</f>
        <v>0</v>
      </c>
    </row>
    <row r="409" spans="1:6" ht="14.95" customHeight="1" thickBot="1" x14ac:dyDescent="0.3">
      <c r="A409" s="8" t="s">
        <v>304</v>
      </c>
      <c r="B409" s="8" t="s">
        <v>118</v>
      </c>
      <c r="C409" s="9">
        <f>OosthuizenSALtries</f>
        <v>0</v>
      </c>
      <c r="D409" s="21" t="s">
        <v>746</v>
      </c>
      <c r="E409" s="21" t="s">
        <v>131</v>
      </c>
      <c r="F409" s="19">
        <f>Murrayharpts</f>
        <v>0</v>
      </c>
    </row>
    <row r="410" spans="1:6" ht="14.95" customHeight="1" thickBot="1" x14ac:dyDescent="0.3">
      <c r="A410" s="8" t="s">
        <v>305</v>
      </c>
      <c r="B410" s="8" t="s">
        <v>118</v>
      </c>
      <c r="C410" s="6">
        <f>Ostrikovandreitries</f>
        <v>0</v>
      </c>
      <c r="D410" s="21" t="s">
        <v>758</v>
      </c>
      <c r="E410" s="21" t="s">
        <v>131</v>
      </c>
      <c r="F410" s="19">
        <f>Muskharpts</f>
        <v>0</v>
      </c>
    </row>
    <row r="411" spans="1:6" ht="14.95" customHeight="1" thickBot="1" x14ac:dyDescent="0.3">
      <c r="A411" s="9" t="s">
        <v>772</v>
      </c>
      <c r="B411" s="9" t="s">
        <v>131</v>
      </c>
      <c r="C411" s="9">
        <f>Oresanyahartries</f>
        <v>0</v>
      </c>
      <c r="D411" s="19" t="s">
        <v>349</v>
      </c>
      <c r="E411" s="19" t="s">
        <v>133</v>
      </c>
      <c r="F411" s="19">
        <f>Parlingleipts</f>
        <v>0</v>
      </c>
    </row>
    <row r="412" spans="1:6" ht="14.95" customHeight="1" thickBot="1" x14ac:dyDescent="0.3">
      <c r="A412" s="8" t="s">
        <v>741</v>
      </c>
      <c r="B412" s="8" t="s">
        <v>131</v>
      </c>
      <c r="C412" s="9">
        <f>Osbornehartries</f>
        <v>0</v>
      </c>
      <c r="D412" s="21" t="s">
        <v>439</v>
      </c>
      <c r="E412" s="21" t="s">
        <v>117</v>
      </c>
      <c r="F412" s="19">
        <f>Moriartyglopts</f>
        <v>0</v>
      </c>
    </row>
    <row r="413" spans="1:6" ht="14.95" customHeight="1" thickBot="1" x14ac:dyDescent="0.3">
      <c r="A413" s="9" t="s">
        <v>1000</v>
      </c>
      <c r="B413" s="9" t="s">
        <v>389</v>
      </c>
      <c r="C413" s="9">
        <f>Owennewtriescorrect</f>
        <v>0</v>
      </c>
      <c r="D413" s="19" t="s">
        <v>593</v>
      </c>
      <c r="E413" s="21" t="s">
        <v>389</v>
      </c>
      <c r="F413" s="19">
        <f>Obonnanewpts</f>
        <v>0</v>
      </c>
    </row>
    <row r="414" spans="1:6" ht="14.95" customHeight="1" thickBot="1" x14ac:dyDescent="0.3">
      <c r="A414" s="8" t="s">
        <v>876</v>
      </c>
      <c r="B414" s="8" t="s">
        <v>138</v>
      </c>
      <c r="C414" s="9">
        <f>OwenBRItries</f>
        <v>0</v>
      </c>
      <c r="D414" s="21" t="s">
        <v>664</v>
      </c>
      <c r="E414" s="21" t="s">
        <v>132</v>
      </c>
      <c r="F414" s="19">
        <f>Noreyexepts</f>
        <v>0</v>
      </c>
    </row>
    <row r="415" spans="1:6" ht="14.95" customHeight="1" thickBot="1" x14ac:dyDescent="0.3">
      <c r="A415" s="8" t="s">
        <v>655</v>
      </c>
      <c r="B415" s="8" t="s">
        <v>132</v>
      </c>
      <c r="C415" s="9">
        <f>Pearsonexetries</f>
        <v>0</v>
      </c>
      <c r="D415" s="21" t="s">
        <v>555</v>
      </c>
      <c r="E415" s="21" t="s">
        <v>389</v>
      </c>
      <c r="F415" s="19">
        <f>Obatoyinbonewpts</f>
        <v>0</v>
      </c>
    </row>
    <row r="416" spans="1:6" ht="14.95" customHeight="1" thickBot="1" x14ac:dyDescent="0.3">
      <c r="A416" s="8" t="s">
        <v>121</v>
      </c>
      <c r="B416" s="8" t="s">
        <v>138</v>
      </c>
      <c r="C416" s="9">
        <f>Penalty_Triesbritries</f>
        <v>0</v>
      </c>
      <c r="D416" s="21" t="s">
        <v>212</v>
      </c>
      <c r="E416" s="21" t="s">
        <v>138</v>
      </c>
      <c r="F416" s="19">
        <f>Geraghtypts</f>
        <v>0</v>
      </c>
    </row>
    <row r="417" spans="1:6" ht="14.95" customHeight="1" thickBot="1" x14ac:dyDescent="0.3">
      <c r="A417" s="8" t="s">
        <v>121</v>
      </c>
      <c r="B417" s="8" t="s">
        <v>131</v>
      </c>
      <c r="C417" s="9">
        <f>Penalty_Trieshartries</f>
        <v>0</v>
      </c>
      <c r="D417" s="21" t="s">
        <v>304</v>
      </c>
      <c r="E417" s="21" t="s">
        <v>118</v>
      </c>
      <c r="F417" s="19">
        <f>OosthuizenSALpts</f>
        <v>0</v>
      </c>
    </row>
    <row r="418" spans="1:6" ht="14.95" customHeight="1" thickBot="1" x14ac:dyDescent="0.3">
      <c r="A418" s="8" t="s">
        <v>121</v>
      </c>
      <c r="B418" s="8" t="s">
        <v>118</v>
      </c>
      <c r="C418" s="9">
        <f>Penalty_Triessaltries</f>
        <v>0</v>
      </c>
      <c r="D418" s="21" t="s">
        <v>305</v>
      </c>
      <c r="E418" s="21" t="s">
        <v>118</v>
      </c>
      <c r="F418" s="20">
        <f>OStrikovsalpts</f>
        <v>0</v>
      </c>
    </row>
    <row r="419" spans="1:6" ht="14.95" customHeight="1" thickBot="1" x14ac:dyDescent="0.3">
      <c r="A419" s="9" t="s">
        <v>421</v>
      </c>
      <c r="B419" s="9" t="s">
        <v>389</v>
      </c>
      <c r="C419" s="9">
        <f>Pennytnewtries</f>
        <v>0</v>
      </c>
      <c r="D419" s="21" t="s">
        <v>772</v>
      </c>
      <c r="E419" s="21" t="s">
        <v>131</v>
      </c>
      <c r="F419" s="19">
        <f>Oresanyaharpts</f>
        <v>0</v>
      </c>
    </row>
    <row r="420" spans="1:6" ht="14.95" customHeight="1" thickBot="1" x14ac:dyDescent="0.3">
      <c r="A420" s="9" t="s">
        <v>901</v>
      </c>
      <c r="B420" s="8" t="s">
        <v>389</v>
      </c>
      <c r="C420" s="9">
        <f>Pepper_MNEWtries</f>
        <v>0</v>
      </c>
      <c r="D420" s="21" t="s">
        <v>741</v>
      </c>
      <c r="E420" s="21" t="s">
        <v>131</v>
      </c>
      <c r="F420" s="19">
        <f>Osborneharpts</f>
        <v>0</v>
      </c>
    </row>
    <row r="421" spans="1:6" ht="14.95" customHeight="1" thickBot="1" x14ac:dyDescent="0.3">
      <c r="A421" s="8" t="s">
        <v>799</v>
      </c>
      <c r="B421" s="8" t="s">
        <v>389</v>
      </c>
      <c r="C421" s="9">
        <f>Petersnewtries</f>
        <v>0</v>
      </c>
      <c r="D421" s="21" t="s">
        <v>1000</v>
      </c>
      <c r="E421" s="21" t="s">
        <v>389</v>
      </c>
      <c r="F421" s="19">
        <f>Owennewptscorrect</f>
        <v>0</v>
      </c>
    </row>
    <row r="422" spans="1:6" ht="14.95" customHeight="1" thickBot="1" x14ac:dyDescent="0.3">
      <c r="A422" s="8" t="s">
        <v>405</v>
      </c>
      <c r="B422" s="8" t="s">
        <v>389</v>
      </c>
      <c r="C422" s="9">
        <f>Jouberternsttries</f>
        <v>0</v>
      </c>
      <c r="D422" s="21" t="s">
        <v>876</v>
      </c>
      <c r="E422" s="21" t="s">
        <v>138</v>
      </c>
      <c r="F422" s="19">
        <f>OwenBRIpts</f>
        <v>0</v>
      </c>
    </row>
    <row r="423" spans="1:6" ht="14.95" customHeight="1" thickBot="1" x14ac:dyDescent="0.3">
      <c r="A423" s="8" t="s">
        <v>556</v>
      </c>
      <c r="B423" s="8" t="s">
        <v>537</v>
      </c>
      <c r="C423" s="9">
        <f>Pifeletisartriescorrect</f>
        <v>0</v>
      </c>
      <c r="D423" s="19" t="s">
        <v>655</v>
      </c>
      <c r="E423" s="19" t="s">
        <v>132</v>
      </c>
      <c r="F423" s="20">
        <f>Pearsonexepts</f>
        <v>0</v>
      </c>
    </row>
    <row r="424" spans="1:6" ht="14.95" customHeight="1" thickBot="1" x14ac:dyDescent="0.3">
      <c r="A424" s="8" t="s">
        <v>145</v>
      </c>
      <c r="B424" s="8" t="s">
        <v>138</v>
      </c>
      <c r="C424" s="9">
        <f>Noakeslitries</f>
        <v>0</v>
      </c>
      <c r="D424" s="21" t="s">
        <v>121</v>
      </c>
      <c r="E424" s="21" t="s">
        <v>138</v>
      </c>
      <c r="F424" s="19">
        <f>Penalty_Triesbripts</f>
        <v>0</v>
      </c>
    </row>
    <row r="425" spans="1:6" ht="14.95" customHeight="1" thickBot="1" x14ac:dyDescent="0.3">
      <c r="A425" s="62" t="s">
        <v>827</v>
      </c>
      <c r="B425" s="8" t="s">
        <v>133</v>
      </c>
      <c r="C425" s="9">
        <f>Olowofela_Jleictries</f>
        <v>0</v>
      </c>
      <c r="D425" s="21" t="s">
        <v>121</v>
      </c>
      <c r="E425" s="21" t="s">
        <v>131</v>
      </c>
      <c r="F425" s="19">
        <f>Penalty_Triesharpts</f>
        <v>0</v>
      </c>
    </row>
    <row r="426" spans="1:6" ht="14.95" customHeight="1" thickBot="1" x14ac:dyDescent="0.3">
      <c r="A426" s="62" t="s">
        <v>766</v>
      </c>
      <c r="B426" s="8" t="s">
        <v>120</v>
      </c>
      <c r="C426" s="9">
        <f>Pollocknortries</f>
        <v>0</v>
      </c>
      <c r="D426" s="21" t="s">
        <v>121</v>
      </c>
      <c r="E426" s="21" t="s">
        <v>118</v>
      </c>
      <c r="F426" s="19">
        <f>Penalty_Triessalpts</f>
        <v>0</v>
      </c>
    </row>
    <row r="427" spans="1:6" ht="14.95" customHeight="1" thickBot="1" x14ac:dyDescent="0.3">
      <c r="A427" s="62" t="s">
        <v>487</v>
      </c>
      <c r="B427" s="8" t="s">
        <v>133</v>
      </c>
      <c r="C427" s="9">
        <f>Porterleictries</f>
        <v>0</v>
      </c>
      <c r="D427" s="21" t="s">
        <v>421</v>
      </c>
      <c r="E427" s="21" t="s">
        <v>389</v>
      </c>
      <c r="F427" s="18">
        <f>Pennytnewpts</f>
        <v>0</v>
      </c>
    </row>
    <row r="428" spans="1:6" ht="14.95" customHeight="1" thickBot="1" x14ac:dyDescent="0.3">
      <c r="A428" s="62" t="s">
        <v>271</v>
      </c>
      <c r="B428" s="8" t="s">
        <v>132</v>
      </c>
      <c r="C428" s="9">
        <f>PostlethwaiteEXEtries</f>
        <v>0</v>
      </c>
      <c r="D428" s="19" t="s">
        <v>901</v>
      </c>
      <c r="E428" s="19" t="s">
        <v>389</v>
      </c>
      <c r="F428" s="19">
        <f>Pepper_MNEWpts</f>
        <v>0</v>
      </c>
    </row>
    <row r="429" spans="1:6" ht="14.95" customHeight="1" thickBot="1" x14ac:dyDescent="0.3">
      <c r="A429" s="62" t="s">
        <v>338</v>
      </c>
      <c r="B429" s="8" t="s">
        <v>133</v>
      </c>
      <c r="C429" s="9">
        <f>Owenleictries</f>
        <v>0</v>
      </c>
      <c r="D429" s="21" t="s">
        <v>799</v>
      </c>
      <c r="E429" s="21" t="s">
        <v>389</v>
      </c>
      <c r="F429" s="19">
        <f>Petersnewpts</f>
        <v>0</v>
      </c>
    </row>
    <row r="430" spans="1:6" ht="14.95" customHeight="1" thickBot="1" x14ac:dyDescent="0.3">
      <c r="A430" s="62" t="s">
        <v>894</v>
      </c>
      <c r="B430" s="8" t="s">
        <v>133</v>
      </c>
      <c r="C430" s="9">
        <f>PowellLEItries</f>
        <v>0</v>
      </c>
      <c r="D430" s="2" t="s">
        <v>405</v>
      </c>
      <c r="E430" s="21" t="s">
        <v>389</v>
      </c>
      <c r="F430" s="19">
        <f>Jouberternstpts</f>
        <v>0</v>
      </c>
    </row>
    <row r="431" spans="1:6" ht="14.95" customHeight="1" thickBot="1" x14ac:dyDescent="0.3">
      <c r="A431" s="62" t="s">
        <v>264</v>
      </c>
      <c r="B431" s="8" t="s">
        <v>138</v>
      </c>
      <c r="C431" s="9">
        <f>Powellbritries</f>
        <v>0</v>
      </c>
      <c r="D431" s="2" t="s">
        <v>556</v>
      </c>
      <c r="E431" s="21" t="s">
        <v>537</v>
      </c>
      <c r="F431" s="19">
        <f>Pifeletisarptscorrect</f>
        <v>0</v>
      </c>
    </row>
    <row r="432" spans="1:6" ht="14.95" customHeight="1" thickBot="1" x14ac:dyDescent="0.3">
      <c r="A432" s="62" t="s">
        <v>214</v>
      </c>
      <c r="B432" s="8" t="s">
        <v>138</v>
      </c>
      <c r="C432" s="9">
        <f>Purdybritries</f>
        <v>0</v>
      </c>
      <c r="D432" s="2" t="s">
        <v>145</v>
      </c>
      <c r="E432" s="21" t="s">
        <v>138</v>
      </c>
      <c r="F432" s="19">
        <f>Noakeslipts</f>
        <v>0</v>
      </c>
    </row>
    <row r="433" spans="1:6" ht="14.95" customHeight="1" thickBot="1" x14ac:dyDescent="0.3">
      <c r="A433" s="62" t="s">
        <v>821</v>
      </c>
      <c r="B433" s="8" t="s">
        <v>389</v>
      </c>
      <c r="C433" s="9">
        <f>Qorowalenewtries</f>
        <v>0</v>
      </c>
      <c r="D433" s="2" t="s">
        <v>766</v>
      </c>
      <c r="E433" s="21" t="s">
        <v>120</v>
      </c>
      <c r="F433" s="20">
        <f>Pollocknorpts</f>
        <v>0</v>
      </c>
    </row>
    <row r="434" spans="1:6" ht="14.95" customHeight="1" thickBot="1" x14ac:dyDescent="0.3">
      <c r="A434" s="10" t="s">
        <v>329</v>
      </c>
      <c r="B434" s="9" t="s">
        <v>138</v>
      </c>
      <c r="C434" s="9">
        <f>Radradrabritries</f>
        <v>0</v>
      </c>
      <c r="D434" s="17" t="s">
        <v>487</v>
      </c>
      <c r="E434" s="19" t="s">
        <v>133</v>
      </c>
      <c r="F434" s="19">
        <f>Porterleicpts</f>
        <v>0</v>
      </c>
    </row>
    <row r="435" spans="1:6" ht="14.95" customHeight="1" thickBot="1" x14ac:dyDescent="0.3">
      <c r="A435" s="62" t="s">
        <v>795</v>
      </c>
      <c r="B435" s="8" t="s">
        <v>133</v>
      </c>
      <c r="C435" s="9">
        <f>Ramageleictries</f>
        <v>0</v>
      </c>
      <c r="D435" s="17" t="s">
        <v>271</v>
      </c>
      <c r="E435" s="19" t="s">
        <v>132</v>
      </c>
      <c r="F435" s="20">
        <f>PostlethwaiteEXEpts</f>
        <v>0</v>
      </c>
    </row>
    <row r="436" spans="1:6" ht="14.95" customHeight="1" thickBot="1" x14ac:dyDescent="0.3">
      <c r="A436" s="62" t="s">
        <v>216</v>
      </c>
      <c r="B436" s="8" t="s">
        <v>117</v>
      </c>
      <c r="C436" s="9">
        <f>Rapava_Ruskinglotries</f>
        <v>0</v>
      </c>
      <c r="D436" s="2" t="s">
        <v>338</v>
      </c>
      <c r="E436" s="21" t="s">
        <v>133</v>
      </c>
      <c r="F436" s="18">
        <f>Owenleicpts</f>
        <v>0</v>
      </c>
    </row>
    <row r="437" spans="1:6" ht="14.95" customHeight="1" thickBot="1" x14ac:dyDescent="0.3">
      <c r="A437" s="62" t="s">
        <v>633</v>
      </c>
      <c r="B437" s="8" t="s">
        <v>117</v>
      </c>
      <c r="C437" s="9">
        <f>Reevesglotries</f>
        <v>0</v>
      </c>
      <c r="D437" s="17" t="s">
        <v>842</v>
      </c>
      <c r="E437" s="19" t="s">
        <v>133</v>
      </c>
      <c r="F437" s="19">
        <f>PowellLEIpts</f>
        <v>0</v>
      </c>
    </row>
    <row r="438" spans="1:6" ht="14.95" customHeight="1" thickBot="1" x14ac:dyDescent="0.3">
      <c r="A438" s="62" t="s">
        <v>635</v>
      </c>
      <c r="B438" s="8" t="s">
        <v>132</v>
      </c>
      <c r="C438" s="9">
        <f>Reltonexetries</f>
        <v>0</v>
      </c>
      <c r="D438" s="2" t="s">
        <v>264</v>
      </c>
      <c r="E438" s="21" t="s">
        <v>138</v>
      </c>
      <c r="F438" s="19">
        <f>Powellbripts</f>
        <v>0</v>
      </c>
    </row>
    <row r="439" spans="1:6" ht="14.95" customHeight="1" thickBot="1" x14ac:dyDescent="0.3">
      <c r="A439" s="62" t="s">
        <v>775</v>
      </c>
      <c r="B439" s="8" t="s">
        <v>537</v>
      </c>
      <c r="C439" s="9">
        <f>Reffellsartriescorrect</f>
        <v>0</v>
      </c>
      <c r="D439" s="2" t="s">
        <v>214</v>
      </c>
      <c r="E439" s="21" t="s">
        <v>138</v>
      </c>
      <c r="F439" s="19">
        <f>Purdybripts</f>
        <v>0</v>
      </c>
    </row>
    <row r="440" spans="1:6" ht="14.95" customHeight="1" thickBot="1" x14ac:dyDescent="0.3">
      <c r="A440" s="62" t="s">
        <v>573</v>
      </c>
      <c r="B440" s="8" t="s">
        <v>133</v>
      </c>
      <c r="C440" s="9">
        <f>Richardsonleictries</f>
        <v>0</v>
      </c>
      <c r="D440" s="2" t="s">
        <v>821</v>
      </c>
      <c r="E440" s="21" t="s">
        <v>389</v>
      </c>
      <c r="F440" s="20">
        <f>Qorowalenewpts</f>
        <v>0</v>
      </c>
    </row>
    <row r="441" spans="1:6" ht="14.95" customHeight="1" thickBot="1" x14ac:dyDescent="0.3">
      <c r="A441" s="62" t="s">
        <v>468</v>
      </c>
      <c r="B441" s="8" t="s">
        <v>118</v>
      </c>
      <c r="C441" s="9">
        <f>Roddsaltries</f>
        <v>0</v>
      </c>
      <c r="D441" s="2" t="s">
        <v>329</v>
      </c>
      <c r="E441" s="21" t="s">
        <v>138</v>
      </c>
      <c r="F441" s="19">
        <f>Radradrabripts</f>
        <v>0</v>
      </c>
    </row>
    <row r="442" spans="1:6" ht="14.95" customHeight="1" thickBot="1" x14ac:dyDescent="0.3">
      <c r="A442" s="62" t="s">
        <v>754</v>
      </c>
      <c r="B442" s="8" t="s">
        <v>138</v>
      </c>
      <c r="C442" s="9">
        <f>Salomonbritries</f>
        <v>0</v>
      </c>
      <c r="D442" s="2" t="s">
        <v>795</v>
      </c>
      <c r="E442" s="21" t="s">
        <v>133</v>
      </c>
      <c r="F442" s="19">
        <f>Ramageleicpts</f>
        <v>0</v>
      </c>
    </row>
    <row r="443" spans="1:6" ht="14.95" customHeight="1" thickBot="1" x14ac:dyDescent="0.3">
      <c r="A443" s="62" t="s">
        <v>853</v>
      </c>
      <c r="B443" s="8" t="s">
        <v>389</v>
      </c>
      <c r="C443" s="9">
        <f>Rubiolonewtries</f>
        <v>0</v>
      </c>
      <c r="D443" s="2" t="s">
        <v>216</v>
      </c>
      <c r="E443" s="21" t="s">
        <v>117</v>
      </c>
      <c r="F443" s="19">
        <f>Rapava_Ruskinglopts</f>
        <v>0</v>
      </c>
    </row>
    <row r="444" spans="1:6" ht="14.95" customHeight="1" thickBot="1" x14ac:dyDescent="0.3">
      <c r="A444" s="62" t="s">
        <v>920</v>
      </c>
      <c r="B444" s="8" t="s">
        <v>119</v>
      </c>
      <c r="C444" s="49">
        <f>Russellbthtries</f>
        <v>0</v>
      </c>
      <c r="D444" s="2" t="s">
        <v>633</v>
      </c>
      <c r="E444" s="21" t="s">
        <v>117</v>
      </c>
      <c r="F444" s="19">
        <f>Reevesglopts</f>
        <v>0</v>
      </c>
    </row>
    <row r="445" spans="1:6" ht="14.95" customHeight="1" thickBot="1" x14ac:dyDescent="0.3">
      <c r="A445" s="62" t="s">
        <v>574</v>
      </c>
      <c r="B445" s="8" t="s">
        <v>133</v>
      </c>
      <c r="C445" s="9">
        <f>Saumakileictries</f>
        <v>0</v>
      </c>
      <c r="D445" s="17" t="s">
        <v>635</v>
      </c>
      <c r="E445" s="19" t="s">
        <v>132</v>
      </c>
      <c r="F445" s="19">
        <f>Reltonexepts</f>
        <v>0</v>
      </c>
    </row>
    <row r="446" spans="1:6" ht="14.95" customHeight="1" thickBot="1" x14ac:dyDescent="0.3">
      <c r="A446" s="62" t="s">
        <v>1002</v>
      </c>
      <c r="B446" s="8" t="s">
        <v>120</v>
      </c>
      <c r="C446" s="9">
        <f>Savalanortries</f>
        <v>0</v>
      </c>
      <c r="D446" s="2" t="s">
        <v>775</v>
      </c>
      <c r="E446" s="21" t="s">
        <v>537</v>
      </c>
      <c r="F446" s="19">
        <f>Reffellsarptscorrect</f>
        <v>0</v>
      </c>
    </row>
    <row r="447" spans="1:6" ht="14.95" customHeight="1" thickBot="1" x14ac:dyDescent="0.3">
      <c r="A447" s="10" t="s">
        <v>364</v>
      </c>
      <c r="B447" s="9" t="s">
        <v>119</v>
      </c>
      <c r="C447" s="9">
        <f>Schoemanbthtries</f>
        <v>0</v>
      </c>
      <c r="D447" s="2" t="s">
        <v>573</v>
      </c>
      <c r="E447" s="21" t="s">
        <v>133</v>
      </c>
      <c r="F447" s="19">
        <f>Richardsonleicpts</f>
        <v>0</v>
      </c>
    </row>
    <row r="448" spans="1:6" ht="14.95" customHeight="1" thickBot="1" x14ac:dyDescent="0.3">
      <c r="A448" s="10" t="s">
        <v>455</v>
      </c>
      <c r="B448" s="8" t="s">
        <v>389</v>
      </c>
      <c r="C448" s="9">
        <f>Kpoku__Jonathansartries</f>
        <v>0</v>
      </c>
      <c r="D448" s="2" t="s">
        <v>468</v>
      </c>
      <c r="E448" s="21" t="s">
        <v>118</v>
      </c>
      <c r="F448" s="19">
        <f>Roddsalpts</f>
        <v>0</v>
      </c>
    </row>
    <row r="449" spans="1:6" ht="14.95" customHeight="1" thickBot="1" x14ac:dyDescent="0.3">
      <c r="A449" s="62" t="s">
        <v>783</v>
      </c>
      <c r="B449" s="8" t="s">
        <v>120</v>
      </c>
      <c r="C449" s="9">
        <f>Scott_Youngnortries</f>
        <v>0</v>
      </c>
      <c r="D449" s="2" t="s">
        <v>754</v>
      </c>
      <c r="E449" s="21" t="s">
        <v>138</v>
      </c>
      <c r="F449" s="19">
        <f>Salomonbripts</f>
        <v>0</v>
      </c>
    </row>
    <row r="450" spans="1:6" ht="14.95" customHeight="1" thickBot="1" x14ac:dyDescent="0.3">
      <c r="A450" s="62" t="s">
        <v>220</v>
      </c>
      <c r="B450" s="8" t="s">
        <v>138</v>
      </c>
      <c r="C450" s="9">
        <f>paulolirtries</f>
        <v>0</v>
      </c>
      <c r="D450" s="2" t="s">
        <v>853</v>
      </c>
      <c r="E450" s="21" t="s">
        <v>389</v>
      </c>
      <c r="F450" s="19">
        <f>Rubiolonewpts</f>
        <v>0</v>
      </c>
    </row>
    <row r="451" spans="1:6" ht="14.95" customHeight="1" thickBot="1" x14ac:dyDescent="0.3">
      <c r="A451" s="10" t="s">
        <v>434</v>
      </c>
      <c r="B451" s="8" t="s">
        <v>117</v>
      </c>
      <c r="C451" s="9">
        <f>Terryglotries</f>
        <v>0</v>
      </c>
      <c r="D451" s="2" t="s">
        <v>574</v>
      </c>
      <c r="E451" s="21" t="s">
        <v>133</v>
      </c>
      <c r="F451" s="19">
        <f>Saumakileicpts</f>
        <v>0</v>
      </c>
    </row>
    <row r="452" spans="1:6" ht="14.95" customHeight="1" thickBot="1" x14ac:dyDescent="0.3">
      <c r="A452" s="62" t="s">
        <v>745</v>
      </c>
      <c r="B452" s="8" t="s">
        <v>131</v>
      </c>
      <c r="C452" s="9">
        <f>Slevinhartries</f>
        <v>0</v>
      </c>
      <c r="D452" s="2" t="s">
        <v>364</v>
      </c>
      <c r="E452" s="21" t="s">
        <v>119</v>
      </c>
      <c r="F452" s="19">
        <f>Schoemanbthpts</f>
        <v>0</v>
      </c>
    </row>
    <row r="453" spans="1:6" ht="14.95" customHeight="1" thickBot="1" x14ac:dyDescent="0.3">
      <c r="A453" s="62" t="s">
        <v>481</v>
      </c>
      <c r="B453" s="8" t="s">
        <v>120</v>
      </c>
      <c r="C453" s="9">
        <f>Tonksnortries</f>
        <v>0</v>
      </c>
      <c r="D453" s="2" t="s">
        <v>455</v>
      </c>
      <c r="E453" s="21" t="s">
        <v>389</v>
      </c>
      <c r="F453" s="19">
        <f>Kpoku__Jonathansarpts</f>
        <v>0</v>
      </c>
    </row>
    <row r="454" spans="1:6" ht="14.95" customHeight="1" thickBot="1" x14ac:dyDescent="0.3">
      <c r="A454" s="62" t="s">
        <v>674</v>
      </c>
      <c r="B454" s="8" t="s">
        <v>389</v>
      </c>
      <c r="C454" s="9">
        <f>Smithrobbienewtries</f>
        <v>0</v>
      </c>
      <c r="D454" s="2" t="s">
        <v>783</v>
      </c>
      <c r="E454" s="21" t="s">
        <v>120</v>
      </c>
      <c r="F454" s="19">
        <f>Scott_Youngnorpts</f>
        <v>0</v>
      </c>
    </row>
    <row r="455" spans="1:6" ht="14.95" customHeight="1" thickBot="1" x14ac:dyDescent="0.3">
      <c r="A455" s="62" t="s">
        <v>576</v>
      </c>
      <c r="B455" s="8" t="s">
        <v>133</v>
      </c>
      <c r="C455" s="9">
        <f>Smithleictries</f>
        <v>0</v>
      </c>
      <c r="D455" s="2" t="s">
        <v>434</v>
      </c>
      <c r="E455" s="21" t="s">
        <v>117</v>
      </c>
      <c r="F455" s="19">
        <f>Terryglopts</f>
        <v>0</v>
      </c>
    </row>
    <row r="456" spans="1:6" ht="14.95" customHeight="1" thickBot="1" x14ac:dyDescent="0.3">
      <c r="A456" s="62" t="s">
        <v>882</v>
      </c>
      <c r="B456" s="8" t="s">
        <v>132</v>
      </c>
      <c r="C456" s="9">
        <f>Southworthexetries</f>
        <v>0</v>
      </c>
      <c r="D456" s="2" t="s">
        <v>745</v>
      </c>
      <c r="E456" s="21" t="s">
        <v>131</v>
      </c>
      <c r="F456" s="19">
        <f>Slevinharpts</f>
        <v>0</v>
      </c>
    </row>
    <row r="457" spans="1:6" ht="14.95" customHeight="1" thickBot="1" x14ac:dyDescent="0.3">
      <c r="A457" s="62" t="s">
        <v>577</v>
      </c>
      <c r="B457" s="8" t="s">
        <v>133</v>
      </c>
      <c r="C457" s="9">
        <f>Snymanleictries</f>
        <v>0</v>
      </c>
      <c r="D457" s="2" t="s">
        <v>674</v>
      </c>
      <c r="E457" s="21" t="s">
        <v>389</v>
      </c>
      <c r="F457" s="19">
        <f>Smithrobbienewpts</f>
        <v>0</v>
      </c>
    </row>
    <row r="458" spans="1:6" ht="14.95" customHeight="1" thickBot="1" x14ac:dyDescent="0.3">
      <c r="A458" s="12" t="s">
        <v>474</v>
      </c>
      <c r="B458" s="8" t="s">
        <v>117</v>
      </c>
      <c r="C458" s="6">
        <f>Socinoglotries</f>
        <v>0</v>
      </c>
      <c r="D458" s="2" t="s">
        <v>576</v>
      </c>
      <c r="E458" s="21" t="s">
        <v>133</v>
      </c>
      <c r="F458" s="19">
        <f>Smithleicpts</f>
        <v>0</v>
      </c>
    </row>
    <row r="459" spans="1:6" ht="14.95" customHeight="1" thickBot="1" x14ac:dyDescent="0.3">
      <c r="A459" s="62" t="s">
        <v>342</v>
      </c>
      <c r="B459" s="8" t="s">
        <v>117</v>
      </c>
      <c r="C459" s="9">
        <f>Stanleyglotries</f>
        <v>0</v>
      </c>
      <c r="D459" s="2" t="s">
        <v>882</v>
      </c>
      <c r="E459" s="21" t="s">
        <v>132</v>
      </c>
      <c r="F459" s="19">
        <f>Southworthexepts</f>
        <v>0</v>
      </c>
    </row>
    <row r="460" spans="1:6" ht="14.95" customHeight="1" thickBot="1" x14ac:dyDescent="0.3">
      <c r="A460" s="62" t="s">
        <v>696</v>
      </c>
      <c r="B460" s="8" t="s">
        <v>119</v>
      </c>
      <c r="C460" s="9">
        <f>Stewartbthtries</f>
        <v>0</v>
      </c>
      <c r="D460" s="2" t="s">
        <v>577</v>
      </c>
      <c r="E460" s="21" t="s">
        <v>133</v>
      </c>
      <c r="F460" s="19">
        <f>Snymanleicpts</f>
        <v>0</v>
      </c>
    </row>
    <row r="461" spans="1:6" ht="14.95" customHeight="1" thickBot="1" x14ac:dyDescent="0.3">
      <c r="A461" s="62" t="s">
        <v>728</v>
      </c>
      <c r="B461" s="8" t="s">
        <v>537</v>
      </c>
      <c r="C461" s="9">
        <f>Swinsonsartriescorrect</f>
        <v>0</v>
      </c>
      <c r="D461" s="2" t="s">
        <v>342</v>
      </c>
      <c r="E461" s="21" t="s">
        <v>117</v>
      </c>
      <c r="F461" s="19">
        <f>Stanleyglopts</f>
        <v>0</v>
      </c>
    </row>
    <row r="462" spans="1:6" ht="14.95" customHeight="1" thickBot="1" x14ac:dyDescent="0.3">
      <c r="A462" s="62" t="s">
        <v>637</v>
      </c>
      <c r="B462" s="8" t="s">
        <v>138</v>
      </c>
      <c r="C462" s="9">
        <f>Strangbritries</f>
        <v>0</v>
      </c>
      <c r="D462" s="2" t="s">
        <v>696</v>
      </c>
      <c r="E462" s="21" t="s">
        <v>119</v>
      </c>
      <c r="F462" s="20">
        <f>Stewartbthpts</f>
        <v>0</v>
      </c>
    </row>
    <row r="463" spans="1:6" ht="14.95" customHeight="1" thickBot="1" x14ac:dyDescent="0.3">
      <c r="A463" s="62" t="s">
        <v>295</v>
      </c>
      <c r="B463" s="8" t="s">
        <v>132</v>
      </c>
      <c r="C463" s="9">
        <f>Streetexetries</f>
        <v>0</v>
      </c>
      <c r="D463" s="2" t="s">
        <v>728</v>
      </c>
      <c r="E463" s="21" t="s">
        <v>537</v>
      </c>
      <c r="F463" s="19">
        <f>Swinsonsarptscorrect</f>
        <v>0</v>
      </c>
    </row>
    <row r="464" spans="1:6" ht="14.95" customHeight="1" thickBot="1" x14ac:dyDescent="0.3">
      <c r="A464" s="62" t="s">
        <v>161</v>
      </c>
      <c r="B464" s="8" t="s">
        <v>119</v>
      </c>
      <c r="C464" s="49">
        <f>Stuartbthtries</f>
        <v>0</v>
      </c>
      <c r="D464" s="2" t="s">
        <v>637</v>
      </c>
      <c r="E464" s="21" t="s">
        <v>138</v>
      </c>
      <c r="F464" s="19">
        <f>Strangbripts</f>
        <v>0</v>
      </c>
    </row>
    <row r="465" spans="1:6" ht="14.95" customHeight="1" thickBot="1" x14ac:dyDescent="0.3">
      <c r="A465" s="62" t="s">
        <v>780</v>
      </c>
      <c r="B465" s="8" t="s">
        <v>120</v>
      </c>
      <c r="C465" s="6">
        <f>TualaNORTRIES</f>
        <v>0</v>
      </c>
      <c r="D465" s="2" t="s">
        <v>295</v>
      </c>
      <c r="E465" s="21" t="s">
        <v>132</v>
      </c>
      <c r="F465" s="19">
        <f>Streetexepts</f>
        <v>0</v>
      </c>
    </row>
    <row r="466" spans="1:6" ht="14.95" customHeight="1" thickBot="1" x14ac:dyDescent="0.3">
      <c r="A466" s="10" t="s">
        <v>411</v>
      </c>
      <c r="B466" s="9" t="s">
        <v>389</v>
      </c>
      <c r="C466" s="9">
        <f>Longbottomsartries</f>
        <v>0</v>
      </c>
      <c r="D466" s="2" t="s">
        <v>161</v>
      </c>
      <c r="E466" s="21" t="s">
        <v>119</v>
      </c>
      <c r="F466" s="19">
        <f>Stuartbthpts</f>
        <v>0</v>
      </c>
    </row>
    <row r="467" spans="1:6" ht="14.95" customHeight="1" thickBot="1" x14ac:dyDescent="0.3">
      <c r="A467" s="62" t="s">
        <v>412</v>
      </c>
      <c r="B467" s="8" t="s">
        <v>389</v>
      </c>
      <c r="C467" s="49">
        <f>Maitlandsartries</f>
        <v>0</v>
      </c>
      <c r="D467" s="2" t="s">
        <v>780</v>
      </c>
      <c r="E467" s="21" t="s">
        <v>120</v>
      </c>
      <c r="F467" s="18">
        <f>Tualanorpts</f>
        <v>0</v>
      </c>
    </row>
    <row r="468" spans="1:6" ht="14.95" customHeight="1" thickBot="1" x14ac:dyDescent="0.3">
      <c r="A468" s="62" t="s">
        <v>631</v>
      </c>
      <c r="B468" s="8" t="s">
        <v>117</v>
      </c>
      <c r="C468" s="9">
        <f>Taylorglotries</f>
        <v>0</v>
      </c>
      <c r="D468" s="17" t="s">
        <v>411</v>
      </c>
      <c r="E468" s="19" t="s">
        <v>389</v>
      </c>
      <c r="F468" s="19">
        <f>Longbottomsarpts</f>
        <v>0</v>
      </c>
    </row>
    <row r="469" spans="1:6" ht="14.95" customHeight="1" thickBot="1" x14ac:dyDescent="0.3">
      <c r="A469" s="62" t="s">
        <v>908</v>
      </c>
      <c r="B469" s="8" t="s">
        <v>120</v>
      </c>
      <c r="C469" s="6">
        <f>ThameNORtries</f>
        <v>0</v>
      </c>
      <c r="D469" s="2" t="s">
        <v>412</v>
      </c>
      <c r="E469" s="21" t="s">
        <v>389</v>
      </c>
      <c r="F469" s="19">
        <f>Maitlandsarpts</f>
        <v>0</v>
      </c>
    </row>
    <row r="470" spans="1:6" ht="14.95" customHeight="1" thickBot="1" x14ac:dyDescent="0.3">
      <c r="A470" s="10" t="s">
        <v>1016</v>
      </c>
      <c r="B470" s="9" t="s">
        <v>133</v>
      </c>
      <c r="C470" s="9">
        <f>Theobold_Thomasleitries</f>
        <v>0</v>
      </c>
      <c r="D470" s="2" t="s">
        <v>631</v>
      </c>
      <c r="E470" s="21" t="s">
        <v>117</v>
      </c>
      <c r="F470" s="19">
        <f>Taylorglopts</f>
        <v>0</v>
      </c>
    </row>
    <row r="471" spans="1:6" ht="14.95" customHeight="1" thickBot="1" x14ac:dyDescent="0.3">
      <c r="A471" s="62" t="s">
        <v>149</v>
      </c>
      <c r="B471" s="8" t="s">
        <v>138</v>
      </c>
      <c r="C471" s="9">
        <f>Sheridaneamonntries</f>
        <v>0</v>
      </c>
      <c r="D471" s="2" t="s">
        <v>908</v>
      </c>
      <c r="E471" s="21" t="s">
        <v>120</v>
      </c>
      <c r="F471" s="18">
        <f>ThameNORpts</f>
        <v>0</v>
      </c>
    </row>
    <row r="472" spans="1:6" ht="14.95" customHeight="1" thickBot="1" x14ac:dyDescent="0.3">
      <c r="A472" s="62" t="s">
        <v>723</v>
      </c>
      <c r="B472" s="8" t="s">
        <v>389</v>
      </c>
      <c r="C472" s="9">
        <f>Thomasnewtries</f>
        <v>0</v>
      </c>
      <c r="D472" s="17" t="s">
        <v>1016</v>
      </c>
      <c r="E472" s="19" t="s">
        <v>133</v>
      </c>
      <c r="F472" s="19">
        <f>Theobald_Thomasleipts</f>
        <v>0</v>
      </c>
    </row>
    <row r="473" spans="1:6" ht="14.95" customHeight="1" thickBot="1" x14ac:dyDescent="0.3">
      <c r="A473" s="62" t="s">
        <v>150</v>
      </c>
      <c r="B473" s="8" t="s">
        <v>138</v>
      </c>
      <c r="C473" s="9">
        <f>Saulolirtries</f>
        <v>0</v>
      </c>
      <c r="D473" s="2" t="s">
        <v>149</v>
      </c>
      <c r="E473" s="21" t="s">
        <v>138</v>
      </c>
      <c r="F473" s="19">
        <f>Thomas_Dbripts</f>
        <v>0</v>
      </c>
    </row>
    <row r="474" spans="1:6" ht="14.95" customHeight="1" thickBot="1" x14ac:dyDescent="0.3">
      <c r="A474" s="62" t="s">
        <v>693</v>
      </c>
      <c r="B474" s="8" t="s">
        <v>389</v>
      </c>
      <c r="C474" s="9">
        <f>Tiffennewtries</f>
        <v>0</v>
      </c>
      <c r="D474" s="2" t="s">
        <v>150</v>
      </c>
      <c r="E474" s="21" t="s">
        <v>138</v>
      </c>
      <c r="F474" s="19">
        <f>Saulolirpts</f>
        <v>0</v>
      </c>
    </row>
    <row r="475" spans="1:6" ht="14.95" customHeight="1" thickBot="1" x14ac:dyDescent="0.3">
      <c r="A475" s="62" t="s">
        <v>559</v>
      </c>
      <c r="B475" s="8" t="s">
        <v>537</v>
      </c>
      <c r="C475" s="9">
        <f>Tompkinssartriescorrect</f>
        <v>0</v>
      </c>
      <c r="D475" s="2" t="s">
        <v>693</v>
      </c>
      <c r="E475" s="21" t="s">
        <v>389</v>
      </c>
      <c r="F475" s="19">
        <f>Tiffennewpts</f>
        <v>0</v>
      </c>
    </row>
    <row r="476" spans="1:6" ht="14.95" customHeight="1" thickBot="1" x14ac:dyDescent="0.3">
      <c r="A476" s="62" t="s">
        <v>722</v>
      </c>
      <c r="B476" s="8" t="s">
        <v>132</v>
      </c>
      <c r="C476" s="9">
        <f>Tshiunzaexetries</f>
        <v>0</v>
      </c>
      <c r="D476" s="2" t="s">
        <v>559</v>
      </c>
      <c r="E476" s="21" t="s">
        <v>537</v>
      </c>
      <c r="F476" s="19">
        <f>Tompkinssarptscorrect2</f>
        <v>0</v>
      </c>
    </row>
    <row r="477" spans="1:6" ht="14.95" customHeight="1" thickBot="1" x14ac:dyDescent="0.3">
      <c r="A477" s="62" t="s">
        <v>322</v>
      </c>
      <c r="B477" s="8" t="s">
        <v>117</v>
      </c>
      <c r="C477" s="9">
        <f>Cowanjimmytries</f>
        <v>0</v>
      </c>
      <c r="D477" s="2" t="s">
        <v>722</v>
      </c>
      <c r="E477" s="21" t="s">
        <v>132</v>
      </c>
      <c r="F477" s="19">
        <f>Tshiunzaexepts</f>
        <v>0</v>
      </c>
    </row>
    <row r="478" spans="1:6" ht="14.95" customHeight="1" thickBot="1" x14ac:dyDescent="0.3">
      <c r="A478" s="62" t="s">
        <v>227</v>
      </c>
      <c r="B478" s="8" t="s">
        <v>119</v>
      </c>
      <c r="C478" s="9">
        <f>Underhillbthtries</f>
        <v>0</v>
      </c>
      <c r="D478" s="2" t="s">
        <v>322</v>
      </c>
      <c r="E478" s="21" t="s">
        <v>117</v>
      </c>
      <c r="F478" s="19">
        <f>Cowanjimmypts</f>
        <v>0</v>
      </c>
    </row>
    <row r="479" spans="1:6" ht="14.95" customHeight="1" thickBot="1" x14ac:dyDescent="0.3">
      <c r="A479" s="62" t="s">
        <v>228</v>
      </c>
      <c r="B479" s="8" t="s">
        <v>138</v>
      </c>
      <c r="C479" s="9">
        <f>UrenBRITRIES</f>
        <v>0</v>
      </c>
      <c r="D479" s="2" t="s">
        <v>227</v>
      </c>
      <c r="E479" s="21" t="s">
        <v>119</v>
      </c>
      <c r="F479" s="19">
        <f>Underhillbthpts</f>
        <v>0</v>
      </c>
    </row>
    <row r="480" spans="1:6" ht="14.95" customHeight="1" thickBot="1" x14ac:dyDescent="0.3">
      <c r="A480" s="62" t="s">
        <v>414</v>
      </c>
      <c r="B480" s="8" t="s">
        <v>389</v>
      </c>
      <c r="C480" s="9">
        <f>Malinssartries</f>
        <v>0</v>
      </c>
      <c r="D480" s="2" t="s">
        <v>228</v>
      </c>
      <c r="E480" s="21" t="s">
        <v>138</v>
      </c>
      <c r="F480" s="19">
        <f>Sinclairjebbpts</f>
        <v>0</v>
      </c>
    </row>
    <row r="481" spans="1:6" ht="14.95" customHeight="1" thickBot="1" x14ac:dyDescent="0.3">
      <c r="A481" s="62" t="s">
        <v>851</v>
      </c>
      <c r="B481" s="8" t="s">
        <v>119</v>
      </c>
      <c r="C481" s="49">
        <f>van_Velzebthtries</f>
        <v>0</v>
      </c>
      <c r="D481" s="2" t="s">
        <v>414</v>
      </c>
      <c r="E481" s="21" t="s">
        <v>389</v>
      </c>
      <c r="F481" s="19">
        <f>Malinssarpts</f>
        <v>0</v>
      </c>
    </row>
    <row r="482" spans="1:6" ht="14.95" customHeight="1" thickBot="1" x14ac:dyDescent="0.3">
      <c r="A482" s="62" t="s">
        <v>902</v>
      </c>
      <c r="B482" s="8" t="s">
        <v>389</v>
      </c>
      <c r="C482" s="9">
        <f>van_VuurenNEWtries</f>
        <v>0</v>
      </c>
      <c r="D482" s="2" t="s">
        <v>851</v>
      </c>
      <c r="E482" s="21" t="s">
        <v>119</v>
      </c>
      <c r="F482" s="20">
        <f>van_Velzebthpts</f>
        <v>0</v>
      </c>
    </row>
    <row r="483" spans="1:6" ht="14.95" customHeight="1" thickBot="1" x14ac:dyDescent="0.3">
      <c r="A483" s="62" t="s">
        <v>676</v>
      </c>
      <c r="B483" s="8" t="s">
        <v>133</v>
      </c>
      <c r="C483" s="9">
        <f>Vanesleictries</f>
        <v>0</v>
      </c>
      <c r="D483" s="2" t="s">
        <v>902</v>
      </c>
      <c r="E483" s="21" t="s">
        <v>389</v>
      </c>
      <c r="F483" s="19">
        <f>van_VuurenNEWpts</f>
        <v>0</v>
      </c>
    </row>
    <row r="484" spans="1:6" ht="14.95" customHeight="1" thickBot="1" x14ac:dyDescent="0.3">
      <c r="A484" s="62" t="s">
        <v>230</v>
      </c>
      <c r="B484" s="8" t="s">
        <v>119</v>
      </c>
      <c r="C484" s="9">
        <f>van_Vuurenbthtries</f>
        <v>0</v>
      </c>
      <c r="D484" s="2" t="s">
        <v>676</v>
      </c>
      <c r="E484" s="21" t="s">
        <v>133</v>
      </c>
      <c r="F484" s="19">
        <f>Vanesleicpts</f>
        <v>0</v>
      </c>
    </row>
    <row r="485" spans="1:6" ht="14.95" customHeight="1" thickBot="1" x14ac:dyDescent="0.3">
      <c r="A485" s="62" t="s">
        <v>996</v>
      </c>
      <c r="B485" s="8" t="s">
        <v>118</v>
      </c>
      <c r="C485" s="9">
        <f>Veainusaltries</f>
        <v>0</v>
      </c>
      <c r="D485" s="2" t="s">
        <v>230</v>
      </c>
      <c r="E485" s="21" t="s">
        <v>119</v>
      </c>
      <c r="F485" s="19">
        <f>van_Vuurenbthpts</f>
        <v>0</v>
      </c>
    </row>
    <row r="486" spans="1:6" ht="14.95" customHeight="1" thickBot="1" x14ac:dyDescent="0.3">
      <c r="A486" s="10" t="s">
        <v>517</v>
      </c>
      <c r="B486" s="9" t="s">
        <v>119</v>
      </c>
      <c r="C486" s="9">
        <f>Walkerbthtries</f>
        <v>0</v>
      </c>
      <c r="D486" s="2" t="s">
        <v>996</v>
      </c>
      <c r="E486" s="21" t="s">
        <v>118</v>
      </c>
      <c r="F486" s="19">
        <f>Veainusalpts</f>
        <v>0</v>
      </c>
    </row>
    <row r="487" spans="1:6" ht="14.95" customHeight="1" thickBot="1" x14ac:dyDescent="0.3">
      <c r="A487" s="10" t="s">
        <v>231</v>
      </c>
      <c r="B487" s="9" t="s">
        <v>138</v>
      </c>
      <c r="C487" s="9">
        <f>Vuibritries</f>
        <v>0</v>
      </c>
      <c r="D487" s="17" t="s">
        <v>517</v>
      </c>
      <c r="E487" s="19" t="s">
        <v>119</v>
      </c>
      <c r="F487" s="19">
        <f>Walkerbthpts</f>
        <v>0</v>
      </c>
    </row>
    <row r="488" spans="1:6" ht="14.95" customHeight="1" thickBot="1" x14ac:dyDescent="0.3">
      <c r="A488" s="62" t="s">
        <v>437</v>
      </c>
      <c r="B488" s="62" t="s">
        <v>389</v>
      </c>
      <c r="C488" s="9">
        <f>Wacokecokenewtries</f>
        <v>0</v>
      </c>
      <c r="D488" s="17" t="s">
        <v>231</v>
      </c>
      <c r="E488" s="19" t="s">
        <v>138</v>
      </c>
      <c r="F488" s="19">
        <f>Vuibripts</f>
        <v>0</v>
      </c>
    </row>
    <row r="489" spans="1:6" ht="14.95" customHeight="1" thickBot="1" x14ac:dyDescent="0.3">
      <c r="A489" s="62" t="s">
        <v>832</v>
      </c>
      <c r="B489" s="62" t="s">
        <v>389</v>
      </c>
      <c r="C489" s="49">
        <f>Walkernewtries</f>
        <v>0</v>
      </c>
      <c r="D489" s="2" t="s">
        <v>437</v>
      </c>
      <c r="E489" s="21" t="s">
        <v>389</v>
      </c>
      <c r="F489" s="19">
        <f>Wacokecokenewpts</f>
        <v>0</v>
      </c>
    </row>
    <row r="490" spans="1:6" ht="14.95" customHeight="1" thickBot="1" x14ac:dyDescent="0.3">
      <c r="A490" s="62" t="s">
        <v>334</v>
      </c>
      <c r="B490" s="62" t="s">
        <v>117</v>
      </c>
      <c r="C490" s="9">
        <f>Visagieglotries</f>
        <v>0</v>
      </c>
      <c r="D490" s="2" t="s">
        <v>832</v>
      </c>
      <c r="E490" s="2" t="s">
        <v>389</v>
      </c>
      <c r="F490" s="19">
        <f>Walkernewpts</f>
        <v>0</v>
      </c>
    </row>
    <row r="491" spans="1:6" ht="14.95" customHeight="1" thickBot="1" x14ac:dyDescent="0.3">
      <c r="A491" s="62" t="s">
        <v>627</v>
      </c>
      <c r="B491" s="62" t="s">
        <v>131</v>
      </c>
      <c r="C491" s="9">
        <f>Tapuaihartries</f>
        <v>0</v>
      </c>
      <c r="D491" s="2" t="s">
        <v>334</v>
      </c>
      <c r="E491" s="2" t="s">
        <v>117</v>
      </c>
      <c r="F491" s="19">
        <f>Visagieglopts</f>
        <v>0</v>
      </c>
    </row>
    <row r="492" spans="1:6" ht="14.95" customHeight="1" thickBot="1" x14ac:dyDescent="0.3">
      <c r="A492" s="62" t="s">
        <v>953</v>
      </c>
      <c r="B492" s="62" t="s">
        <v>120</v>
      </c>
      <c r="C492" s="9">
        <f>Wilkinsnortries</f>
        <v>0</v>
      </c>
      <c r="D492" s="2" t="s">
        <v>627</v>
      </c>
      <c r="E492" s="2" t="s">
        <v>131</v>
      </c>
      <c r="F492" s="19">
        <f>Tapuaiharpts</f>
        <v>0</v>
      </c>
    </row>
    <row r="493" spans="1:6" ht="14.95" customHeight="1" thickBot="1" x14ac:dyDescent="0.3">
      <c r="A493" s="62" t="s">
        <v>376</v>
      </c>
      <c r="B493" s="62" t="s">
        <v>133</v>
      </c>
      <c r="C493" s="9">
        <f>Walshleitries</f>
        <v>0</v>
      </c>
      <c r="D493" s="17" t="s">
        <v>953</v>
      </c>
      <c r="E493" s="17" t="s">
        <v>120</v>
      </c>
      <c r="F493" s="19">
        <f>Wilkinsnorpts</f>
        <v>0</v>
      </c>
    </row>
    <row r="494" spans="1:6" ht="14.95" customHeight="1" thickBot="1" x14ac:dyDescent="0.3">
      <c r="A494" s="62" t="s">
        <v>416</v>
      </c>
      <c r="B494" s="62" t="s">
        <v>389</v>
      </c>
      <c r="C494" s="9">
        <f>Obatoysartries</f>
        <v>0</v>
      </c>
      <c r="D494" s="2" t="s">
        <v>376</v>
      </c>
      <c r="E494" s="2" t="s">
        <v>133</v>
      </c>
      <c r="F494" s="18">
        <f>Walshleipts</f>
        <v>0</v>
      </c>
    </row>
    <row r="495" spans="1:6" ht="14.95" customHeight="1" thickBot="1" x14ac:dyDescent="0.3">
      <c r="A495" s="62" t="s">
        <v>243</v>
      </c>
      <c r="B495" s="62" t="s">
        <v>133</v>
      </c>
      <c r="C495" s="9">
        <f>Wellsleictries</f>
        <v>0</v>
      </c>
      <c r="D495" s="2" t="s">
        <v>416</v>
      </c>
      <c r="E495" s="2" t="s">
        <v>389</v>
      </c>
      <c r="F495" s="19">
        <f>Obatoysarpts</f>
        <v>0</v>
      </c>
    </row>
    <row r="496" spans="1:6" ht="14.95" customHeight="1" thickBot="1" x14ac:dyDescent="0.3">
      <c r="A496" s="62" t="s">
        <v>579</v>
      </c>
      <c r="B496" s="62" t="s">
        <v>133</v>
      </c>
      <c r="C496" s="9">
        <f>Whiteleictries</f>
        <v>0</v>
      </c>
      <c r="D496" s="2" t="s">
        <v>243</v>
      </c>
      <c r="E496" s="2" t="s">
        <v>133</v>
      </c>
      <c r="F496" s="20">
        <f>Wellsleicpts</f>
        <v>0</v>
      </c>
    </row>
    <row r="497" spans="1:6" ht="14.95" customHeight="1" thickBot="1" x14ac:dyDescent="0.3">
      <c r="A497" s="62" t="s">
        <v>386</v>
      </c>
      <c r="B497" s="62" t="s">
        <v>131</v>
      </c>
      <c r="C497" s="9">
        <f>Watershartries</f>
        <v>0</v>
      </c>
      <c r="D497" s="2" t="s">
        <v>579</v>
      </c>
      <c r="E497" s="2" t="s">
        <v>133</v>
      </c>
      <c r="F497" s="19">
        <f>Whiteleicpts</f>
        <v>0</v>
      </c>
    </row>
    <row r="498" spans="1:6" ht="14.95" customHeight="1" thickBot="1" x14ac:dyDescent="0.3">
      <c r="A498" s="62" t="s">
        <v>424</v>
      </c>
      <c r="B498" s="62" t="s">
        <v>118</v>
      </c>
      <c r="C498" s="9">
        <f>Webbersaltries</f>
        <v>0</v>
      </c>
      <c r="D498" s="2" t="s">
        <v>386</v>
      </c>
      <c r="E498" s="2" t="s">
        <v>131</v>
      </c>
      <c r="F498" s="19">
        <f>Watersharpts</f>
        <v>0</v>
      </c>
    </row>
    <row r="499" spans="1:6" ht="14.95" customHeight="1" thickBot="1" x14ac:dyDescent="0.3">
      <c r="A499" s="62" t="s">
        <v>244</v>
      </c>
      <c r="B499" s="62" t="s">
        <v>133</v>
      </c>
      <c r="C499" s="9">
        <f>WilkinsonLEItrie</f>
        <v>0</v>
      </c>
      <c r="D499" s="2" t="s">
        <v>424</v>
      </c>
      <c r="E499" s="2" t="s">
        <v>118</v>
      </c>
      <c r="F499" s="19">
        <f>Webbersalpts</f>
        <v>0</v>
      </c>
    </row>
    <row r="500" spans="1:6" ht="14.95" customHeight="1" thickBot="1" x14ac:dyDescent="0.3">
      <c r="A500" s="62" t="s">
        <v>292</v>
      </c>
      <c r="B500" s="62" t="s">
        <v>118</v>
      </c>
      <c r="C500" s="9">
        <f>Williamssaltries</f>
        <v>0</v>
      </c>
      <c r="D500" s="2" t="s">
        <v>292</v>
      </c>
      <c r="E500" s="2" t="s">
        <v>118</v>
      </c>
      <c r="F500" s="18">
        <f>Williamssalpts</f>
        <v>0</v>
      </c>
    </row>
    <row r="501" spans="1:6" ht="14.95" customHeight="1" thickBot="1" x14ac:dyDescent="0.3">
      <c r="A501" s="62" t="s">
        <v>527</v>
      </c>
      <c r="B501" s="62" t="s">
        <v>138</v>
      </c>
      <c r="C501" s="9">
        <f>Wilsteadbritries</f>
        <v>0</v>
      </c>
      <c r="D501" s="17" t="s">
        <v>527</v>
      </c>
      <c r="E501" s="17" t="s">
        <v>138</v>
      </c>
      <c r="F501" s="19">
        <f>Wilsteadbripts</f>
        <v>0</v>
      </c>
    </row>
    <row r="502" spans="1:6" ht="14.95" customHeight="1" thickBot="1" x14ac:dyDescent="0.3">
      <c r="A502" s="62" t="s">
        <v>92</v>
      </c>
      <c r="B502" s="62" t="s">
        <v>133</v>
      </c>
      <c r="C502" s="9">
        <f>WoodwardLEItries</f>
        <v>0</v>
      </c>
      <c r="D502" s="2" t="s">
        <v>92</v>
      </c>
      <c r="E502" s="2" t="s">
        <v>133</v>
      </c>
      <c r="F502" s="19">
        <f>WoodwardLEIpts</f>
        <v>0</v>
      </c>
    </row>
    <row r="503" spans="1:6" ht="14.95" customHeight="1" thickBot="1" x14ac:dyDescent="0.3">
      <c r="A503" s="62" t="s">
        <v>871</v>
      </c>
      <c r="B503" s="62" t="s">
        <v>133</v>
      </c>
      <c r="C503" s="9">
        <f>WoollettLEItries</f>
        <v>0</v>
      </c>
      <c r="D503" s="2" t="s">
        <v>871</v>
      </c>
      <c r="E503" s="2" t="s">
        <v>133</v>
      </c>
      <c r="F503" s="19">
        <f>WoollettLEIpts</f>
        <v>0</v>
      </c>
    </row>
    <row r="504" spans="1:6" ht="14.95" customHeight="1" thickBot="1" x14ac:dyDescent="0.3">
      <c r="A504" s="62" t="s">
        <v>234</v>
      </c>
      <c r="B504" s="62" t="s">
        <v>138</v>
      </c>
      <c r="C504" s="9">
        <f>Steelelitries</f>
        <v>0</v>
      </c>
      <c r="D504" s="2" t="s">
        <v>234</v>
      </c>
      <c r="E504" s="2" t="s">
        <v>138</v>
      </c>
      <c r="F504" s="19">
        <f>Steelelipts</f>
        <v>0</v>
      </c>
    </row>
    <row r="505" spans="1:6" ht="14.95" customHeight="1" thickBot="1" x14ac:dyDescent="0.3">
      <c r="A505" s="62" t="s">
        <v>561</v>
      </c>
      <c r="B505" s="62" t="s">
        <v>537</v>
      </c>
      <c r="C505" s="9">
        <f>Woolstencroftsartriescorrect</f>
        <v>0</v>
      </c>
      <c r="D505" s="2" t="s">
        <v>561</v>
      </c>
      <c r="E505" s="2" t="s">
        <v>537</v>
      </c>
      <c r="F505" s="19">
        <f>Woolstencroftsarptscorrect</f>
        <v>0</v>
      </c>
    </row>
    <row r="506" spans="1:6" ht="14.95" customHeight="1" thickBot="1" x14ac:dyDescent="0.3">
      <c r="A506" s="12" t="s">
        <v>614</v>
      </c>
      <c r="B506" s="12" t="s">
        <v>119</v>
      </c>
      <c r="C506" s="9">
        <f>WorboysBTHTRIES</f>
        <v>0</v>
      </c>
      <c r="D506" s="210" t="s">
        <v>614</v>
      </c>
      <c r="E506" s="210" t="s">
        <v>119</v>
      </c>
      <c r="F506" s="19">
        <f>Worboysbthpts</f>
        <v>0</v>
      </c>
    </row>
    <row r="507" spans="1:6" ht="14.95" customHeight="1" thickBot="1" x14ac:dyDescent="0.3">
      <c r="A507" s="62" t="s">
        <v>232</v>
      </c>
      <c r="B507" s="62" t="s">
        <v>119</v>
      </c>
      <c r="C507" s="9">
        <f>Wilson__Jamesbthtries+Wrightnewtries</f>
        <v>0</v>
      </c>
      <c r="D507" s="2" t="s">
        <v>232</v>
      </c>
      <c r="E507" s="2" t="s">
        <v>119</v>
      </c>
      <c r="F507" s="19">
        <f>Wilson__Jamesbthpts+Wrightnewpts</f>
        <v>0</v>
      </c>
    </row>
    <row r="508" spans="1:6" ht="14.95" customHeight="1" thickBot="1" x14ac:dyDescent="0.3">
      <c r="A508" s="62" t="s">
        <v>235</v>
      </c>
      <c r="B508" s="62" t="s">
        <v>132</v>
      </c>
      <c r="C508" s="9">
        <f>Yeandlejacktries</f>
        <v>0</v>
      </c>
      <c r="D508" s="2" t="s">
        <v>235</v>
      </c>
      <c r="E508" s="2" t="s">
        <v>132</v>
      </c>
      <c r="F508" s="19">
        <f>Yeandlejackpts</f>
        <v>0</v>
      </c>
    </row>
    <row r="509" spans="1:6" ht="14.95" customHeight="1" thickBot="1" x14ac:dyDescent="0.3">
      <c r="A509" s="62" t="s">
        <v>417</v>
      </c>
      <c r="B509" s="62" t="s">
        <v>389</v>
      </c>
      <c r="C509" s="49">
        <f>Rhodessartries</f>
        <v>0</v>
      </c>
      <c r="D509" s="2" t="s">
        <v>417</v>
      </c>
      <c r="E509" s="2" t="s">
        <v>389</v>
      </c>
      <c r="F509" s="19">
        <f>Rhodessarpts</f>
        <v>0</v>
      </c>
    </row>
    <row r="510" spans="1:6" ht="14.95" customHeight="1" thickBot="1" x14ac:dyDescent="0.3">
      <c r="A510" s="62" t="s">
        <v>124</v>
      </c>
      <c r="B510" s="62" t="s">
        <v>133</v>
      </c>
      <c r="C510" s="9">
        <f>youngsbentries</f>
        <v>0</v>
      </c>
      <c r="D510" s="2" t="s">
        <v>124</v>
      </c>
      <c r="E510" s="2" t="s">
        <v>133</v>
      </c>
      <c r="F510" s="19">
        <f>Youngsbenptscorrect</f>
        <v>0</v>
      </c>
    </row>
    <row r="511" spans="1:6" ht="14.95" customHeight="1" thickBot="1" x14ac:dyDescent="0.3">
      <c r="A511" s="9" t="s">
        <v>19</v>
      </c>
      <c r="B511" s="9"/>
      <c r="C511" s="9">
        <f>SUM(C2:C510)</f>
        <v>649</v>
      </c>
      <c r="D511" s="19" t="s">
        <v>19</v>
      </c>
      <c r="E511" s="19"/>
      <c r="F511" s="19">
        <f>SUM(F2:F510)</f>
        <v>4817</v>
      </c>
    </row>
    <row r="512" spans="1:6" ht="14.95" customHeight="1" x14ac:dyDescent="0.25">
      <c r="A512" s="48" t="s">
        <v>57</v>
      </c>
    </row>
    <row r="513" spans="1:6" ht="14.95" customHeight="1" x14ac:dyDescent="0.25"/>
    <row r="514" spans="1:6" ht="14.95" customHeight="1" x14ac:dyDescent="0.25">
      <c r="A514" s="37"/>
      <c r="B514" s="45"/>
      <c r="C514" s="37"/>
      <c r="D514" s="37"/>
      <c r="E514" s="45"/>
      <c r="F514" s="37"/>
    </row>
    <row r="515" spans="1:6" ht="14.95" customHeight="1" x14ac:dyDescent="0.25">
      <c r="A515" s="37"/>
      <c r="B515" s="45"/>
      <c r="C515" s="37"/>
      <c r="D515" s="37"/>
      <c r="E515" s="45"/>
      <c r="F515" s="37"/>
    </row>
    <row r="516" spans="1:6" ht="14.95" customHeight="1" x14ac:dyDescent="0.25">
      <c r="A516" s="37"/>
      <c r="B516" s="45"/>
      <c r="C516" s="37"/>
      <c r="D516" s="37"/>
      <c r="E516" s="45"/>
      <c r="F516" s="37"/>
    </row>
    <row r="517" spans="1:6" ht="14.95" customHeight="1" x14ac:dyDescent="0.25">
      <c r="A517" s="37"/>
      <c r="B517" s="45"/>
      <c r="C517" s="37"/>
      <c r="D517" s="37"/>
      <c r="E517" s="45"/>
      <c r="F517" s="37"/>
    </row>
    <row r="518" spans="1:6" ht="14.95" customHeight="1" x14ac:dyDescent="0.25">
      <c r="A518" s="37"/>
      <c r="B518" s="45"/>
      <c r="C518" s="37"/>
      <c r="D518" s="37"/>
      <c r="E518" s="45"/>
      <c r="F518" s="37"/>
    </row>
    <row r="519" spans="1:6" ht="14.95" customHeight="1" x14ac:dyDescent="0.25">
      <c r="A519" s="37"/>
      <c r="B519" s="45"/>
      <c r="C519" s="37"/>
      <c r="D519" s="37"/>
      <c r="E519" s="45"/>
      <c r="F519" s="37"/>
    </row>
    <row r="520" spans="1:6" ht="14.95" customHeight="1" x14ac:dyDescent="0.25">
      <c r="A520" s="37"/>
      <c r="B520" s="45"/>
      <c r="C520" s="37"/>
      <c r="D520" s="37"/>
      <c r="E520" s="45"/>
      <c r="F520" s="37"/>
    </row>
    <row r="521" spans="1:6" ht="14.95" customHeight="1" x14ac:dyDescent="0.25">
      <c r="A521" s="37"/>
      <c r="B521" s="45"/>
      <c r="C521" s="37"/>
      <c r="D521" s="37"/>
      <c r="E521" s="45"/>
      <c r="F521" s="37"/>
    </row>
    <row r="522" spans="1:6" ht="14.95" customHeight="1" x14ac:dyDescent="0.25">
      <c r="A522" s="37"/>
      <c r="B522" s="45"/>
      <c r="C522" s="37"/>
      <c r="D522" s="37"/>
      <c r="E522" s="45"/>
      <c r="F522" s="37"/>
    </row>
    <row r="523" spans="1:6" ht="14.95" customHeight="1" x14ac:dyDescent="0.25">
      <c r="A523" s="37"/>
      <c r="B523" s="45"/>
      <c r="C523" s="37"/>
      <c r="D523" s="37"/>
      <c r="E523" s="45"/>
      <c r="F523" s="37"/>
    </row>
    <row r="524" spans="1:6" ht="14.95" customHeight="1" x14ac:dyDescent="0.25">
      <c r="A524" s="37"/>
      <c r="B524" s="45"/>
      <c r="C524" s="37"/>
      <c r="D524" s="37"/>
      <c r="E524" s="45"/>
      <c r="F524" s="37"/>
    </row>
    <row r="525" spans="1:6" ht="14.95" customHeight="1" x14ac:dyDescent="0.25">
      <c r="A525" s="37"/>
      <c r="B525" s="45"/>
      <c r="C525" s="37"/>
      <c r="D525" s="37"/>
      <c r="E525" s="45"/>
      <c r="F525" s="37"/>
    </row>
    <row r="526" spans="1:6" ht="14.95" customHeight="1" x14ac:dyDescent="0.25">
      <c r="A526" s="37"/>
      <c r="B526" s="45"/>
      <c r="C526" s="37"/>
      <c r="D526" s="37"/>
      <c r="E526" s="45"/>
      <c r="F526" s="37"/>
    </row>
    <row r="527" spans="1:6" ht="14.95" customHeight="1" x14ac:dyDescent="0.25">
      <c r="A527" s="37"/>
      <c r="B527" s="37"/>
      <c r="C527" s="37"/>
      <c r="D527" s="37"/>
      <c r="E527" s="37"/>
      <c r="F527" s="37"/>
    </row>
    <row r="528" spans="1:6" ht="14.95" customHeight="1" x14ac:dyDescent="0.25"/>
    <row r="529" ht="14.95" customHeight="1" x14ac:dyDescent="0.25"/>
    <row r="530" ht="14.95" customHeight="1" x14ac:dyDescent="0.25"/>
    <row r="531" ht="14.95" customHeight="1" x14ac:dyDescent="0.25"/>
    <row r="532" ht="14.95" customHeight="1" x14ac:dyDescent="0.25"/>
    <row r="533" ht="14.95" customHeight="1" x14ac:dyDescent="0.25"/>
    <row r="534" ht="14.95" customHeight="1" x14ac:dyDescent="0.25"/>
    <row r="535" ht="14.95" customHeight="1" x14ac:dyDescent="0.25"/>
    <row r="536" ht="14.95" customHeight="1" x14ac:dyDescent="0.25"/>
    <row r="537" ht="14.95" customHeight="1" x14ac:dyDescent="0.25"/>
    <row r="538" ht="14.95" customHeight="1" x14ac:dyDescent="0.25"/>
    <row r="539" ht="14.95" customHeight="1" x14ac:dyDescent="0.25"/>
    <row r="540" ht="14.95" customHeight="1" x14ac:dyDescent="0.25"/>
    <row r="541" ht="14.95" customHeight="1" x14ac:dyDescent="0.25"/>
    <row r="542" ht="14.95" customHeight="1" x14ac:dyDescent="0.25"/>
    <row r="543" ht="14.95" customHeight="1" x14ac:dyDescent="0.25"/>
    <row r="544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spans="7:7" ht="14.95" customHeight="1" x14ac:dyDescent="0.25">
      <c r="G577" s="331"/>
    </row>
    <row r="578" spans="7:7" ht="14.95" customHeight="1" x14ac:dyDescent="0.25"/>
    <row r="579" spans="7:7" ht="14.95" customHeight="1" x14ac:dyDescent="0.25"/>
    <row r="580" spans="7:7" ht="14.95" customHeight="1" x14ac:dyDescent="0.25"/>
    <row r="581" spans="7:7" ht="14.95" customHeight="1" x14ac:dyDescent="0.25"/>
    <row r="582" spans="7:7" ht="14.95" customHeight="1" x14ac:dyDescent="0.25"/>
    <row r="583" spans="7:7" ht="14.95" customHeight="1" x14ac:dyDescent="0.25"/>
    <row r="600" spans="7:7" x14ac:dyDescent="0.25">
      <c r="G600" s="37"/>
    </row>
    <row r="601" spans="7:7" x14ac:dyDescent="0.25">
      <c r="G601" s="37"/>
    </row>
    <row r="602" spans="7:7" x14ac:dyDescent="0.25">
      <c r="G602" s="37"/>
    </row>
    <row r="603" spans="7:7" x14ac:dyDescent="0.25">
      <c r="G603" s="37"/>
    </row>
    <row r="604" spans="7:7" x14ac:dyDescent="0.25">
      <c r="G604" s="37"/>
    </row>
    <row r="605" spans="7:7" x14ac:dyDescent="0.25">
      <c r="G605" s="37"/>
    </row>
    <row r="606" spans="7:7" x14ac:dyDescent="0.25">
      <c r="G606" s="37"/>
    </row>
    <row r="607" spans="7:7" x14ac:dyDescent="0.25">
      <c r="G607" s="37"/>
    </row>
    <row r="608" spans="7:7" x14ac:dyDescent="0.25">
      <c r="G608" s="37"/>
    </row>
    <row r="609" spans="7:7" x14ac:dyDescent="0.25">
      <c r="G609" s="37"/>
    </row>
    <row r="610" spans="7:7" x14ac:dyDescent="0.25">
      <c r="G610" s="37"/>
    </row>
    <row r="611" spans="7:7" x14ac:dyDescent="0.25">
      <c r="G611" s="37"/>
    </row>
    <row r="612" spans="7:7" x14ac:dyDescent="0.25">
      <c r="G612" s="37"/>
    </row>
    <row r="613" spans="7:7" x14ac:dyDescent="0.25">
      <c r="G613" s="37"/>
    </row>
    <row r="616" spans="7:7" ht="14.8" customHeight="1" x14ac:dyDescent="0.25"/>
    <row r="618" spans="7:7" ht="14.95" customHeight="1" x14ac:dyDescent="0.25"/>
    <row r="619" spans="7:7" ht="14.95" customHeight="1" x14ac:dyDescent="0.25"/>
    <row r="626" ht="14.8" customHeight="1" x14ac:dyDescent="0.25"/>
    <row r="628" ht="15.8" customHeight="1" x14ac:dyDescent="0.25"/>
    <row r="630" ht="15.8" customHeight="1" x14ac:dyDescent="0.25"/>
    <row r="631" ht="14.95" customHeight="1" x14ac:dyDescent="0.25"/>
    <row r="632" ht="15.65" customHeight="1" x14ac:dyDescent="0.25"/>
    <row r="635" ht="14.3" customHeight="1" x14ac:dyDescent="0.25"/>
    <row r="636" ht="14.8" customHeight="1" x14ac:dyDescent="0.25"/>
  </sheetData>
  <sortState xmlns:xlrd2="http://schemas.microsoft.com/office/spreadsheetml/2017/richdata2" ref="G2:K39">
    <sortCondition sortBy="fontColor" ref="J2:J39" dxfId="0"/>
    <sortCondition descending="1" ref="K2:K39"/>
    <sortCondition descending="1" ref="J2:J39"/>
    <sortCondition ref="G2:G39"/>
  </sortState>
  <mergeCells count="5">
    <mergeCell ref="O1:Q1"/>
    <mergeCell ref="L1:N1"/>
    <mergeCell ref="O12:Q12"/>
    <mergeCell ref="L19:N19"/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34"/>
  <sheetViews>
    <sheetView workbookViewId="0">
      <selection activeCell="Q5" sqref="Q5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4" width="5.375" customWidth="1"/>
    <col min="15" max="23" width="5.75" customWidth="1"/>
    <col min="24" max="31" width="4.75" customWidth="1"/>
    <col min="32" max="46" width="5.75" customWidth="1"/>
  </cols>
  <sheetData>
    <row r="1" spans="1:58" ht="14.95" customHeight="1" thickBot="1" x14ac:dyDescent="0.3">
      <c r="A1" s="460" t="s">
        <v>864</v>
      </c>
      <c r="B1" s="461"/>
      <c r="C1" s="461"/>
      <c r="D1" s="461"/>
      <c r="E1" s="461"/>
      <c r="F1" s="461"/>
      <c r="G1" s="461"/>
      <c r="H1" s="461"/>
      <c r="I1" s="461"/>
      <c r="J1" s="462"/>
      <c r="K1" s="457" t="s">
        <v>301</v>
      </c>
      <c r="L1" s="436" t="s">
        <v>20</v>
      </c>
      <c r="M1" s="437"/>
      <c r="N1" s="438"/>
      <c r="O1" s="436" t="s">
        <v>154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204"/>
      <c r="AA1" s="163"/>
      <c r="AB1" s="163"/>
      <c r="AC1" s="422" t="s">
        <v>700</v>
      </c>
      <c r="AD1" s="423"/>
      <c r="AE1" s="424"/>
      <c r="AF1" s="422" t="s">
        <v>518</v>
      </c>
      <c r="AG1" s="423"/>
      <c r="AH1" s="424"/>
      <c r="AI1" s="428" t="s">
        <v>356</v>
      </c>
      <c r="AJ1" s="429"/>
      <c r="AK1" s="430"/>
      <c r="AL1" s="428" t="s">
        <v>272</v>
      </c>
      <c r="AM1" s="429"/>
      <c r="AN1" s="430"/>
      <c r="AO1" s="428" t="s">
        <v>115</v>
      </c>
      <c r="AP1" s="429"/>
      <c r="AQ1" s="430"/>
      <c r="AR1" s="428" t="s">
        <v>83</v>
      </c>
      <c r="AS1" s="429"/>
      <c r="AT1" s="430"/>
      <c r="AU1" s="428" t="s">
        <v>78</v>
      </c>
      <c r="AV1" s="429"/>
      <c r="AW1" s="430"/>
      <c r="AX1" s="4"/>
      <c r="AY1" s="4"/>
      <c r="AZ1" s="4"/>
      <c r="BC1" s="4"/>
    </row>
    <row r="2" spans="1:58" ht="14.95" customHeight="1" thickBot="1" x14ac:dyDescent="0.3">
      <c r="A2" s="325" t="s">
        <v>0</v>
      </c>
      <c r="B2" s="175" t="s">
        <v>355</v>
      </c>
      <c r="C2" s="361" t="s">
        <v>42</v>
      </c>
      <c r="D2" s="225" t="s">
        <v>564</v>
      </c>
      <c r="E2" s="176" t="s">
        <v>1</v>
      </c>
      <c r="F2" s="327" t="s">
        <v>2</v>
      </c>
      <c r="G2" s="140" t="s">
        <v>355</v>
      </c>
      <c r="H2" s="363" t="s">
        <v>42</v>
      </c>
      <c r="I2" s="227" t="s">
        <v>564</v>
      </c>
      <c r="J2" s="141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204"/>
      <c r="AA2" s="163"/>
      <c r="AB2" s="163"/>
      <c r="AC2" s="425"/>
      <c r="AD2" s="426"/>
      <c r="AE2" s="427"/>
      <c r="AF2" s="425"/>
      <c r="AG2" s="426"/>
      <c r="AH2" s="427"/>
      <c r="AI2" s="431"/>
      <c r="AJ2" s="432"/>
      <c r="AK2" s="433"/>
      <c r="AL2" s="431"/>
      <c r="AM2" s="432"/>
      <c r="AN2" s="433"/>
      <c r="AO2" s="431"/>
      <c r="AP2" s="432"/>
      <c r="AQ2" s="433"/>
      <c r="AR2" s="431"/>
      <c r="AS2" s="432"/>
      <c r="AT2" s="433"/>
      <c r="AU2" s="431"/>
      <c r="AV2" s="432"/>
      <c r="AW2" s="433"/>
      <c r="BA2" s="4"/>
      <c r="BB2" s="4"/>
      <c r="BC2" s="4"/>
      <c r="BD2" s="4"/>
      <c r="BE2" s="4"/>
      <c r="BF2" s="4"/>
    </row>
    <row r="3" spans="1:58" ht="14.95" customHeight="1" thickBot="1" x14ac:dyDescent="0.3">
      <c r="A3" s="326" t="s">
        <v>366</v>
      </c>
      <c r="B3" s="177">
        <v>0</v>
      </c>
      <c r="C3" s="362">
        <v>0</v>
      </c>
      <c r="D3" s="226">
        <v>0</v>
      </c>
      <c r="E3" s="178">
        <f t="shared" ref="E3:E64" si="0">SUM(B3:D3)</f>
        <v>0</v>
      </c>
      <c r="F3" s="328" t="s">
        <v>366</v>
      </c>
      <c r="G3" s="138">
        <v>0</v>
      </c>
      <c r="H3" s="364">
        <v>0</v>
      </c>
      <c r="I3" s="228">
        <v>0</v>
      </c>
      <c r="J3" s="139">
        <f t="shared" ref="J3:J64" si="1">SUM(G3:I3)</f>
        <v>0</v>
      </c>
      <c r="K3" s="233" t="s">
        <v>30</v>
      </c>
      <c r="L3" s="3" t="s">
        <v>74</v>
      </c>
      <c r="M3" s="3" t="s">
        <v>15</v>
      </c>
      <c r="N3" s="3" t="s">
        <v>16</v>
      </c>
      <c r="O3" s="161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151" t="s">
        <v>74</v>
      </c>
      <c r="X3" s="7" t="s">
        <v>15</v>
      </c>
      <c r="Y3" s="7" t="s">
        <v>16</v>
      </c>
      <c r="Z3" s="94"/>
      <c r="AA3" s="95"/>
      <c r="AB3" s="95"/>
      <c r="AC3" s="151" t="s">
        <v>74</v>
      </c>
      <c r="AD3" s="7" t="s">
        <v>15</v>
      </c>
      <c r="AE3" s="7" t="s">
        <v>16</v>
      </c>
      <c r="AF3" s="151" t="s">
        <v>74</v>
      </c>
      <c r="AG3" s="7" t="s">
        <v>15</v>
      </c>
      <c r="AH3" s="7" t="s">
        <v>16</v>
      </c>
      <c r="AI3" s="85" t="s">
        <v>74</v>
      </c>
      <c r="AJ3" s="80" t="s">
        <v>15</v>
      </c>
      <c r="AK3" s="80" t="s">
        <v>16</v>
      </c>
      <c r="AL3" s="85" t="s">
        <v>74</v>
      </c>
      <c r="AM3" s="80" t="s">
        <v>15</v>
      </c>
      <c r="AN3" s="80" t="s">
        <v>16</v>
      </c>
      <c r="AO3" s="85" t="s">
        <v>74</v>
      </c>
      <c r="AP3" s="80" t="s">
        <v>15</v>
      </c>
      <c r="AQ3" s="98" t="s">
        <v>16</v>
      </c>
      <c r="AR3" s="98" t="s">
        <v>74</v>
      </c>
      <c r="AS3" s="80" t="s">
        <v>15</v>
      </c>
      <c r="AT3" s="80" t="s">
        <v>16</v>
      </c>
      <c r="AU3" s="80" t="s">
        <v>74</v>
      </c>
      <c r="AV3" s="80" t="s">
        <v>15</v>
      </c>
      <c r="AW3" s="80" t="s">
        <v>16</v>
      </c>
    </row>
    <row r="4" spans="1:58" ht="14.95" customHeight="1" thickBot="1" x14ac:dyDescent="0.3">
      <c r="A4" s="326" t="s">
        <v>520</v>
      </c>
      <c r="B4" s="177">
        <v>0</v>
      </c>
      <c r="C4" s="362">
        <v>0</v>
      </c>
      <c r="D4" s="226">
        <v>0</v>
      </c>
      <c r="E4" s="178">
        <f t="shared" si="0"/>
        <v>0</v>
      </c>
      <c r="F4" s="328" t="s">
        <v>520</v>
      </c>
      <c r="G4" s="138">
        <v>0</v>
      </c>
      <c r="H4" s="364">
        <v>0</v>
      </c>
      <c r="I4" s="228">
        <v>0</v>
      </c>
      <c r="J4" s="139">
        <f t="shared" si="1"/>
        <v>0</v>
      </c>
      <c r="K4" s="325" t="s">
        <v>814</v>
      </c>
      <c r="L4" s="351" t="s">
        <v>21</v>
      </c>
      <c r="M4" s="351" t="s">
        <v>21</v>
      </c>
      <c r="N4" s="352" t="s">
        <v>21</v>
      </c>
      <c r="O4" s="351" t="s">
        <v>21</v>
      </c>
      <c r="P4" s="351" t="s">
        <v>21</v>
      </c>
      <c r="Q4" s="352" t="s">
        <v>21</v>
      </c>
      <c r="R4" s="176">
        <v>1</v>
      </c>
      <c r="S4" s="176">
        <v>1</v>
      </c>
      <c r="T4" s="6">
        <v>1</v>
      </c>
      <c r="U4" s="6">
        <v>1</v>
      </c>
      <c r="V4" s="160">
        <v>100</v>
      </c>
      <c r="W4" s="6" t="s">
        <v>21</v>
      </c>
      <c r="X4" s="6" t="s">
        <v>21</v>
      </c>
      <c r="Y4" s="160" t="s">
        <v>21</v>
      </c>
      <c r="Z4" s="94"/>
      <c r="AA4" s="95"/>
      <c r="AB4" s="95"/>
      <c r="AC4" s="6" t="s">
        <v>21</v>
      </c>
      <c r="AD4" s="6" t="s">
        <v>21</v>
      </c>
      <c r="AE4" s="160" t="s">
        <v>21</v>
      </c>
      <c r="AF4" s="6" t="s">
        <v>21</v>
      </c>
      <c r="AG4" s="6" t="s">
        <v>21</v>
      </c>
      <c r="AH4" s="160" t="s">
        <v>21</v>
      </c>
      <c r="AI4" s="6" t="s">
        <v>21</v>
      </c>
      <c r="AJ4" s="6" t="s">
        <v>21</v>
      </c>
      <c r="AK4" s="160" t="s">
        <v>21</v>
      </c>
      <c r="AL4" s="6" t="s">
        <v>21</v>
      </c>
      <c r="AM4" s="6" t="s">
        <v>21</v>
      </c>
      <c r="AN4" s="160" t="s">
        <v>21</v>
      </c>
      <c r="AO4" s="6" t="s">
        <v>21</v>
      </c>
      <c r="AP4" s="6" t="s">
        <v>21</v>
      </c>
      <c r="AQ4" s="160" t="s">
        <v>21</v>
      </c>
      <c r="AR4" s="6" t="s">
        <v>21</v>
      </c>
      <c r="AS4" s="6" t="s">
        <v>21</v>
      </c>
      <c r="AT4" s="160" t="s">
        <v>21</v>
      </c>
      <c r="AU4" s="6" t="s">
        <v>21</v>
      </c>
      <c r="AV4" s="6" t="s">
        <v>21</v>
      </c>
      <c r="AW4" s="160" t="s">
        <v>21</v>
      </c>
    </row>
    <row r="5" spans="1:58" ht="14.95" customHeight="1" thickBot="1" x14ac:dyDescent="0.3">
      <c r="A5" s="326" t="s">
        <v>477</v>
      </c>
      <c r="B5" s="177">
        <v>0</v>
      </c>
      <c r="C5" s="362">
        <v>0</v>
      </c>
      <c r="D5" s="226">
        <v>0</v>
      </c>
      <c r="E5" s="178">
        <f t="shared" si="0"/>
        <v>0</v>
      </c>
      <c r="F5" s="328" t="s">
        <v>477</v>
      </c>
      <c r="G5" s="138">
        <v>0</v>
      </c>
      <c r="H5" s="364">
        <v>0</v>
      </c>
      <c r="I5" s="228">
        <v>0</v>
      </c>
      <c r="J5" s="139">
        <f t="shared" si="1"/>
        <v>0</v>
      </c>
      <c r="K5" s="325" t="s">
        <v>1034</v>
      </c>
      <c r="L5" s="351">
        <v>2</v>
      </c>
      <c r="M5" s="351">
        <v>3</v>
      </c>
      <c r="N5" s="352">
        <f t="shared" ref="N5" si="2">(L5/M5)*100</f>
        <v>66.666666666666657</v>
      </c>
      <c r="O5" s="351" t="s">
        <v>21</v>
      </c>
      <c r="P5" s="351" t="s">
        <v>21</v>
      </c>
      <c r="Q5" s="352" t="s">
        <v>21</v>
      </c>
      <c r="R5" s="176">
        <v>-1</v>
      </c>
      <c r="S5" s="176">
        <v>-1</v>
      </c>
      <c r="T5" s="6" t="s">
        <v>21</v>
      </c>
      <c r="U5" s="6" t="s">
        <v>21</v>
      </c>
      <c r="V5" s="160" t="s">
        <v>21</v>
      </c>
      <c r="W5" s="6" t="s">
        <v>21</v>
      </c>
      <c r="X5" s="6" t="s">
        <v>21</v>
      </c>
      <c r="Y5" s="160" t="s">
        <v>21</v>
      </c>
      <c r="Z5" s="94"/>
      <c r="AA5" s="95"/>
      <c r="AB5" s="95"/>
      <c r="AC5" s="6" t="s">
        <v>21</v>
      </c>
      <c r="AD5" s="6" t="s">
        <v>21</v>
      </c>
      <c r="AE5" s="160" t="s">
        <v>21</v>
      </c>
      <c r="AF5" s="6" t="s">
        <v>21</v>
      </c>
      <c r="AG5" s="6" t="s">
        <v>21</v>
      </c>
      <c r="AH5" s="160" t="s">
        <v>21</v>
      </c>
      <c r="AI5" s="6" t="s">
        <v>21</v>
      </c>
      <c r="AJ5" s="6" t="s">
        <v>21</v>
      </c>
      <c r="AK5" s="6" t="s">
        <v>21</v>
      </c>
      <c r="AL5" s="6" t="s">
        <v>21</v>
      </c>
      <c r="AM5" s="6" t="s">
        <v>21</v>
      </c>
      <c r="AN5" s="6" t="s">
        <v>21</v>
      </c>
      <c r="AO5" s="6" t="s">
        <v>21</v>
      </c>
      <c r="AP5" s="6" t="s">
        <v>21</v>
      </c>
      <c r="AQ5" s="6" t="s">
        <v>21</v>
      </c>
      <c r="AR5" s="6" t="s">
        <v>21</v>
      </c>
      <c r="AS5" s="6" t="s">
        <v>21</v>
      </c>
      <c r="AT5" s="6" t="s">
        <v>21</v>
      </c>
      <c r="AU5" s="6" t="s">
        <v>21</v>
      </c>
      <c r="AV5" s="6" t="s">
        <v>21</v>
      </c>
      <c r="AW5" s="6" t="s">
        <v>21</v>
      </c>
    </row>
    <row r="6" spans="1:58" ht="14.95" customHeight="1" thickBot="1" x14ac:dyDescent="0.3">
      <c r="A6" s="326" t="s">
        <v>296</v>
      </c>
      <c r="B6" s="177">
        <v>0</v>
      </c>
      <c r="C6" s="362">
        <v>0</v>
      </c>
      <c r="D6" s="226">
        <v>1</v>
      </c>
      <c r="E6" s="178">
        <f t="shared" si="0"/>
        <v>1</v>
      </c>
      <c r="F6" s="328" t="s">
        <v>296</v>
      </c>
      <c r="G6" s="138">
        <v>0</v>
      </c>
      <c r="H6" s="364">
        <v>0</v>
      </c>
      <c r="I6" s="228">
        <v>5</v>
      </c>
      <c r="J6" s="139">
        <f t="shared" si="1"/>
        <v>5</v>
      </c>
      <c r="K6" s="325" t="s">
        <v>964</v>
      </c>
      <c r="L6" s="351" t="s">
        <v>21</v>
      </c>
      <c r="M6" s="351" t="s">
        <v>21</v>
      </c>
      <c r="N6" s="352" t="s">
        <v>21</v>
      </c>
      <c r="O6" s="351" t="s">
        <v>21</v>
      </c>
      <c r="P6" s="351" t="s">
        <v>21</v>
      </c>
      <c r="Q6" s="352" t="s">
        <v>21</v>
      </c>
      <c r="R6" s="176" t="s">
        <v>25</v>
      </c>
      <c r="S6" s="176">
        <v>-1</v>
      </c>
      <c r="T6" s="6" t="s">
        <v>21</v>
      </c>
      <c r="U6" s="155" t="s">
        <v>21</v>
      </c>
      <c r="V6" s="160" t="s">
        <v>21</v>
      </c>
      <c r="W6" s="6" t="s">
        <v>21</v>
      </c>
      <c r="X6" s="155" t="s">
        <v>21</v>
      </c>
      <c r="Y6" s="160" t="s">
        <v>21</v>
      </c>
      <c r="Z6" s="94"/>
      <c r="AA6" s="95"/>
      <c r="AB6" s="95"/>
      <c r="AC6" s="6"/>
      <c r="AD6" s="155"/>
      <c r="AE6" s="160"/>
      <c r="AF6" s="6" t="s">
        <v>21</v>
      </c>
      <c r="AG6" s="155" t="s">
        <v>21</v>
      </c>
      <c r="AH6" s="155" t="s">
        <v>21</v>
      </c>
      <c r="AI6" s="6" t="s">
        <v>21</v>
      </c>
      <c r="AJ6" s="155" t="s">
        <v>21</v>
      </c>
      <c r="AK6" s="155" t="s">
        <v>21</v>
      </c>
      <c r="AL6" s="6" t="s">
        <v>21</v>
      </c>
      <c r="AM6" s="155" t="s">
        <v>21</v>
      </c>
      <c r="AN6" s="155" t="s">
        <v>21</v>
      </c>
      <c r="AO6" s="6" t="s">
        <v>21</v>
      </c>
      <c r="AP6" s="155" t="s">
        <v>21</v>
      </c>
      <c r="AQ6" s="155" t="s">
        <v>21</v>
      </c>
      <c r="AR6" s="6" t="s">
        <v>21</v>
      </c>
      <c r="AS6" s="155" t="s">
        <v>21</v>
      </c>
      <c r="AT6" s="155" t="s">
        <v>21</v>
      </c>
      <c r="AU6" s="6" t="s">
        <v>21</v>
      </c>
      <c r="AV6" s="155" t="s">
        <v>21</v>
      </c>
      <c r="AW6" s="155" t="s">
        <v>21</v>
      </c>
    </row>
    <row r="7" spans="1:58" ht="14.95" customHeight="1" thickBot="1" x14ac:dyDescent="0.3">
      <c r="A7" s="326" t="s">
        <v>479</v>
      </c>
      <c r="B7" s="177">
        <v>5</v>
      </c>
      <c r="C7" s="362">
        <v>0</v>
      </c>
      <c r="D7" s="226">
        <v>0</v>
      </c>
      <c r="E7" s="178">
        <f t="shared" si="0"/>
        <v>5</v>
      </c>
      <c r="F7" s="328" t="s">
        <v>479</v>
      </c>
      <c r="G7" s="138">
        <v>25</v>
      </c>
      <c r="H7" s="364">
        <v>0</v>
      </c>
      <c r="I7" s="228">
        <v>0</v>
      </c>
      <c r="J7" s="139">
        <f t="shared" si="1"/>
        <v>25</v>
      </c>
      <c r="K7" s="325" t="s">
        <v>751</v>
      </c>
      <c r="L7" s="351">
        <v>34</v>
      </c>
      <c r="M7" s="351">
        <v>41</v>
      </c>
      <c r="N7" s="352">
        <f>(L7/M7)*100</f>
        <v>82.926829268292678</v>
      </c>
      <c r="O7" s="351" t="s">
        <v>21</v>
      </c>
      <c r="P7" s="351" t="s">
        <v>21</v>
      </c>
      <c r="Q7" s="352" t="s">
        <v>21</v>
      </c>
      <c r="R7" s="176">
        <v>8</v>
      </c>
      <c r="S7" s="176">
        <v>8</v>
      </c>
      <c r="T7" s="6">
        <v>42</v>
      </c>
      <c r="U7" s="155">
        <v>53</v>
      </c>
      <c r="V7" s="160">
        <v>79.245283018867923</v>
      </c>
      <c r="W7" s="6">
        <v>38</v>
      </c>
      <c r="X7" s="155">
        <v>53</v>
      </c>
      <c r="Y7" s="160">
        <v>71.698113207547166</v>
      </c>
      <c r="Z7" s="94"/>
      <c r="AA7" s="95"/>
      <c r="AB7" s="95"/>
      <c r="AC7" s="6">
        <v>71</v>
      </c>
      <c r="AD7" s="155">
        <v>87</v>
      </c>
      <c r="AE7" s="160">
        <v>81.609195402298852</v>
      </c>
      <c r="AF7" s="6">
        <v>27</v>
      </c>
      <c r="AG7" s="155">
        <v>34</v>
      </c>
      <c r="AH7" s="160">
        <v>79.411764705882348</v>
      </c>
      <c r="AI7" s="6">
        <v>40</v>
      </c>
      <c r="AJ7" s="155">
        <v>48</v>
      </c>
      <c r="AK7" s="7">
        <v>83</v>
      </c>
      <c r="AL7" s="6">
        <v>58</v>
      </c>
      <c r="AM7" s="155">
        <v>69</v>
      </c>
      <c r="AN7" s="155">
        <v>84</v>
      </c>
      <c r="AO7" s="6">
        <v>40</v>
      </c>
      <c r="AP7" s="155">
        <v>48</v>
      </c>
      <c r="AQ7" s="6">
        <v>83</v>
      </c>
      <c r="AR7" s="6" t="s">
        <v>21</v>
      </c>
      <c r="AS7" s="155" t="s">
        <v>21</v>
      </c>
      <c r="AT7" s="155" t="s">
        <v>21</v>
      </c>
      <c r="AU7" s="6" t="s">
        <v>21</v>
      </c>
      <c r="AV7" s="155" t="s">
        <v>21</v>
      </c>
      <c r="AW7" s="155" t="s">
        <v>21</v>
      </c>
    </row>
    <row r="8" spans="1:58" ht="14.95" customHeight="1" thickBot="1" x14ac:dyDescent="0.3">
      <c r="A8" s="326" t="s">
        <v>248</v>
      </c>
      <c r="B8" s="177">
        <v>0</v>
      </c>
      <c r="C8" s="362">
        <v>0</v>
      </c>
      <c r="D8" s="226">
        <v>0</v>
      </c>
      <c r="E8" s="178">
        <f t="shared" si="0"/>
        <v>0</v>
      </c>
      <c r="F8" s="328" t="s">
        <v>248</v>
      </c>
      <c r="G8" s="138">
        <v>0</v>
      </c>
      <c r="H8" s="364">
        <v>0</v>
      </c>
      <c r="I8" s="228">
        <v>0</v>
      </c>
      <c r="J8" s="139">
        <f t="shared" si="1"/>
        <v>0</v>
      </c>
      <c r="K8" s="325" t="s">
        <v>147</v>
      </c>
      <c r="L8" s="351">
        <v>34</v>
      </c>
      <c r="M8" s="351">
        <v>47</v>
      </c>
      <c r="N8" s="352">
        <f t="shared" ref="N8" si="3">(L8/M8)*100</f>
        <v>72.340425531914903</v>
      </c>
      <c r="O8" s="351">
        <v>3</v>
      </c>
      <c r="P8" s="351">
        <v>3</v>
      </c>
      <c r="Q8" s="352">
        <f t="shared" ref="Q8" si="4">(O8/P8)*100</f>
        <v>100</v>
      </c>
      <c r="R8" s="176">
        <v>8</v>
      </c>
      <c r="S8" s="176">
        <v>8</v>
      </c>
      <c r="T8" s="6">
        <v>18</v>
      </c>
      <c r="U8" s="155">
        <v>23</v>
      </c>
      <c r="V8" s="160">
        <v>78.260869565217391</v>
      </c>
      <c r="W8" s="6">
        <v>66</v>
      </c>
      <c r="X8" s="155">
        <v>84</v>
      </c>
      <c r="Y8" s="160">
        <f>(W8/X8)*100</f>
        <v>78.571428571428569</v>
      </c>
      <c r="Z8" s="94"/>
      <c r="AA8" s="95"/>
      <c r="AB8" s="95"/>
      <c r="AC8" s="6">
        <v>40</v>
      </c>
      <c r="AD8" s="155">
        <v>54</v>
      </c>
      <c r="AE8" s="160">
        <f>(AC8/AD8)*100</f>
        <v>74.074074074074076</v>
      </c>
      <c r="AF8" s="6">
        <v>74</v>
      </c>
      <c r="AG8" s="155">
        <v>99</v>
      </c>
      <c r="AH8" s="160">
        <f>(AF8/AG8)*100</f>
        <v>74.747474747474755</v>
      </c>
      <c r="AI8" s="6">
        <v>45</v>
      </c>
      <c r="AJ8" s="155">
        <v>55</v>
      </c>
      <c r="AK8" s="156">
        <f>SUM(AI8/AJ8)*100</f>
        <v>81.818181818181827</v>
      </c>
      <c r="AL8" s="6" t="s">
        <v>21</v>
      </c>
      <c r="AM8" s="155" t="s">
        <v>21</v>
      </c>
      <c r="AN8" s="155" t="s">
        <v>21</v>
      </c>
      <c r="AO8" s="6" t="s">
        <v>21</v>
      </c>
      <c r="AP8" s="155" t="s">
        <v>21</v>
      </c>
      <c r="AQ8" s="6" t="s">
        <v>21</v>
      </c>
      <c r="AR8" s="6" t="s">
        <v>21</v>
      </c>
      <c r="AS8" s="155" t="s">
        <v>21</v>
      </c>
      <c r="AT8" s="155" t="s">
        <v>21</v>
      </c>
      <c r="AU8" s="6" t="s">
        <v>21</v>
      </c>
      <c r="AV8" s="155" t="s">
        <v>21</v>
      </c>
      <c r="AW8" s="155" t="s">
        <v>21</v>
      </c>
      <c r="AX8" s="4"/>
    </row>
    <row r="9" spans="1:58" ht="14.95" customHeight="1" thickBot="1" x14ac:dyDescent="0.3">
      <c r="A9" s="326" t="s">
        <v>785</v>
      </c>
      <c r="B9" s="177">
        <v>0</v>
      </c>
      <c r="C9" s="362">
        <v>0</v>
      </c>
      <c r="D9" s="226">
        <v>0</v>
      </c>
      <c r="E9" s="178">
        <f t="shared" si="0"/>
        <v>0</v>
      </c>
      <c r="F9" s="328" t="s">
        <v>785</v>
      </c>
      <c r="G9" s="138">
        <v>0</v>
      </c>
      <c r="H9" s="364">
        <v>0</v>
      </c>
      <c r="I9" s="228">
        <v>0</v>
      </c>
      <c r="J9" s="139">
        <f t="shared" si="1"/>
        <v>0</v>
      </c>
      <c r="K9" s="353" t="s">
        <v>6</v>
      </c>
      <c r="L9" s="351">
        <v>15</v>
      </c>
      <c r="M9" s="351">
        <v>20</v>
      </c>
      <c r="N9" s="352">
        <f t="shared" ref="N9" si="5">(L9/M9)*100</f>
        <v>75</v>
      </c>
      <c r="O9" s="351">
        <v>5</v>
      </c>
      <c r="P9" s="351">
        <v>6</v>
      </c>
      <c r="Q9" s="352">
        <f t="shared" ref="Q9" si="6">(O9/P9)*100</f>
        <v>83.333333333333343</v>
      </c>
      <c r="R9" s="354">
        <v>5</v>
      </c>
      <c r="S9" s="354">
        <v>5</v>
      </c>
      <c r="T9" s="6">
        <v>12</v>
      </c>
      <c r="U9" s="6">
        <v>18</v>
      </c>
      <c r="V9" s="160">
        <v>66.666666666666657</v>
      </c>
      <c r="W9" s="6" t="s">
        <v>21</v>
      </c>
      <c r="X9" s="6" t="s">
        <v>21</v>
      </c>
      <c r="Y9" s="160" t="s">
        <v>21</v>
      </c>
      <c r="Z9" s="94"/>
      <c r="AA9" s="95"/>
      <c r="AB9" s="95"/>
      <c r="AC9" s="6" t="s">
        <v>21</v>
      </c>
      <c r="AD9" s="6" t="s">
        <v>21</v>
      </c>
      <c r="AE9" s="6" t="s">
        <v>21</v>
      </c>
      <c r="AF9" s="6" t="s">
        <v>21</v>
      </c>
      <c r="AG9" s="6" t="s">
        <v>21</v>
      </c>
      <c r="AH9" s="6" t="s">
        <v>21</v>
      </c>
      <c r="AI9" s="6" t="s">
        <v>21</v>
      </c>
      <c r="AJ9" s="6" t="s">
        <v>21</v>
      </c>
      <c r="AK9" s="6" t="s">
        <v>21</v>
      </c>
      <c r="AL9" s="6" t="s">
        <v>21</v>
      </c>
      <c r="AM9" s="155" t="s">
        <v>21</v>
      </c>
      <c r="AN9" s="155" t="s">
        <v>21</v>
      </c>
      <c r="AO9" s="6" t="s">
        <v>21</v>
      </c>
      <c r="AP9" s="155" t="s">
        <v>21</v>
      </c>
      <c r="AQ9" s="6" t="s">
        <v>21</v>
      </c>
      <c r="AR9" s="6" t="s">
        <v>21</v>
      </c>
      <c r="AS9" s="155" t="s">
        <v>21</v>
      </c>
      <c r="AT9" s="155" t="s">
        <v>21</v>
      </c>
      <c r="AU9" s="6" t="s">
        <v>21</v>
      </c>
      <c r="AV9" s="155" t="s">
        <v>21</v>
      </c>
      <c r="AW9" s="155" t="s">
        <v>21</v>
      </c>
    </row>
    <row r="10" spans="1:58" ht="14.95" customHeight="1" thickBot="1" x14ac:dyDescent="0.3">
      <c r="A10" s="326" t="s">
        <v>707</v>
      </c>
      <c r="B10" s="177">
        <v>8</v>
      </c>
      <c r="C10" s="362">
        <v>1</v>
      </c>
      <c r="D10" s="226">
        <v>1</v>
      </c>
      <c r="E10" s="178">
        <f t="shared" si="0"/>
        <v>10</v>
      </c>
      <c r="F10" s="328" t="s">
        <v>707</v>
      </c>
      <c r="G10" s="138">
        <v>40</v>
      </c>
      <c r="H10" s="364">
        <v>5</v>
      </c>
      <c r="I10" s="228">
        <v>5</v>
      </c>
      <c r="J10" s="139">
        <f t="shared" si="1"/>
        <v>50</v>
      </c>
      <c r="K10" s="353" t="s">
        <v>525</v>
      </c>
      <c r="L10" s="351" t="s">
        <v>21</v>
      </c>
      <c r="M10" s="351" t="s">
        <v>21</v>
      </c>
      <c r="N10" s="352" t="s">
        <v>21</v>
      </c>
      <c r="O10" s="351" t="s">
        <v>21</v>
      </c>
      <c r="P10" s="351" t="s">
        <v>21</v>
      </c>
      <c r="Q10" s="352" t="s">
        <v>21</v>
      </c>
      <c r="R10" s="354" t="s">
        <v>26</v>
      </c>
      <c r="S10" s="354">
        <v>1</v>
      </c>
      <c r="T10" s="6" t="s">
        <v>21</v>
      </c>
      <c r="U10" s="6" t="s">
        <v>21</v>
      </c>
      <c r="V10" s="160" t="s">
        <v>21</v>
      </c>
      <c r="W10" s="6" t="s">
        <v>21</v>
      </c>
      <c r="X10" s="6" t="s">
        <v>21</v>
      </c>
      <c r="Y10" s="160" t="s">
        <v>21</v>
      </c>
      <c r="Z10" s="94"/>
      <c r="AA10" s="95"/>
      <c r="AB10" s="95"/>
      <c r="AC10" s="6" t="s">
        <v>21</v>
      </c>
      <c r="AD10" s="6" t="s">
        <v>21</v>
      </c>
      <c r="AE10" s="6" t="s">
        <v>21</v>
      </c>
      <c r="AF10" s="6" t="s">
        <v>21</v>
      </c>
      <c r="AG10" s="6" t="s">
        <v>21</v>
      </c>
      <c r="AH10" s="6" t="s">
        <v>21</v>
      </c>
      <c r="AI10" s="6" t="s">
        <v>21</v>
      </c>
      <c r="AJ10" s="6" t="s">
        <v>21</v>
      </c>
      <c r="AK10" s="6" t="s">
        <v>21</v>
      </c>
      <c r="AL10" s="6" t="s">
        <v>21</v>
      </c>
      <c r="AM10" s="155" t="s">
        <v>21</v>
      </c>
      <c r="AN10" s="155" t="s">
        <v>21</v>
      </c>
      <c r="AO10" s="6" t="s">
        <v>21</v>
      </c>
      <c r="AP10" s="155" t="s">
        <v>21</v>
      </c>
      <c r="AQ10" s="6" t="s">
        <v>21</v>
      </c>
      <c r="AR10" s="6" t="s">
        <v>21</v>
      </c>
      <c r="AS10" s="155" t="s">
        <v>21</v>
      </c>
      <c r="AT10" s="155" t="s">
        <v>21</v>
      </c>
      <c r="AU10" s="6" t="s">
        <v>21</v>
      </c>
      <c r="AV10" s="155" t="s">
        <v>21</v>
      </c>
      <c r="AW10" s="155" t="s">
        <v>21</v>
      </c>
    </row>
    <row r="11" spans="1:58" ht="14.95" customHeight="1" thickBot="1" x14ac:dyDescent="0.3">
      <c r="A11" s="326" t="s">
        <v>350</v>
      </c>
      <c r="B11" s="177">
        <v>0</v>
      </c>
      <c r="C11" s="362">
        <v>0</v>
      </c>
      <c r="D11" s="226">
        <v>0</v>
      </c>
      <c r="E11" s="178">
        <f t="shared" si="0"/>
        <v>0</v>
      </c>
      <c r="F11" s="328" t="s">
        <v>350</v>
      </c>
      <c r="G11" s="138">
        <v>0</v>
      </c>
      <c r="H11" s="364">
        <v>0</v>
      </c>
      <c r="I11" s="228">
        <v>0</v>
      </c>
      <c r="J11" s="139">
        <f t="shared" si="1"/>
        <v>0</v>
      </c>
      <c r="K11" s="353" t="s">
        <v>755</v>
      </c>
      <c r="L11" s="351" t="s">
        <v>21</v>
      </c>
      <c r="M11" s="176" t="s">
        <v>21</v>
      </c>
      <c r="N11" s="352" t="s">
        <v>21</v>
      </c>
      <c r="O11" s="351" t="s">
        <v>21</v>
      </c>
      <c r="P11" s="351" t="s">
        <v>21</v>
      </c>
      <c r="Q11" s="352" t="s">
        <v>21</v>
      </c>
      <c r="R11" s="354" t="s">
        <v>26</v>
      </c>
      <c r="S11" s="354">
        <v>3</v>
      </c>
      <c r="T11" s="6" t="s">
        <v>21</v>
      </c>
      <c r="U11" s="6" t="s">
        <v>21</v>
      </c>
      <c r="V11" s="160" t="s">
        <v>21</v>
      </c>
      <c r="W11" s="6" t="s">
        <v>21</v>
      </c>
      <c r="X11" s="6" t="s">
        <v>21</v>
      </c>
      <c r="Y11" s="160" t="s">
        <v>21</v>
      </c>
      <c r="Z11" s="94"/>
      <c r="AA11" s="95"/>
      <c r="AB11" s="95"/>
      <c r="AC11" s="6" t="s">
        <v>21</v>
      </c>
      <c r="AD11" s="6" t="s">
        <v>21</v>
      </c>
      <c r="AE11" s="6" t="s">
        <v>21</v>
      </c>
      <c r="AF11" s="6" t="s">
        <v>21</v>
      </c>
      <c r="AG11" s="6" t="s">
        <v>21</v>
      </c>
      <c r="AH11" s="6" t="s">
        <v>21</v>
      </c>
      <c r="AI11" s="6" t="s">
        <v>21</v>
      </c>
      <c r="AJ11" s="6" t="s">
        <v>21</v>
      </c>
      <c r="AK11" s="6" t="s">
        <v>21</v>
      </c>
      <c r="AL11" s="6" t="s">
        <v>21</v>
      </c>
      <c r="AM11" s="155" t="s">
        <v>21</v>
      </c>
      <c r="AN11" s="155" t="s">
        <v>21</v>
      </c>
      <c r="AO11" s="6" t="s">
        <v>21</v>
      </c>
      <c r="AP11" s="155" t="s">
        <v>21</v>
      </c>
      <c r="AQ11" s="6" t="s">
        <v>21</v>
      </c>
      <c r="AR11" s="6" t="s">
        <v>21</v>
      </c>
      <c r="AS11" s="155" t="s">
        <v>21</v>
      </c>
      <c r="AT11" s="155" t="s">
        <v>21</v>
      </c>
      <c r="AU11" s="6" t="s">
        <v>21</v>
      </c>
      <c r="AV11" s="155" t="s">
        <v>21</v>
      </c>
      <c r="AW11" s="155" t="s">
        <v>21</v>
      </c>
      <c r="AX11" s="4"/>
      <c r="AY11" s="4"/>
      <c r="AZ11" s="4"/>
    </row>
    <row r="12" spans="1:58" ht="14.95" customHeight="1" thickBot="1" x14ac:dyDescent="0.3">
      <c r="A12" s="326" t="s">
        <v>298</v>
      </c>
      <c r="B12" s="177">
        <v>1</v>
      </c>
      <c r="C12" s="362">
        <v>0</v>
      </c>
      <c r="D12" s="226">
        <v>1</v>
      </c>
      <c r="E12" s="178">
        <f t="shared" si="0"/>
        <v>2</v>
      </c>
      <c r="F12" s="328" t="s">
        <v>298</v>
      </c>
      <c r="G12" s="138">
        <v>5</v>
      </c>
      <c r="H12" s="364">
        <v>0</v>
      </c>
      <c r="I12" s="228">
        <v>5</v>
      </c>
      <c r="J12" s="139">
        <f t="shared" si="1"/>
        <v>10</v>
      </c>
      <c r="K12" s="102"/>
      <c r="L12" s="57"/>
      <c r="M12" s="101"/>
      <c r="N12" s="101"/>
      <c r="O12" s="101"/>
      <c r="P12" s="101"/>
      <c r="Q12" s="101"/>
      <c r="R12" s="162"/>
      <c r="S12" s="162"/>
      <c r="T12" s="152"/>
      <c r="U12" s="152"/>
      <c r="V12" s="152"/>
      <c r="W12" s="152"/>
      <c r="X12" s="153"/>
      <c r="Y12" s="153"/>
      <c r="Z12" s="87"/>
      <c r="AA12" s="87"/>
      <c r="AB12" s="87"/>
      <c r="AC12" s="87"/>
      <c r="AD12" s="87"/>
      <c r="AE12" s="87"/>
      <c r="AF12" s="180"/>
      <c r="AG12" s="174"/>
      <c r="AH12" s="174"/>
      <c r="AI12" s="180"/>
      <c r="AJ12" s="174"/>
      <c r="AK12" s="180"/>
      <c r="AT12" s="4"/>
      <c r="AX12" s="4"/>
      <c r="AY12" s="4"/>
      <c r="AZ12" s="4"/>
    </row>
    <row r="13" spans="1:58" ht="14.95" customHeight="1" thickBot="1" x14ac:dyDescent="0.3">
      <c r="A13" s="326" t="s">
        <v>873</v>
      </c>
      <c r="B13" s="177">
        <v>1</v>
      </c>
      <c r="C13" s="362">
        <v>0</v>
      </c>
      <c r="D13" s="226">
        <v>2</v>
      </c>
      <c r="E13" s="178">
        <f t="shared" ref="E13" si="7">SUM(B13:D13)</f>
        <v>3</v>
      </c>
      <c r="F13" s="328" t="s">
        <v>873</v>
      </c>
      <c r="G13" s="138">
        <v>5</v>
      </c>
      <c r="H13" s="364">
        <v>0</v>
      </c>
      <c r="I13" s="228">
        <v>10</v>
      </c>
      <c r="J13" s="139">
        <f t="shared" ref="J13" si="8">SUM(G13:I13)</f>
        <v>15</v>
      </c>
      <c r="K13" s="455" t="s">
        <v>302</v>
      </c>
      <c r="L13" s="465" t="s">
        <v>20</v>
      </c>
      <c r="M13" s="466"/>
      <c r="N13" s="467"/>
      <c r="O13" s="422" t="s">
        <v>365</v>
      </c>
      <c r="P13" s="423"/>
      <c r="Q13" s="424"/>
      <c r="R13" s="422" t="s">
        <v>854</v>
      </c>
      <c r="S13" s="423"/>
      <c r="T13" s="424"/>
      <c r="U13" s="422" t="s">
        <v>700</v>
      </c>
      <c r="V13" s="423"/>
      <c r="W13" s="424"/>
      <c r="X13" s="86"/>
      <c r="Y13" s="86"/>
      <c r="Z13" s="86"/>
      <c r="AC13" s="422" t="s">
        <v>518</v>
      </c>
      <c r="AD13" s="423"/>
      <c r="AE13" s="424"/>
      <c r="AF13" s="428" t="s">
        <v>356</v>
      </c>
      <c r="AG13" s="429"/>
      <c r="AH13" s="430"/>
      <c r="AI13" s="422" t="s">
        <v>115</v>
      </c>
      <c r="AJ13" s="423"/>
      <c r="AK13" s="424"/>
      <c r="AL13" s="422" t="s">
        <v>83</v>
      </c>
      <c r="AM13" s="471"/>
      <c r="AN13" s="472"/>
      <c r="AO13" s="422" t="s">
        <v>78</v>
      </c>
      <c r="AP13" s="471"/>
      <c r="AQ13" s="472"/>
      <c r="AR13" s="422" t="s">
        <v>60</v>
      </c>
      <c r="AS13" s="471"/>
      <c r="AT13" s="472"/>
    </row>
    <row r="14" spans="1:58" ht="14.95" customHeight="1" thickBot="1" x14ac:dyDescent="0.3">
      <c r="A14" s="326" t="s">
        <v>656</v>
      </c>
      <c r="B14" s="177">
        <v>0</v>
      </c>
      <c r="C14" s="362">
        <v>0</v>
      </c>
      <c r="D14" s="226">
        <v>0</v>
      </c>
      <c r="E14" s="178">
        <f t="shared" si="0"/>
        <v>0</v>
      </c>
      <c r="F14" s="328" t="s">
        <v>656</v>
      </c>
      <c r="G14" s="138">
        <v>0</v>
      </c>
      <c r="H14" s="364">
        <v>0</v>
      </c>
      <c r="I14" s="228">
        <v>0</v>
      </c>
      <c r="J14" s="139">
        <f t="shared" si="1"/>
        <v>0</v>
      </c>
      <c r="K14" s="456"/>
      <c r="L14" s="468"/>
      <c r="M14" s="469"/>
      <c r="N14" s="470"/>
      <c r="O14" s="425"/>
      <c r="P14" s="426"/>
      <c r="Q14" s="427"/>
      <c r="R14" s="425"/>
      <c r="S14" s="426"/>
      <c r="T14" s="427"/>
      <c r="U14" s="425"/>
      <c r="V14" s="426"/>
      <c r="W14" s="427"/>
      <c r="X14" s="86"/>
      <c r="Y14" s="86"/>
      <c r="Z14" s="86"/>
      <c r="AC14" s="425"/>
      <c r="AD14" s="426"/>
      <c r="AE14" s="427"/>
      <c r="AF14" s="431"/>
      <c r="AG14" s="432"/>
      <c r="AH14" s="433"/>
      <c r="AI14" s="425"/>
      <c r="AJ14" s="426"/>
      <c r="AK14" s="427"/>
      <c r="AL14" s="473"/>
      <c r="AM14" s="474"/>
      <c r="AN14" s="475"/>
      <c r="AO14" s="473"/>
      <c r="AP14" s="474"/>
      <c r="AQ14" s="475"/>
      <c r="AR14" s="473"/>
      <c r="AS14" s="474"/>
      <c r="AT14" s="475"/>
      <c r="AW14" s="4"/>
    </row>
    <row r="15" spans="1:58" ht="14.95" customHeight="1" thickBot="1" x14ac:dyDescent="0.3">
      <c r="A15" s="326" t="s">
        <v>504</v>
      </c>
      <c r="B15" s="177">
        <v>1</v>
      </c>
      <c r="C15" s="362">
        <v>0</v>
      </c>
      <c r="D15" s="226">
        <v>0</v>
      </c>
      <c r="E15" s="178">
        <f t="shared" si="0"/>
        <v>1</v>
      </c>
      <c r="F15" s="328" t="s">
        <v>504</v>
      </c>
      <c r="G15" s="138">
        <v>5</v>
      </c>
      <c r="H15" s="364">
        <v>0</v>
      </c>
      <c r="I15" s="228">
        <v>0</v>
      </c>
      <c r="J15" s="139">
        <f t="shared" si="1"/>
        <v>5</v>
      </c>
      <c r="K15" s="280" t="s">
        <v>30</v>
      </c>
      <c r="L15" s="273" t="s">
        <v>74</v>
      </c>
      <c r="M15" s="273" t="s">
        <v>15</v>
      </c>
      <c r="N15" s="273" t="s">
        <v>16</v>
      </c>
      <c r="O15" s="7" t="s">
        <v>74</v>
      </c>
      <c r="P15" s="7" t="s">
        <v>15</v>
      </c>
      <c r="Q15" s="7" t="s">
        <v>16</v>
      </c>
      <c r="R15" s="7" t="s">
        <v>74</v>
      </c>
      <c r="S15" s="7" t="s">
        <v>15</v>
      </c>
      <c r="T15" s="7" t="s">
        <v>16</v>
      </c>
      <c r="U15" s="7" t="s">
        <v>74</v>
      </c>
      <c r="V15" s="7" t="s">
        <v>15</v>
      </c>
      <c r="W15" s="7" t="s">
        <v>16</v>
      </c>
      <c r="AC15" s="151" t="s">
        <v>74</v>
      </c>
      <c r="AD15" s="7" t="s">
        <v>15</v>
      </c>
      <c r="AE15" s="7" t="s">
        <v>16</v>
      </c>
      <c r="AF15" s="85" t="s">
        <v>74</v>
      </c>
      <c r="AG15" s="80" t="s">
        <v>15</v>
      </c>
      <c r="AH15" s="80" t="s">
        <v>16</v>
      </c>
      <c r="AI15" s="151" t="s">
        <v>74</v>
      </c>
      <c r="AJ15" s="7" t="s">
        <v>15</v>
      </c>
      <c r="AK15" s="7" t="s">
        <v>16</v>
      </c>
      <c r="AL15" s="6" t="s">
        <v>74</v>
      </c>
      <c r="AM15" s="6" t="s">
        <v>15</v>
      </c>
      <c r="AN15" s="6" t="s">
        <v>16</v>
      </c>
      <c r="AO15" s="6" t="s">
        <v>74</v>
      </c>
      <c r="AP15" s="6" t="s">
        <v>15</v>
      </c>
      <c r="AQ15" s="6" t="s">
        <v>16</v>
      </c>
      <c r="AR15" s="6" t="s">
        <v>74</v>
      </c>
      <c r="AS15" s="6" t="s">
        <v>15</v>
      </c>
      <c r="AT15" s="6" t="s">
        <v>16</v>
      </c>
    </row>
    <row r="16" spans="1:58" ht="14.95" customHeight="1" thickBot="1" x14ac:dyDescent="0.3">
      <c r="A16" s="326" t="s">
        <v>961</v>
      </c>
      <c r="B16" s="177">
        <v>2</v>
      </c>
      <c r="C16" s="362">
        <v>1</v>
      </c>
      <c r="D16" s="226">
        <v>0</v>
      </c>
      <c r="E16" s="178">
        <f t="shared" si="0"/>
        <v>3</v>
      </c>
      <c r="F16" s="328" t="s">
        <v>961</v>
      </c>
      <c r="G16" s="138">
        <v>10</v>
      </c>
      <c r="H16" s="364">
        <v>5</v>
      </c>
      <c r="I16" s="228">
        <v>0</v>
      </c>
      <c r="J16" s="139">
        <f t="shared" si="1"/>
        <v>15</v>
      </c>
      <c r="K16" s="325" t="s">
        <v>751</v>
      </c>
      <c r="L16" s="351">
        <v>2</v>
      </c>
      <c r="M16" s="176">
        <v>4</v>
      </c>
      <c r="N16" s="352">
        <f t="shared" ref="N16:N18" si="9">(L16/M16)*100</f>
        <v>50</v>
      </c>
      <c r="O16" s="6" t="s">
        <v>21</v>
      </c>
      <c r="P16" s="155" t="s">
        <v>21</v>
      </c>
      <c r="Q16" s="160" t="s">
        <v>21</v>
      </c>
      <c r="R16" s="7">
        <v>7</v>
      </c>
      <c r="S16" s="7">
        <v>7</v>
      </c>
      <c r="T16" s="156">
        <f t="shared" ref="T16" si="10">SUM(R16/S16)*100</f>
        <v>100</v>
      </c>
      <c r="U16" s="7">
        <v>17</v>
      </c>
      <c r="V16" s="7">
        <v>20</v>
      </c>
      <c r="W16" s="156">
        <f t="shared" ref="W16" si="11">SUM(U16/V16)*100</f>
        <v>85</v>
      </c>
      <c r="AC16" s="151">
        <v>9</v>
      </c>
      <c r="AD16" s="7">
        <v>12</v>
      </c>
      <c r="AE16" s="156">
        <f t="shared" ref="AE16" si="12">SUM(AC16/AD16)*100</f>
        <v>75</v>
      </c>
      <c r="AF16" s="151" t="s">
        <v>21</v>
      </c>
      <c r="AG16" s="7" t="s">
        <v>21</v>
      </c>
      <c r="AH16" s="7" t="s">
        <v>21</v>
      </c>
      <c r="AI16" s="151" t="s">
        <v>21</v>
      </c>
      <c r="AJ16" s="7" t="s">
        <v>21</v>
      </c>
      <c r="AK16" s="7" t="s">
        <v>21</v>
      </c>
      <c r="AL16" s="151">
        <v>8</v>
      </c>
      <c r="AM16" s="7">
        <v>10</v>
      </c>
      <c r="AN16" s="156">
        <f>SUM(AL16/AM16)*100</f>
        <v>80</v>
      </c>
      <c r="AO16" s="6" t="s">
        <v>21</v>
      </c>
      <c r="AP16" s="7" t="s">
        <v>21</v>
      </c>
      <c r="AQ16" s="7" t="s">
        <v>21</v>
      </c>
      <c r="AR16" s="151">
        <v>7</v>
      </c>
      <c r="AS16" s="7">
        <v>8</v>
      </c>
      <c r="AT16" s="160">
        <f>SUM(AR16/AS16)*100</f>
        <v>87.5</v>
      </c>
      <c r="AU16" s="87"/>
      <c r="AV16" s="87"/>
      <c r="AW16" s="87"/>
    </row>
    <row r="17" spans="1:51" ht="14.95" customHeight="1" thickBot="1" x14ac:dyDescent="0.3">
      <c r="A17" s="326" t="s">
        <v>94</v>
      </c>
      <c r="B17" s="177">
        <v>0</v>
      </c>
      <c r="C17" s="362">
        <v>0</v>
      </c>
      <c r="D17" s="226">
        <v>0</v>
      </c>
      <c r="E17" s="178">
        <f t="shared" si="0"/>
        <v>0</v>
      </c>
      <c r="F17" s="328" t="s">
        <v>94</v>
      </c>
      <c r="G17" s="138">
        <v>0</v>
      </c>
      <c r="H17" s="364">
        <v>0</v>
      </c>
      <c r="I17" s="228">
        <v>0</v>
      </c>
      <c r="J17" s="139">
        <f t="shared" si="1"/>
        <v>0</v>
      </c>
      <c r="K17" s="325" t="s">
        <v>147</v>
      </c>
      <c r="L17" s="351">
        <v>4</v>
      </c>
      <c r="M17" s="351">
        <v>5</v>
      </c>
      <c r="N17" s="352">
        <f t="shared" si="9"/>
        <v>80</v>
      </c>
      <c r="O17" s="157" t="s">
        <v>21</v>
      </c>
      <c r="P17" s="157" t="s">
        <v>21</v>
      </c>
      <c r="Q17" s="156" t="s">
        <v>21</v>
      </c>
      <c r="R17" s="157">
        <v>15</v>
      </c>
      <c r="S17" s="157">
        <v>19</v>
      </c>
      <c r="T17" s="156">
        <f>(R17/S17)*100</f>
        <v>78.94736842105263</v>
      </c>
      <c r="U17" s="155">
        <v>11</v>
      </c>
      <c r="V17" s="155">
        <v>14</v>
      </c>
      <c r="W17" s="156">
        <f>(U17/V17)*100</f>
        <v>78.571428571428569</v>
      </c>
      <c r="AC17" s="6" t="s">
        <v>21</v>
      </c>
      <c r="AD17" s="155" t="s">
        <v>21</v>
      </c>
      <c r="AE17" s="156" t="s">
        <v>21</v>
      </c>
      <c r="AF17" s="6" t="s">
        <v>21</v>
      </c>
      <c r="AG17" s="155" t="s">
        <v>21</v>
      </c>
      <c r="AH17" s="6" t="s">
        <v>21</v>
      </c>
      <c r="AI17" s="6" t="s">
        <v>21</v>
      </c>
      <c r="AJ17" s="6" t="s">
        <v>21</v>
      </c>
      <c r="AK17" s="6" t="s">
        <v>21</v>
      </c>
      <c r="AL17" s="6" t="s">
        <v>21</v>
      </c>
      <c r="AM17" s="155" t="s">
        <v>21</v>
      </c>
      <c r="AN17" s="6" t="s">
        <v>21</v>
      </c>
      <c r="AO17" s="6" t="s">
        <v>21</v>
      </c>
      <c r="AP17" s="155" t="s">
        <v>21</v>
      </c>
      <c r="AQ17" s="6" t="s">
        <v>21</v>
      </c>
      <c r="AR17" s="155" t="s">
        <v>21</v>
      </c>
      <c r="AS17" s="155" t="s">
        <v>21</v>
      </c>
      <c r="AT17" s="6" t="s">
        <v>21</v>
      </c>
    </row>
    <row r="18" spans="1:51" ht="14.95" customHeight="1" thickBot="1" x14ac:dyDescent="0.3">
      <c r="A18" s="326" t="s">
        <v>250</v>
      </c>
      <c r="B18" s="177">
        <v>0</v>
      </c>
      <c r="C18" s="362">
        <v>0</v>
      </c>
      <c r="D18" s="226">
        <v>0</v>
      </c>
      <c r="E18" s="178">
        <f t="shared" si="0"/>
        <v>0</v>
      </c>
      <c r="F18" s="328" t="s">
        <v>250</v>
      </c>
      <c r="G18" s="138">
        <v>0</v>
      </c>
      <c r="H18" s="364">
        <v>0</v>
      </c>
      <c r="I18" s="228">
        <v>0</v>
      </c>
      <c r="J18" s="139">
        <f t="shared" si="1"/>
        <v>0</v>
      </c>
      <c r="K18" s="353" t="s">
        <v>755</v>
      </c>
      <c r="L18" s="351">
        <v>3</v>
      </c>
      <c r="M18" s="351">
        <v>3</v>
      </c>
      <c r="N18" s="352">
        <f t="shared" si="9"/>
        <v>100</v>
      </c>
      <c r="O18" s="157" t="s">
        <v>21</v>
      </c>
      <c r="P18" s="157" t="s">
        <v>21</v>
      </c>
      <c r="Q18" s="156" t="s">
        <v>21</v>
      </c>
      <c r="R18" s="157" t="s">
        <v>21</v>
      </c>
      <c r="S18" s="157" t="s">
        <v>21</v>
      </c>
      <c r="T18" s="156" t="s">
        <v>21</v>
      </c>
      <c r="U18" s="157" t="s">
        <v>21</v>
      </c>
      <c r="V18" s="157" t="s">
        <v>21</v>
      </c>
      <c r="W18" s="156" t="s">
        <v>21</v>
      </c>
      <c r="AC18" s="6" t="s">
        <v>21</v>
      </c>
      <c r="AD18" s="6" t="s">
        <v>21</v>
      </c>
      <c r="AE18" s="160" t="s">
        <v>21</v>
      </c>
      <c r="AF18" s="6" t="s">
        <v>21</v>
      </c>
      <c r="AG18" s="6" t="s">
        <v>21</v>
      </c>
      <c r="AH18" s="160" t="s">
        <v>21</v>
      </c>
      <c r="AI18" s="6" t="s">
        <v>21</v>
      </c>
      <c r="AJ18" s="6" t="s">
        <v>21</v>
      </c>
      <c r="AK18" s="160" t="s">
        <v>21</v>
      </c>
      <c r="AL18" s="6" t="s">
        <v>21</v>
      </c>
      <c r="AM18" s="6" t="s">
        <v>21</v>
      </c>
      <c r="AN18" s="160" t="s">
        <v>21</v>
      </c>
      <c r="AO18" s="6" t="s">
        <v>21</v>
      </c>
      <c r="AP18" s="6" t="s">
        <v>21</v>
      </c>
      <c r="AQ18" s="156" t="s">
        <v>21</v>
      </c>
      <c r="AR18" s="6" t="s">
        <v>21</v>
      </c>
      <c r="AS18" s="6" t="s">
        <v>21</v>
      </c>
      <c r="AT18" s="156" t="s">
        <v>21</v>
      </c>
    </row>
    <row r="19" spans="1:51" ht="14.95" customHeight="1" thickBot="1" x14ac:dyDescent="0.3">
      <c r="A19" s="326" t="s">
        <v>307</v>
      </c>
      <c r="B19" s="177">
        <v>0</v>
      </c>
      <c r="C19" s="362">
        <v>0</v>
      </c>
      <c r="D19" s="226">
        <v>0</v>
      </c>
      <c r="E19" s="178">
        <f t="shared" si="0"/>
        <v>0</v>
      </c>
      <c r="F19" s="328" t="s">
        <v>307</v>
      </c>
      <c r="G19" s="138">
        <v>0</v>
      </c>
      <c r="H19" s="364">
        <v>0</v>
      </c>
      <c r="I19" s="228">
        <v>0</v>
      </c>
      <c r="J19" s="139">
        <f t="shared" si="1"/>
        <v>0</v>
      </c>
      <c r="K19" t="s">
        <v>30</v>
      </c>
      <c r="O19" s="35"/>
      <c r="P19" s="38"/>
      <c r="Q19" s="38"/>
      <c r="R19" s="38"/>
      <c r="S19" s="38"/>
      <c r="T19" s="38"/>
      <c r="U19" s="38"/>
      <c r="V19" s="38"/>
      <c r="W19" s="38"/>
      <c r="AX19" s="81"/>
      <c r="AY19" s="81"/>
    </row>
    <row r="20" spans="1:51" ht="14.95" customHeight="1" thickBot="1" x14ac:dyDescent="0.3">
      <c r="A20" s="326" t="s">
        <v>81</v>
      </c>
      <c r="B20" s="177">
        <v>4</v>
      </c>
      <c r="C20" s="362">
        <v>0</v>
      </c>
      <c r="D20" s="226">
        <v>0</v>
      </c>
      <c r="E20" s="178">
        <f t="shared" si="0"/>
        <v>4</v>
      </c>
      <c r="F20" s="328" t="s">
        <v>81</v>
      </c>
      <c r="G20" s="138">
        <v>20</v>
      </c>
      <c r="H20" s="364">
        <v>0</v>
      </c>
      <c r="I20" s="228">
        <v>0</v>
      </c>
      <c r="J20" s="139">
        <f t="shared" si="1"/>
        <v>20</v>
      </c>
      <c r="K20" s="442" t="s">
        <v>303</v>
      </c>
      <c r="L20" s="428" t="s">
        <v>20</v>
      </c>
      <c r="M20" s="429"/>
      <c r="N20" s="430"/>
      <c r="O20" s="422" t="s">
        <v>365</v>
      </c>
      <c r="P20" s="423"/>
      <c r="Q20" s="424"/>
      <c r="R20" s="422" t="s">
        <v>854</v>
      </c>
      <c r="S20" s="423"/>
      <c r="T20" s="424"/>
      <c r="U20" s="422" t="s">
        <v>700</v>
      </c>
      <c r="V20" s="423"/>
      <c r="W20" s="424"/>
      <c r="AC20" s="422" t="s">
        <v>518</v>
      </c>
      <c r="AD20" s="423"/>
      <c r="AE20" s="424"/>
      <c r="AF20" s="428" t="s">
        <v>356</v>
      </c>
      <c r="AG20" s="429"/>
      <c r="AH20" s="430"/>
      <c r="AI20" s="422" t="s">
        <v>115</v>
      </c>
      <c r="AJ20" s="423"/>
      <c r="AK20" s="424"/>
      <c r="AL20" s="422" t="s">
        <v>83</v>
      </c>
      <c r="AM20" s="471"/>
      <c r="AN20" s="472"/>
      <c r="AO20" s="422" t="s">
        <v>78</v>
      </c>
      <c r="AP20" s="471"/>
      <c r="AQ20" s="472"/>
      <c r="AR20" s="422" t="s">
        <v>60</v>
      </c>
      <c r="AS20" s="471"/>
      <c r="AT20" s="472"/>
    </row>
    <row r="21" spans="1:51" ht="14.95" customHeight="1" thickBot="1" x14ac:dyDescent="0.3">
      <c r="A21" s="326" t="s">
        <v>482</v>
      </c>
      <c r="B21" s="177">
        <v>3</v>
      </c>
      <c r="C21" s="362">
        <v>0</v>
      </c>
      <c r="D21" s="226">
        <v>1</v>
      </c>
      <c r="E21" s="178">
        <f t="shared" si="0"/>
        <v>4</v>
      </c>
      <c r="F21" s="328" t="s">
        <v>482</v>
      </c>
      <c r="G21" s="138">
        <v>15</v>
      </c>
      <c r="H21" s="364">
        <v>0</v>
      </c>
      <c r="I21" s="228">
        <v>5</v>
      </c>
      <c r="J21" s="139">
        <f t="shared" si="1"/>
        <v>20</v>
      </c>
      <c r="K21" s="443"/>
      <c r="L21" s="431"/>
      <c r="M21" s="432"/>
      <c r="N21" s="433"/>
      <c r="O21" s="425"/>
      <c r="P21" s="426"/>
      <c r="Q21" s="427"/>
      <c r="R21" s="425"/>
      <c r="S21" s="426"/>
      <c r="T21" s="427"/>
      <c r="U21" s="425"/>
      <c r="V21" s="426"/>
      <c r="W21" s="427"/>
      <c r="AC21" s="425"/>
      <c r="AD21" s="426"/>
      <c r="AE21" s="427"/>
      <c r="AF21" s="431"/>
      <c r="AG21" s="432"/>
      <c r="AH21" s="433"/>
      <c r="AI21" s="425"/>
      <c r="AJ21" s="426"/>
      <c r="AK21" s="427"/>
      <c r="AL21" s="473"/>
      <c r="AM21" s="474"/>
      <c r="AN21" s="475"/>
      <c r="AO21" s="473"/>
      <c r="AP21" s="474"/>
      <c r="AQ21" s="475"/>
      <c r="AR21" s="473"/>
      <c r="AS21" s="474"/>
      <c r="AT21" s="475"/>
    </row>
    <row r="22" spans="1:51" ht="14.95" customHeight="1" thickBot="1" x14ac:dyDescent="0.3">
      <c r="A22" s="326" t="s">
        <v>368</v>
      </c>
      <c r="B22" s="177">
        <v>0</v>
      </c>
      <c r="C22" s="362">
        <v>0</v>
      </c>
      <c r="D22" s="226">
        <v>0</v>
      </c>
      <c r="E22" s="178">
        <f t="shared" si="0"/>
        <v>0</v>
      </c>
      <c r="F22" s="328" t="s">
        <v>368</v>
      </c>
      <c r="G22" s="138">
        <v>0</v>
      </c>
      <c r="H22" s="364">
        <v>0</v>
      </c>
      <c r="I22" s="228">
        <v>0</v>
      </c>
      <c r="J22" s="139">
        <f t="shared" si="1"/>
        <v>0</v>
      </c>
      <c r="K22" s="274" t="s">
        <v>30</v>
      </c>
      <c r="L22" s="80" t="s">
        <v>74</v>
      </c>
      <c r="M22" s="80" t="s">
        <v>15</v>
      </c>
      <c r="N22" s="80" t="s">
        <v>16</v>
      </c>
      <c r="O22" s="7" t="s">
        <v>74</v>
      </c>
      <c r="P22" s="7" t="s">
        <v>15</v>
      </c>
      <c r="Q22" s="7" t="s">
        <v>16</v>
      </c>
      <c r="R22" s="7" t="s">
        <v>74</v>
      </c>
      <c r="S22" s="7" t="s">
        <v>15</v>
      </c>
      <c r="T22" s="7" t="s">
        <v>16</v>
      </c>
      <c r="U22" s="151" t="s">
        <v>74</v>
      </c>
      <c r="V22" s="7" t="s">
        <v>15</v>
      </c>
      <c r="W22" s="7" t="s">
        <v>16</v>
      </c>
      <c r="AC22" s="151" t="s">
        <v>74</v>
      </c>
      <c r="AD22" s="7" t="s">
        <v>15</v>
      </c>
      <c r="AE22" s="7" t="s">
        <v>16</v>
      </c>
      <c r="AF22" s="85" t="s">
        <v>74</v>
      </c>
      <c r="AG22" s="80" t="s">
        <v>15</v>
      </c>
      <c r="AH22" s="80" t="s">
        <v>16</v>
      </c>
      <c r="AI22" s="151" t="s">
        <v>74</v>
      </c>
      <c r="AJ22" s="7" t="s">
        <v>15</v>
      </c>
      <c r="AK22" s="7" t="s">
        <v>16</v>
      </c>
      <c r="AL22" s="6" t="s">
        <v>74</v>
      </c>
      <c r="AM22" s="6" t="s">
        <v>15</v>
      </c>
      <c r="AN22" s="6" t="s">
        <v>16</v>
      </c>
      <c r="AO22" s="6" t="s">
        <v>74</v>
      </c>
      <c r="AP22" s="6" t="s">
        <v>15</v>
      </c>
      <c r="AQ22" s="6" t="s">
        <v>16</v>
      </c>
      <c r="AR22" s="6" t="s">
        <v>74</v>
      </c>
      <c r="AS22" s="6" t="s">
        <v>15</v>
      </c>
      <c r="AT22" s="6" t="s">
        <v>16</v>
      </c>
    </row>
    <row r="23" spans="1:51" ht="14.95" customHeight="1" thickBot="1" x14ac:dyDescent="0.3">
      <c r="A23" s="326" t="s">
        <v>139</v>
      </c>
      <c r="B23" s="177">
        <v>1</v>
      </c>
      <c r="C23" s="362">
        <v>0</v>
      </c>
      <c r="D23" s="226">
        <v>0</v>
      </c>
      <c r="E23" s="178">
        <f t="shared" si="0"/>
        <v>1</v>
      </c>
      <c r="F23" s="328" t="s">
        <v>139</v>
      </c>
      <c r="G23" s="138">
        <v>5</v>
      </c>
      <c r="H23" s="364">
        <v>0</v>
      </c>
      <c r="I23" s="228">
        <v>0</v>
      </c>
      <c r="J23" s="139">
        <f t="shared" si="1"/>
        <v>5</v>
      </c>
      <c r="K23" s="325" t="s">
        <v>751</v>
      </c>
      <c r="L23" s="157" t="s">
        <v>21</v>
      </c>
      <c r="M23" s="157" t="s">
        <v>21</v>
      </c>
      <c r="N23" s="156" t="s">
        <v>21</v>
      </c>
      <c r="O23" s="7">
        <v>17</v>
      </c>
      <c r="P23" s="7">
        <v>19</v>
      </c>
      <c r="Q23" s="156">
        <v>89.473684210526315</v>
      </c>
      <c r="R23" s="7" t="s">
        <v>21</v>
      </c>
      <c r="S23" s="7" t="s">
        <v>21</v>
      </c>
      <c r="T23" s="156" t="s">
        <v>21</v>
      </c>
      <c r="U23" s="7" t="s">
        <v>21</v>
      </c>
      <c r="V23" s="7" t="s">
        <v>21</v>
      </c>
      <c r="W23" s="156" t="s">
        <v>21</v>
      </c>
      <c r="AC23" s="151">
        <v>17</v>
      </c>
      <c r="AD23" s="7">
        <v>20</v>
      </c>
      <c r="AE23" s="156">
        <f t="shared" ref="AE23" si="13">SUM(AC23/AD23)*100</f>
        <v>85</v>
      </c>
      <c r="AF23" s="151">
        <v>4</v>
      </c>
      <c r="AG23" s="7">
        <v>4</v>
      </c>
      <c r="AH23" s="7">
        <v>100</v>
      </c>
      <c r="AI23" s="151">
        <v>5</v>
      </c>
      <c r="AJ23" s="7">
        <v>6</v>
      </c>
      <c r="AK23" s="156">
        <f t="shared" ref="AK23" si="14">SUM(AI23/AJ23)*100</f>
        <v>83.333333333333343</v>
      </c>
      <c r="AL23" s="151" t="s">
        <v>21</v>
      </c>
      <c r="AM23" s="7" t="s">
        <v>21</v>
      </c>
      <c r="AN23" s="7" t="s">
        <v>21</v>
      </c>
      <c r="AO23" s="151">
        <v>6</v>
      </c>
      <c r="AP23" s="7">
        <v>16</v>
      </c>
      <c r="AQ23" s="156">
        <f>SUM(AO23/AP23)*100</f>
        <v>37.5</v>
      </c>
      <c r="AR23" s="7" t="s">
        <v>21</v>
      </c>
      <c r="AS23" s="7" t="s">
        <v>21</v>
      </c>
      <c r="AT23" s="151" t="s">
        <v>21</v>
      </c>
    </row>
    <row r="24" spans="1:51" ht="14.95" customHeight="1" thickBot="1" x14ac:dyDescent="0.3">
      <c r="A24" s="326" t="s">
        <v>309</v>
      </c>
      <c r="B24" s="177">
        <v>3</v>
      </c>
      <c r="C24" s="362">
        <v>0</v>
      </c>
      <c r="D24" s="226">
        <v>0</v>
      </c>
      <c r="E24" s="178">
        <f t="shared" si="0"/>
        <v>3</v>
      </c>
      <c r="F24" s="328" t="s">
        <v>309</v>
      </c>
      <c r="G24" s="138">
        <v>15</v>
      </c>
      <c r="H24" s="364">
        <v>0</v>
      </c>
      <c r="I24" s="228">
        <v>0</v>
      </c>
      <c r="J24" s="139">
        <f t="shared" si="1"/>
        <v>15</v>
      </c>
      <c r="K24" s="325" t="s">
        <v>147</v>
      </c>
      <c r="L24" s="157" t="s">
        <v>21</v>
      </c>
      <c r="M24" s="157" t="s">
        <v>21</v>
      </c>
      <c r="N24" s="156" t="s">
        <v>21</v>
      </c>
      <c r="O24" s="7">
        <v>2</v>
      </c>
      <c r="P24" s="7">
        <v>6</v>
      </c>
      <c r="Q24" s="156">
        <v>33.333333333333329</v>
      </c>
      <c r="R24" s="7" t="s">
        <v>21</v>
      </c>
      <c r="S24" s="7" t="s">
        <v>21</v>
      </c>
      <c r="T24" s="156" t="s">
        <v>21</v>
      </c>
      <c r="U24" s="7" t="s">
        <v>21</v>
      </c>
      <c r="V24" s="7" t="s">
        <v>21</v>
      </c>
      <c r="W24" s="156" t="s">
        <v>21</v>
      </c>
      <c r="AC24" s="6" t="s">
        <v>21</v>
      </c>
      <c r="AD24" s="155" t="s">
        <v>21</v>
      </c>
      <c r="AE24" s="154" t="s">
        <v>21</v>
      </c>
      <c r="AF24" s="6" t="s">
        <v>21</v>
      </c>
      <c r="AG24" s="7" t="s">
        <v>21</v>
      </c>
      <c r="AH24" s="156" t="s">
        <v>21</v>
      </c>
      <c r="AI24" s="7" t="s">
        <v>21</v>
      </c>
      <c r="AJ24" s="7" t="s">
        <v>21</v>
      </c>
      <c r="AK24" s="156" t="s">
        <v>21</v>
      </c>
      <c r="AL24" s="7" t="s">
        <v>21</v>
      </c>
      <c r="AM24" s="7" t="s">
        <v>21</v>
      </c>
      <c r="AN24" s="156" t="s">
        <v>21</v>
      </c>
      <c r="AO24" s="7" t="s">
        <v>21</v>
      </c>
      <c r="AP24" s="7" t="s">
        <v>21</v>
      </c>
      <c r="AQ24" s="156" t="s">
        <v>21</v>
      </c>
      <c r="AR24" s="7" t="s">
        <v>21</v>
      </c>
      <c r="AS24" s="7" t="s">
        <v>21</v>
      </c>
      <c r="AT24" s="156" t="s">
        <v>21</v>
      </c>
    </row>
    <row r="25" spans="1:51" ht="14.95" customHeight="1" thickBot="1" x14ac:dyDescent="0.3">
      <c r="A25" s="326" t="s">
        <v>31</v>
      </c>
      <c r="B25" s="177">
        <v>0</v>
      </c>
      <c r="C25" s="362">
        <v>0</v>
      </c>
      <c r="D25" s="226">
        <v>1</v>
      </c>
      <c r="E25" s="178">
        <f t="shared" si="0"/>
        <v>1</v>
      </c>
      <c r="F25" s="328" t="s">
        <v>31</v>
      </c>
      <c r="G25" s="138">
        <v>0</v>
      </c>
      <c r="H25" s="364">
        <v>0</v>
      </c>
      <c r="I25" s="228">
        <v>5</v>
      </c>
      <c r="J25" s="139">
        <f t="shared" si="1"/>
        <v>5</v>
      </c>
      <c r="K25" s="325" t="s">
        <v>6</v>
      </c>
      <c r="L25" s="157" t="s">
        <v>21</v>
      </c>
      <c r="M25" s="157" t="s">
        <v>21</v>
      </c>
      <c r="N25" s="156" t="s">
        <v>21</v>
      </c>
      <c r="O25" s="7">
        <v>0</v>
      </c>
      <c r="P25" s="7">
        <v>1</v>
      </c>
      <c r="Q25" s="156">
        <v>0</v>
      </c>
      <c r="R25" s="7" t="s">
        <v>21</v>
      </c>
      <c r="S25" s="7" t="s">
        <v>21</v>
      </c>
      <c r="T25" s="156" t="s">
        <v>21</v>
      </c>
      <c r="U25" s="7" t="s">
        <v>21</v>
      </c>
      <c r="V25" s="7" t="s">
        <v>21</v>
      </c>
      <c r="W25" s="156" t="s">
        <v>21</v>
      </c>
      <c r="AC25" s="151" t="s">
        <v>21</v>
      </c>
      <c r="AD25" s="7" t="s">
        <v>21</v>
      </c>
      <c r="AE25" s="156" t="s">
        <v>21</v>
      </c>
      <c r="AF25" s="6" t="s">
        <v>21</v>
      </c>
      <c r="AG25" s="7" t="s">
        <v>21</v>
      </c>
      <c r="AH25" s="156" t="s">
        <v>21</v>
      </c>
      <c r="AI25" s="7" t="s">
        <v>21</v>
      </c>
      <c r="AJ25" s="7" t="s">
        <v>21</v>
      </c>
      <c r="AK25" s="156" t="s">
        <v>21</v>
      </c>
      <c r="AL25" s="7" t="s">
        <v>21</v>
      </c>
      <c r="AM25" s="7" t="s">
        <v>21</v>
      </c>
      <c r="AN25" s="156" t="s">
        <v>21</v>
      </c>
      <c r="AO25" s="7" t="s">
        <v>21</v>
      </c>
      <c r="AP25" s="7" t="s">
        <v>21</v>
      </c>
      <c r="AQ25" s="156" t="s">
        <v>21</v>
      </c>
      <c r="AR25" s="7" t="s">
        <v>21</v>
      </c>
      <c r="AS25" s="7" t="s">
        <v>21</v>
      </c>
      <c r="AT25" s="156" t="s">
        <v>21</v>
      </c>
    </row>
    <row r="26" spans="1:51" ht="14.95" customHeight="1" thickBot="1" x14ac:dyDescent="0.3">
      <c r="A26" s="326" t="s">
        <v>814</v>
      </c>
      <c r="B26" s="177">
        <v>5</v>
      </c>
      <c r="C26" s="362">
        <v>1</v>
      </c>
      <c r="D26" s="226">
        <v>4</v>
      </c>
      <c r="E26" s="178">
        <f t="shared" si="0"/>
        <v>10</v>
      </c>
      <c r="F26" s="328" t="s">
        <v>814</v>
      </c>
      <c r="G26" s="138">
        <v>25</v>
      </c>
      <c r="H26" s="364">
        <v>5</v>
      </c>
      <c r="I26" s="228">
        <v>20</v>
      </c>
      <c r="J26" s="139">
        <f t="shared" si="1"/>
        <v>50</v>
      </c>
      <c r="O26" s="101"/>
      <c r="P26" s="101"/>
      <c r="Q26" s="101"/>
      <c r="R26" s="101"/>
      <c r="S26" s="101"/>
      <c r="T26" s="101"/>
      <c r="U26" s="101"/>
      <c r="V26" s="101"/>
      <c r="W26" s="101"/>
    </row>
    <row r="27" spans="1:51" ht="14.95" customHeight="1" thickBot="1" x14ac:dyDescent="0.3">
      <c r="A27" s="326" t="s">
        <v>1005</v>
      </c>
      <c r="B27" s="177">
        <v>3</v>
      </c>
      <c r="C27" s="362">
        <v>0</v>
      </c>
      <c r="D27" s="226">
        <v>0</v>
      </c>
      <c r="E27" s="178">
        <f t="shared" si="0"/>
        <v>3</v>
      </c>
      <c r="F27" s="328" t="s">
        <v>1005</v>
      </c>
      <c r="G27" s="138">
        <v>19</v>
      </c>
      <c r="H27" s="364">
        <v>0</v>
      </c>
      <c r="I27" s="228">
        <v>0</v>
      </c>
      <c r="J27" s="139">
        <f t="shared" si="1"/>
        <v>19</v>
      </c>
      <c r="K27" s="463" t="s">
        <v>153</v>
      </c>
      <c r="L27" s="436" t="s">
        <v>20</v>
      </c>
      <c r="M27" s="437"/>
      <c r="N27" s="438"/>
      <c r="O27" s="422" t="s">
        <v>365</v>
      </c>
      <c r="P27" s="423"/>
      <c r="Q27" s="424"/>
      <c r="R27" s="422" t="s">
        <v>854</v>
      </c>
      <c r="S27" s="423"/>
      <c r="T27" s="424"/>
      <c r="U27" s="422" t="s">
        <v>518</v>
      </c>
      <c r="V27" s="423"/>
      <c r="W27" s="424"/>
      <c r="AC27" s="422" t="s">
        <v>356</v>
      </c>
      <c r="AD27" s="423"/>
      <c r="AE27" s="424"/>
      <c r="AF27" s="428" t="s">
        <v>272</v>
      </c>
      <c r="AG27" s="429"/>
      <c r="AH27" s="430"/>
      <c r="AI27" s="422" t="s">
        <v>115</v>
      </c>
      <c r="AJ27" s="423"/>
      <c r="AK27" s="424"/>
      <c r="AL27" s="217"/>
    </row>
    <row r="28" spans="1:51" ht="14.95" customHeight="1" thickBot="1" x14ac:dyDescent="0.3">
      <c r="A28" s="326" t="s">
        <v>822</v>
      </c>
      <c r="B28" s="177">
        <v>0</v>
      </c>
      <c r="C28" s="362">
        <v>0</v>
      </c>
      <c r="D28" s="226">
        <v>0</v>
      </c>
      <c r="E28" s="178">
        <f t="shared" si="0"/>
        <v>0</v>
      </c>
      <c r="F28" s="328" t="s">
        <v>822</v>
      </c>
      <c r="G28" s="138">
        <v>0</v>
      </c>
      <c r="H28" s="364">
        <v>0</v>
      </c>
      <c r="I28" s="228">
        <v>0</v>
      </c>
      <c r="J28" s="139">
        <f t="shared" si="1"/>
        <v>0</v>
      </c>
      <c r="K28" s="464"/>
      <c r="L28" s="439"/>
      <c r="M28" s="440"/>
      <c r="N28" s="441"/>
      <c r="O28" s="425"/>
      <c r="P28" s="426"/>
      <c r="Q28" s="427"/>
      <c r="R28" s="425"/>
      <c r="S28" s="426"/>
      <c r="T28" s="427"/>
      <c r="U28" s="425"/>
      <c r="V28" s="426"/>
      <c r="W28" s="427"/>
      <c r="AC28" s="425"/>
      <c r="AD28" s="426"/>
      <c r="AE28" s="427"/>
      <c r="AF28" s="431"/>
      <c r="AG28" s="432"/>
      <c r="AH28" s="433"/>
      <c r="AI28" s="425"/>
      <c r="AJ28" s="426"/>
      <c r="AK28" s="427"/>
      <c r="AL28" s="93"/>
    </row>
    <row r="29" spans="1:51" ht="14.95" customHeight="1" thickBot="1" x14ac:dyDescent="0.3">
      <c r="A29" s="326" t="s">
        <v>140</v>
      </c>
      <c r="B29" s="177">
        <v>0</v>
      </c>
      <c r="C29" s="362">
        <v>0</v>
      </c>
      <c r="D29" s="226">
        <v>0</v>
      </c>
      <c r="E29" s="178">
        <f t="shared" si="0"/>
        <v>0</v>
      </c>
      <c r="F29" s="328" t="s">
        <v>140</v>
      </c>
      <c r="G29" s="138">
        <v>0</v>
      </c>
      <c r="H29" s="364">
        <v>0</v>
      </c>
      <c r="I29" s="228">
        <v>0</v>
      </c>
      <c r="J29" s="139">
        <f t="shared" si="1"/>
        <v>0</v>
      </c>
      <c r="K29" s="235" t="s">
        <v>30</v>
      </c>
      <c r="L29" s="3" t="s">
        <v>74</v>
      </c>
      <c r="M29" s="3" t="s">
        <v>15</v>
      </c>
      <c r="N29" s="3" t="s">
        <v>16</v>
      </c>
      <c r="O29" s="7" t="s">
        <v>74</v>
      </c>
      <c r="P29" s="7" t="s">
        <v>15</v>
      </c>
      <c r="Q29" s="7" t="s">
        <v>16</v>
      </c>
      <c r="R29" s="7" t="s">
        <v>74</v>
      </c>
      <c r="S29" s="7" t="s">
        <v>15</v>
      </c>
      <c r="T29" s="7" t="s">
        <v>16</v>
      </c>
      <c r="U29" s="159" t="s">
        <v>74</v>
      </c>
      <c r="V29" s="159" t="s">
        <v>15</v>
      </c>
      <c r="W29" s="159" t="s">
        <v>16</v>
      </c>
      <c r="AC29" s="6" t="s">
        <v>74</v>
      </c>
      <c r="AD29" s="6" t="s">
        <v>15</v>
      </c>
      <c r="AE29" s="6" t="s">
        <v>16</v>
      </c>
      <c r="AF29" s="98" t="s">
        <v>74</v>
      </c>
      <c r="AG29" s="98" t="s">
        <v>15</v>
      </c>
      <c r="AH29" s="98" t="s">
        <v>16</v>
      </c>
      <c r="AI29" s="6" t="s">
        <v>74</v>
      </c>
      <c r="AJ29" s="7" t="s">
        <v>15</v>
      </c>
      <c r="AK29" s="7" t="s">
        <v>16</v>
      </c>
      <c r="AL29" s="93"/>
      <c r="AR29" s="4"/>
    </row>
    <row r="30" spans="1:51" ht="14.95" customHeight="1" thickBot="1" x14ac:dyDescent="0.3">
      <c r="A30" s="326" t="s">
        <v>522</v>
      </c>
      <c r="B30" s="177">
        <v>0</v>
      </c>
      <c r="C30" s="362">
        <v>0</v>
      </c>
      <c r="D30" s="226">
        <v>0</v>
      </c>
      <c r="E30" s="178">
        <f t="shared" si="0"/>
        <v>0</v>
      </c>
      <c r="F30" s="328" t="s">
        <v>522</v>
      </c>
      <c r="G30" s="138">
        <v>0</v>
      </c>
      <c r="H30" s="364">
        <v>0</v>
      </c>
      <c r="I30" s="229">
        <v>0</v>
      </c>
      <c r="J30" s="142">
        <f t="shared" si="1"/>
        <v>0</v>
      </c>
      <c r="K30" s="357" t="s">
        <v>670</v>
      </c>
      <c r="L30" s="355" t="s">
        <v>21</v>
      </c>
      <c r="M30" s="355" t="s">
        <v>21</v>
      </c>
      <c r="N30" s="356" t="s">
        <v>21</v>
      </c>
      <c r="O30" s="157" t="s">
        <v>21</v>
      </c>
      <c r="P30" s="157" t="s">
        <v>21</v>
      </c>
      <c r="Q30" s="156" t="s">
        <v>21</v>
      </c>
      <c r="R30" s="157">
        <v>2</v>
      </c>
      <c r="S30" s="157">
        <v>3</v>
      </c>
      <c r="T30" s="156">
        <f>(R30/S30)*100</f>
        <v>66.666666666666657</v>
      </c>
      <c r="U30" s="6" t="s">
        <v>21</v>
      </c>
      <c r="V30" s="6" t="s">
        <v>21</v>
      </c>
      <c r="W30" s="6" t="s">
        <v>21</v>
      </c>
      <c r="AC30" s="6" t="s">
        <v>21</v>
      </c>
      <c r="AD30" s="6" t="s">
        <v>21</v>
      </c>
      <c r="AE30" s="6" t="s">
        <v>21</v>
      </c>
      <c r="AF30" s="6" t="s">
        <v>21</v>
      </c>
      <c r="AG30" s="6" t="s">
        <v>21</v>
      </c>
      <c r="AH30" s="6" t="s">
        <v>21</v>
      </c>
      <c r="AI30" s="6" t="s">
        <v>21</v>
      </c>
      <c r="AJ30" s="6" t="s">
        <v>21</v>
      </c>
      <c r="AK30" s="6" t="s">
        <v>21</v>
      </c>
      <c r="AL30" s="93"/>
    </row>
    <row r="31" spans="1:51" ht="14.95" customHeight="1" thickBot="1" x14ac:dyDescent="0.3">
      <c r="A31" s="326" t="s">
        <v>447</v>
      </c>
      <c r="B31" s="177">
        <v>0</v>
      </c>
      <c r="C31" s="362">
        <v>0</v>
      </c>
      <c r="D31" s="226">
        <v>1</v>
      </c>
      <c r="E31" s="178">
        <f t="shared" si="0"/>
        <v>1</v>
      </c>
      <c r="F31" s="328" t="s">
        <v>447</v>
      </c>
      <c r="G31" s="138">
        <v>0</v>
      </c>
      <c r="H31" s="364">
        <v>0</v>
      </c>
      <c r="I31" s="229">
        <v>5</v>
      </c>
      <c r="J31" s="142">
        <f t="shared" si="1"/>
        <v>5</v>
      </c>
      <c r="K31" s="325" t="s">
        <v>751</v>
      </c>
      <c r="L31" s="355">
        <v>6</v>
      </c>
      <c r="M31" s="355">
        <v>11</v>
      </c>
      <c r="N31" s="356">
        <v>100</v>
      </c>
      <c r="O31" s="157" t="s">
        <v>21</v>
      </c>
      <c r="P31" s="157" t="s">
        <v>21</v>
      </c>
      <c r="Q31" s="156" t="s">
        <v>21</v>
      </c>
      <c r="R31" s="157" t="s">
        <v>21</v>
      </c>
      <c r="S31" s="157" t="s">
        <v>21</v>
      </c>
      <c r="T31" s="156" t="s">
        <v>21</v>
      </c>
      <c r="U31" s="157" t="s">
        <v>21</v>
      </c>
      <c r="V31" s="157" t="s">
        <v>21</v>
      </c>
      <c r="W31" s="156" t="s">
        <v>21</v>
      </c>
      <c r="AC31" s="6" t="s">
        <v>21</v>
      </c>
      <c r="AD31" s="157" t="s">
        <v>21</v>
      </c>
      <c r="AE31" s="156" t="s">
        <v>21</v>
      </c>
      <c r="AF31" s="157" t="s">
        <v>21</v>
      </c>
      <c r="AG31" s="157" t="s">
        <v>21</v>
      </c>
      <c r="AH31" s="156" t="s">
        <v>21</v>
      </c>
      <c r="AI31" s="157" t="s">
        <v>21</v>
      </c>
      <c r="AJ31" s="157" t="s">
        <v>21</v>
      </c>
      <c r="AK31" s="156" t="s">
        <v>21</v>
      </c>
      <c r="AL31" s="93"/>
    </row>
    <row r="32" spans="1:51" ht="14.95" customHeight="1" thickBot="1" x14ac:dyDescent="0.3">
      <c r="A32" s="326" t="s">
        <v>370</v>
      </c>
      <c r="B32" s="177">
        <v>4</v>
      </c>
      <c r="C32" s="362">
        <v>0</v>
      </c>
      <c r="D32" s="226">
        <v>0</v>
      </c>
      <c r="E32" s="178">
        <f t="shared" si="0"/>
        <v>4</v>
      </c>
      <c r="F32" s="328" t="s">
        <v>370</v>
      </c>
      <c r="G32" s="138">
        <v>20</v>
      </c>
      <c r="H32" s="364">
        <v>0</v>
      </c>
      <c r="I32" s="229">
        <v>0</v>
      </c>
      <c r="J32" s="142">
        <f t="shared" si="1"/>
        <v>20</v>
      </c>
      <c r="K32" s="357" t="s">
        <v>147</v>
      </c>
      <c r="L32" s="355">
        <v>8</v>
      </c>
      <c r="M32" s="355">
        <v>11</v>
      </c>
      <c r="N32" s="356">
        <v>73</v>
      </c>
      <c r="O32" s="157">
        <v>0</v>
      </c>
      <c r="P32" s="157">
        <v>1</v>
      </c>
      <c r="Q32" s="156">
        <v>0</v>
      </c>
      <c r="R32" s="157" t="s">
        <v>21</v>
      </c>
      <c r="S32" s="157" t="s">
        <v>21</v>
      </c>
      <c r="T32" s="156" t="s">
        <v>21</v>
      </c>
      <c r="U32" s="157">
        <v>4</v>
      </c>
      <c r="V32" s="157">
        <v>4</v>
      </c>
      <c r="W32" s="6">
        <f t="shared" ref="W32" si="15">SUM(U32/V32)*100</f>
        <v>100</v>
      </c>
      <c r="AC32" s="6">
        <v>8</v>
      </c>
      <c r="AD32" s="6">
        <v>9</v>
      </c>
      <c r="AE32" s="156">
        <f t="shared" ref="AE32" si="16">SUM(AC32/AD32)*100</f>
        <v>88.888888888888886</v>
      </c>
      <c r="AF32" s="271" t="s">
        <v>21</v>
      </c>
      <c r="AG32" s="271" t="s">
        <v>21</v>
      </c>
      <c r="AH32" s="271" t="s">
        <v>21</v>
      </c>
      <c r="AI32" s="6" t="s">
        <v>21</v>
      </c>
      <c r="AJ32" s="6" t="s">
        <v>21</v>
      </c>
      <c r="AK32" s="6" t="s">
        <v>21</v>
      </c>
      <c r="AL32" s="93"/>
      <c r="AR32" s="4"/>
    </row>
    <row r="33" spans="1:50" ht="14.95" customHeight="1" thickBot="1" x14ac:dyDescent="0.3">
      <c r="A33" s="326" t="s">
        <v>668</v>
      </c>
      <c r="B33" s="177">
        <v>5</v>
      </c>
      <c r="C33" s="362">
        <v>1</v>
      </c>
      <c r="D33" s="226">
        <v>2</v>
      </c>
      <c r="E33" s="178">
        <f t="shared" si="0"/>
        <v>8</v>
      </c>
      <c r="F33" s="328" t="s">
        <v>668</v>
      </c>
      <c r="G33" s="138">
        <v>25</v>
      </c>
      <c r="H33" s="364">
        <v>5</v>
      </c>
      <c r="I33" s="229">
        <v>10</v>
      </c>
      <c r="J33" s="142">
        <f t="shared" si="1"/>
        <v>40</v>
      </c>
      <c r="K33" s="325" t="s">
        <v>6</v>
      </c>
      <c r="L33" s="355">
        <v>2</v>
      </c>
      <c r="M33" s="355">
        <v>3</v>
      </c>
      <c r="N33" s="356">
        <v>67</v>
      </c>
      <c r="O33" s="157">
        <v>9</v>
      </c>
      <c r="P33" s="157">
        <v>12</v>
      </c>
      <c r="Q33" s="156">
        <v>75</v>
      </c>
      <c r="R33" s="157" t="s">
        <v>21</v>
      </c>
      <c r="S33" s="157" t="s">
        <v>21</v>
      </c>
      <c r="T33" s="156" t="s">
        <v>21</v>
      </c>
      <c r="U33" s="157" t="s">
        <v>21</v>
      </c>
      <c r="V33" s="157" t="s">
        <v>21</v>
      </c>
      <c r="W33" s="156" t="s">
        <v>21</v>
      </c>
      <c r="AC33" s="6" t="s">
        <v>21</v>
      </c>
      <c r="AD33" s="157" t="s">
        <v>21</v>
      </c>
      <c r="AE33" s="156" t="s">
        <v>21</v>
      </c>
      <c r="AF33" s="6" t="s">
        <v>21</v>
      </c>
      <c r="AG33" s="157" t="s">
        <v>21</v>
      </c>
      <c r="AH33" s="156" t="s">
        <v>21</v>
      </c>
      <c r="AI33" s="157" t="s">
        <v>21</v>
      </c>
      <c r="AJ33" s="157" t="s">
        <v>21</v>
      </c>
      <c r="AK33" s="156" t="s">
        <v>21</v>
      </c>
      <c r="AL33" s="93"/>
      <c r="AR33" s="4"/>
    </row>
    <row r="34" spans="1:50" ht="14.95" customHeight="1" thickBot="1" x14ac:dyDescent="0.3">
      <c r="A34" s="326" t="s">
        <v>141</v>
      </c>
      <c r="B34" s="177">
        <v>0</v>
      </c>
      <c r="C34" s="362">
        <v>0</v>
      </c>
      <c r="D34" s="226">
        <v>0</v>
      </c>
      <c r="E34" s="178">
        <f t="shared" si="0"/>
        <v>0</v>
      </c>
      <c r="F34" s="328" t="s">
        <v>141</v>
      </c>
      <c r="G34" s="138">
        <v>0</v>
      </c>
      <c r="H34" s="364">
        <v>0</v>
      </c>
      <c r="I34" s="229">
        <v>0</v>
      </c>
      <c r="J34" s="142">
        <f t="shared" si="1"/>
        <v>0</v>
      </c>
      <c r="K34" s="357" t="s">
        <v>525</v>
      </c>
      <c r="L34" s="355" t="s">
        <v>21</v>
      </c>
      <c r="M34" s="355" t="s">
        <v>21</v>
      </c>
      <c r="N34" s="356" t="s">
        <v>21</v>
      </c>
      <c r="O34" s="157" t="s">
        <v>21</v>
      </c>
      <c r="P34" s="157" t="s">
        <v>21</v>
      </c>
      <c r="Q34" s="156" t="s">
        <v>21</v>
      </c>
      <c r="R34" s="157">
        <v>1</v>
      </c>
      <c r="S34" s="157">
        <v>2</v>
      </c>
      <c r="T34" s="156">
        <f>(R34/S34)*100</f>
        <v>50</v>
      </c>
      <c r="U34" s="6" t="s">
        <v>21</v>
      </c>
      <c r="V34" s="6" t="s">
        <v>21</v>
      </c>
      <c r="W34" s="6" t="s">
        <v>21</v>
      </c>
      <c r="AC34" s="6" t="s">
        <v>21</v>
      </c>
      <c r="AD34" s="6" t="s">
        <v>21</v>
      </c>
      <c r="AE34" s="6" t="s">
        <v>21</v>
      </c>
      <c r="AF34" s="6" t="s">
        <v>21</v>
      </c>
      <c r="AG34" s="6" t="s">
        <v>21</v>
      </c>
      <c r="AH34" s="6" t="s">
        <v>21</v>
      </c>
      <c r="AI34" s="6" t="s">
        <v>21</v>
      </c>
      <c r="AJ34" s="6" t="s">
        <v>21</v>
      </c>
      <c r="AK34" s="6" t="s">
        <v>21</v>
      </c>
      <c r="AL34" s="93"/>
      <c r="AR34" s="4"/>
    </row>
    <row r="35" spans="1:50" ht="14.95" customHeight="1" thickBot="1" x14ac:dyDescent="0.3">
      <c r="A35" s="326" t="s">
        <v>963</v>
      </c>
      <c r="B35" s="177">
        <v>0</v>
      </c>
      <c r="C35" s="362">
        <v>1</v>
      </c>
      <c r="D35" s="226">
        <v>0</v>
      </c>
      <c r="E35" s="178">
        <f t="shared" si="0"/>
        <v>1</v>
      </c>
      <c r="F35" s="328" t="s">
        <v>963</v>
      </c>
      <c r="G35" s="138">
        <v>0</v>
      </c>
      <c r="H35" s="364">
        <v>5</v>
      </c>
      <c r="I35" s="229">
        <v>0</v>
      </c>
      <c r="J35" s="142">
        <f t="shared" si="1"/>
        <v>5</v>
      </c>
      <c r="K35" s="325" t="s">
        <v>755</v>
      </c>
      <c r="L35" s="355">
        <v>8</v>
      </c>
      <c r="M35" s="355">
        <v>9</v>
      </c>
      <c r="N35" s="356">
        <v>89</v>
      </c>
      <c r="O35" s="6">
        <v>0</v>
      </c>
      <c r="P35" s="6">
        <v>3</v>
      </c>
      <c r="Q35" s="160">
        <v>0</v>
      </c>
      <c r="R35" s="6" t="s">
        <v>21</v>
      </c>
      <c r="S35" s="6" t="s">
        <v>21</v>
      </c>
      <c r="T35" s="160" t="s">
        <v>21</v>
      </c>
      <c r="U35" s="6" t="s">
        <v>21</v>
      </c>
      <c r="V35" s="6" t="s">
        <v>21</v>
      </c>
      <c r="W35" s="160" t="s">
        <v>21</v>
      </c>
      <c r="AC35" s="6" t="s">
        <v>21</v>
      </c>
      <c r="AD35" s="6" t="s">
        <v>21</v>
      </c>
      <c r="AE35" s="156" t="s">
        <v>21</v>
      </c>
      <c r="AF35" s="6" t="s">
        <v>21</v>
      </c>
      <c r="AG35" s="6" t="s">
        <v>21</v>
      </c>
      <c r="AH35" s="156" t="s">
        <v>21</v>
      </c>
      <c r="AI35" s="6" t="s">
        <v>21</v>
      </c>
      <c r="AJ35" s="6" t="s">
        <v>21</v>
      </c>
      <c r="AK35" s="156" t="s">
        <v>21</v>
      </c>
      <c r="AR35" s="4"/>
    </row>
    <row r="36" spans="1:50" ht="14.95" customHeight="1" thickBot="1" x14ac:dyDescent="0.3">
      <c r="A36" s="326" t="s">
        <v>964</v>
      </c>
      <c r="B36" s="177">
        <v>0</v>
      </c>
      <c r="C36" s="362">
        <v>0</v>
      </c>
      <c r="D36" s="226">
        <v>0</v>
      </c>
      <c r="E36" s="178">
        <f t="shared" si="0"/>
        <v>0</v>
      </c>
      <c r="F36" s="328" t="s">
        <v>964</v>
      </c>
      <c r="G36" s="138">
        <v>0</v>
      </c>
      <c r="H36" s="364">
        <v>0</v>
      </c>
      <c r="I36" s="229">
        <v>0</v>
      </c>
      <c r="J36" s="142">
        <f t="shared" si="1"/>
        <v>0</v>
      </c>
      <c r="K36" s="459" t="s">
        <v>862</v>
      </c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275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</row>
    <row r="37" spans="1:50" ht="14.95" customHeight="1" thickBot="1" x14ac:dyDescent="0.3">
      <c r="A37" s="326" t="s">
        <v>142</v>
      </c>
      <c r="B37" s="177">
        <v>0</v>
      </c>
      <c r="C37" s="362">
        <v>1</v>
      </c>
      <c r="D37" s="226">
        <v>0</v>
      </c>
      <c r="E37" s="178">
        <f t="shared" si="0"/>
        <v>1</v>
      </c>
      <c r="F37" s="328" t="s">
        <v>142</v>
      </c>
      <c r="G37" s="138">
        <v>0</v>
      </c>
      <c r="H37" s="364">
        <v>5</v>
      </c>
      <c r="I37" s="229">
        <v>0</v>
      </c>
      <c r="J37" s="142">
        <f t="shared" si="1"/>
        <v>5</v>
      </c>
      <c r="K37" s="358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</row>
    <row r="38" spans="1:50" ht="14.95" customHeight="1" thickBot="1" x14ac:dyDescent="0.3">
      <c r="A38" s="326" t="s">
        <v>79</v>
      </c>
      <c r="B38" s="177">
        <v>1</v>
      </c>
      <c r="C38" s="362">
        <v>0</v>
      </c>
      <c r="D38" s="226">
        <v>0</v>
      </c>
      <c r="E38" s="178">
        <f t="shared" si="0"/>
        <v>1</v>
      </c>
      <c r="F38" s="328" t="s">
        <v>79</v>
      </c>
      <c r="G38" s="138">
        <v>78</v>
      </c>
      <c r="H38" s="364">
        <v>5</v>
      </c>
      <c r="I38" s="229">
        <v>13</v>
      </c>
      <c r="J38" s="142">
        <f t="shared" si="1"/>
        <v>96</v>
      </c>
      <c r="X38" s="95"/>
      <c r="Y38" s="95"/>
      <c r="Z38" s="95"/>
      <c r="AR38" s="63"/>
      <c r="AS38" s="63"/>
      <c r="AT38" s="63"/>
    </row>
    <row r="39" spans="1:50" ht="14.95" customHeight="1" thickBot="1" x14ac:dyDescent="0.3">
      <c r="A39" s="326" t="s">
        <v>536</v>
      </c>
      <c r="B39" s="177">
        <v>5</v>
      </c>
      <c r="C39" s="362">
        <v>0</v>
      </c>
      <c r="D39" s="226">
        <v>0</v>
      </c>
      <c r="E39" s="178">
        <f t="shared" si="0"/>
        <v>5</v>
      </c>
      <c r="F39" s="328" t="s">
        <v>536</v>
      </c>
      <c r="G39" s="138">
        <v>25</v>
      </c>
      <c r="H39" s="364">
        <v>0</v>
      </c>
      <c r="I39" s="229">
        <v>0</v>
      </c>
      <c r="J39" s="142">
        <f t="shared" si="1"/>
        <v>25</v>
      </c>
      <c r="X39" s="95"/>
      <c r="Y39" s="95"/>
      <c r="Z39" s="95"/>
      <c r="AM39" s="4"/>
      <c r="AN39" s="4"/>
    </row>
    <row r="40" spans="1:50" ht="14.95" customHeight="1" thickBot="1" x14ac:dyDescent="0.3">
      <c r="A40" s="326" t="s">
        <v>874</v>
      </c>
      <c r="B40" s="177">
        <v>2</v>
      </c>
      <c r="C40" s="362">
        <v>1</v>
      </c>
      <c r="D40" s="226">
        <v>4</v>
      </c>
      <c r="E40" s="178">
        <f t="shared" ref="E40" si="17">SUM(B40:D40)</f>
        <v>7</v>
      </c>
      <c r="F40" s="328" t="s">
        <v>874</v>
      </c>
      <c r="G40" s="138">
        <v>10</v>
      </c>
      <c r="H40" s="364">
        <v>5</v>
      </c>
      <c r="I40" s="229">
        <v>20</v>
      </c>
      <c r="J40" s="142">
        <f t="shared" ref="J40" si="18">SUM(G40:I40)</f>
        <v>35</v>
      </c>
      <c r="Z40" s="95"/>
      <c r="AX40" s="331"/>
    </row>
    <row r="41" spans="1:50" ht="14.95" customHeight="1" thickBot="1" x14ac:dyDescent="0.3">
      <c r="A41" s="326" t="s">
        <v>143</v>
      </c>
      <c r="B41" s="177">
        <v>0</v>
      </c>
      <c r="C41" s="362">
        <v>0</v>
      </c>
      <c r="D41" s="226">
        <v>0</v>
      </c>
      <c r="E41" s="178">
        <f t="shared" si="0"/>
        <v>0</v>
      </c>
      <c r="F41" s="328" t="s">
        <v>143</v>
      </c>
      <c r="G41" s="138">
        <v>0</v>
      </c>
      <c r="H41" s="364">
        <v>0</v>
      </c>
      <c r="I41" s="228">
        <v>0</v>
      </c>
      <c r="J41" s="139">
        <f t="shared" si="1"/>
        <v>0</v>
      </c>
      <c r="Z41" s="95"/>
    </row>
    <row r="42" spans="1:50" ht="14.95" customHeight="1" thickBot="1" x14ac:dyDescent="0.3">
      <c r="A42" s="326" t="s">
        <v>372</v>
      </c>
      <c r="B42" s="177">
        <v>1</v>
      </c>
      <c r="C42" s="362">
        <v>0</v>
      </c>
      <c r="D42" s="226">
        <v>0</v>
      </c>
      <c r="E42" s="178">
        <f t="shared" si="0"/>
        <v>1</v>
      </c>
      <c r="F42" s="328" t="s">
        <v>372</v>
      </c>
      <c r="G42" s="138">
        <v>5</v>
      </c>
      <c r="H42" s="364">
        <v>0</v>
      </c>
      <c r="I42" s="228">
        <v>0</v>
      </c>
      <c r="J42" s="139">
        <f t="shared" si="1"/>
        <v>5</v>
      </c>
      <c r="Z42" s="95"/>
    </row>
    <row r="43" spans="1:50" ht="14.95" thickBot="1" x14ac:dyDescent="0.3">
      <c r="A43" s="326" t="s">
        <v>144</v>
      </c>
      <c r="B43" s="177">
        <v>0</v>
      </c>
      <c r="C43" s="362">
        <v>0</v>
      </c>
      <c r="D43" s="226">
        <v>1</v>
      </c>
      <c r="E43" s="178">
        <f t="shared" si="0"/>
        <v>1</v>
      </c>
      <c r="F43" s="328" t="s">
        <v>144</v>
      </c>
      <c r="G43" s="138">
        <v>0</v>
      </c>
      <c r="H43" s="364">
        <v>0</v>
      </c>
      <c r="I43" s="228">
        <v>5</v>
      </c>
      <c r="J43" s="139">
        <f t="shared" si="1"/>
        <v>5</v>
      </c>
    </row>
    <row r="44" spans="1:50" ht="14.95" thickBot="1" x14ac:dyDescent="0.3">
      <c r="A44" s="326" t="s">
        <v>957</v>
      </c>
      <c r="B44" s="177">
        <v>5</v>
      </c>
      <c r="C44" s="362">
        <v>1</v>
      </c>
      <c r="D44" s="226">
        <v>0</v>
      </c>
      <c r="E44" s="178">
        <f t="shared" si="0"/>
        <v>6</v>
      </c>
      <c r="F44" s="328" t="s">
        <v>957</v>
      </c>
      <c r="G44" s="138">
        <v>25</v>
      </c>
      <c r="H44" s="364">
        <v>5</v>
      </c>
      <c r="I44" s="228">
        <v>0</v>
      </c>
      <c r="J44" s="139">
        <f t="shared" si="1"/>
        <v>30</v>
      </c>
    </row>
    <row r="45" spans="1:50" ht="14.95" customHeight="1" thickBot="1" x14ac:dyDescent="0.3">
      <c r="A45" s="326" t="s">
        <v>876</v>
      </c>
      <c r="B45" s="177">
        <v>0</v>
      </c>
      <c r="C45" s="362">
        <v>0</v>
      </c>
      <c r="D45" s="226">
        <v>2</v>
      </c>
      <c r="E45" s="178">
        <f t="shared" ref="E45" si="19">SUM(B45:D45)</f>
        <v>2</v>
      </c>
      <c r="F45" s="328" t="s">
        <v>876</v>
      </c>
      <c r="G45" s="138">
        <v>0</v>
      </c>
      <c r="H45" s="364">
        <v>0</v>
      </c>
      <c r="I45" s="228">
        <v>10</v>
      </c>
      <c r="J45" s="139">
        <f t="shared" ref="J45" si="20">SUM(G45:I45)</f>
        <v>10</v>
      </c>
    </row>
    <row r="46" spans="1:50" ht="14.95" thickBot="1" x14ac:dyDescent="0.3">
      <c r="A46" s="326" t="s">
        <v>5</v>
      </c>
      <c r="B46" s="177">
        <v>0</v>
      </c>
      <c r="C46" s="362">
        <v>1</v>
      </c>
      <c r="D46" s="226">
        <v>0</v>
      </c>
      <c r="E46" s="178">
        <f t="shared" si="0"/>
        <v>1</v>
      </c>
      <c r="F46" s="328" t="s">
        <v>5</v>
      </c>
      <c r="G46" s="138">
        <v>0</v>
      </c>
      <c r="H46" s="364">
        <v>7</v>
      </c>
      <c r="I46" s="228">
        <v>0</v>
      </c>
      <c r="J46" s="139">
        <f t="shared" si="1"/>
        <v>7</v>
      </c>
      <c r="AI46" s="4"/>
    </row>
    <row r="47" spans="1:50" ht="14.95" thickBot="1" x14ac:dyDescent="0.3">
      <c r="A47" s="326" t="s">
        <v>524</v>
      </c>
      <c r="B47" s="177">
        <v>0</v>
      </c>
      <c r="C47" s="362">
        <v>0</v>
      </c>
      <c r="D47" s="226">
        <v>0</v>
      </c>
      <c r="E47" s="178">
        <f t="shared" si="0"/>
        <v>0</v>
      </c>
      <c r="F47" s="328" t="s">
        <v>524</v>
      </c>
      <c r="G47" s="138">
        <v>0</v>
      </c>
      <c r="H47" s="364">
        <v>0</v>
      </c>
      <c r="I47" s="228">
        <v>0</v>
      </c>
      <c r="J47" s="139">
        <f t="shared" si="1"/>
        <v>0</v>
      </c>
    </row>
    <row r="48" spans="1:50" ht="14.95" thickBot="1" x14ac:dyDescent="0.3">
      <c r="A48" s="326" t="s">
        <v>425</v>
      </c>
      <c r="B48" s="177">
        <v>0</v>
      </c>
      <c r="C48" s="362">
        <v>0</v>
      </c>
      <c r="D48" s="226">
        <v>0</v>
      </c>
      <c r="E48" s="178">
        <f t="shared" si="0"/>
        <v>0</v>
      </c>
      <c r="F48" s="328" t="s">
        <v>425</v>
      </c>
      <c r="G48" s="138">
        <v>0</v>
      </c>
      <c r="H48" s="364">
        <v>0</v>
      </c>
      <c r="I48" s="228">
        <v>0</v>
      </c>
      <c r="J48" s="139">
        <f t="shared" si="1"/>
        <v>0</v>
      </c>
    </row>
    <row r="49" spans="1:34" ht="14.95" thickBot="1" x14ac:dyDescent="0.3">
      <c r="A49" s="326" t="s">
        <v>321</v>
      </c>
      <c r="B49" s="177">
        <v>0</v>
      </c>
      <c r="C49" s="362">
        <v>0</v>
      </c>
      <c r="D49" s="226">
        <v>0</v>
      </c>
      <c r="E49" s="178">
        <f t="shared" si="0"/>
        <v>0</v>
      </c>
      <c r="F49" s="328" t="s">
        <v>321</v>
      </c>
      <c r="G49" s="138">
        <v>0</v>
      </c>
      <c r="H49" s="364">
        <v>0</v>
      </c>
      <c r="I49" s="228">
        <v>0</v>
      </c>
      <c r="J49" s="139">
        <f t="shared" si="1"/>
        <v>0</v>
      </c>
    </row>
    <row r="50" spans="1:34" ht="14.95" thickBot="1" x14ac:dyDescent="0.3">
      <c r="A50" s="326" t="s">
        <v>328</v>
      </c>
      <c r="B50" s="177">
        <v>0</v>
      </c>
      <c r="C50" s="362">
        <v>0</v>
      </c>
      <c r="D50" s="226">
        <v>0</v>
      </c>
      <c r="E50" s="178">
        <f t="shared" si="0"/>
        <v>0</v>
      </c>
      <c r="F50" s="328" t="s">
        <v>328</v>
      </c>
      <c r="G50" s="138">
        <v>0</v>
      </c>
      <c r="H50" s="364">
        <v>0</v>
      </c>
      <c r="I50" s="228">
        <v>0</v>
      </c>
      <c r="J50" s="139">
        <f t="shared" si="1"/>
        <v>0</v>
      </c>
      <c r="AF50" s="4"/>
      <c r="AG50" s="4"/>
      <c r="AH50" s="4"/>
    </row>
    <row r="51" spans="1:34" ht="14.95" customHeight="1" thickBot="1" x14ac:dyDescent="0.3">
      <c r="A51" s="326" t="s">
        <v>146</v>
      </c>
      <c r="B51" s="177">
        <v>5</v>
      </c>
      <c r="C51" s="362">
        <v>1</v>
      </c>
      <c r="D51" s="226">
        <v>0</v>
      </c>
      <c r="E51" s="178">
        <f t="shared" si="0"/>
        <v>6</v>
      </c>
      <c r="F51" s="328" t="s">
        <v>146</v>
      </c>
      <c r="G51" s="138">
        <v>25</v>
      </c>
      <c r="H51" s="364">
        <v>5</v>
      </c>
      <c r="I51" s="228">
        <v>0</v>
      </c>
      <c r="J51" s="139">
        <f t="shared" si="1"/>
        <v>30</v>
      </c>
    </row>
    <row r="52" spans="1:34" ht="14.95" customHeight="1" thickBot="1" x14ac:dyDescent="0.3">
      <c r="A52" s="326" t="s">
        <v>753</v>
      </c>
      <c r="B52" s="177">
        <v>0</v>
      </c>
      <c r="C52" s="362">
        <v>0</v>
      </c>
      <c r="D52" s="226">
        <v>1</v>
      </c>
      <c r="E52" s="178">
        <f t="shared" si="0"/>
        <v>1</v>
      </c>
      <c r="F52" s="328" t="s">
        <v>753</v>
      </c>
      <c r="G52" s="138">
        <v>0</v>
      </c>
      <c r="H52" s="364">
        <v>0</v>
      </c>
      <c r="I52" s="228">
        <v>5</v>
      </c>
      <c r="J52" s="139">
        <f t="shared" si="1"/>
        <v>5</v>
      </c>
    </row>
    <row r="53" spans="1:34" ht="14.95" thickBot="1" x14ac:dyDescent="0.3">
      <c r="A53" s="326" t="s">
        <v>147</v>
      </c>
      <c r="B53" s="177">
        <v>0</v>
      </c>
      <c r="C53" s="362">
        <v>0</v>
      </c>
      <c r="D53" s="226">
        <v>0</v>
      </c>
      <c r="E53" s="178">
        <f t="shared" si="0"/>
        <v>0</v>
      </c>
      <c r="F53" s="328" t="s">
        <v>147</v>
      </c>
      <c r="G53" s="138">
        <v>79</v>
      </c>
      <c r="H53" s="364">
        <v>11</v>
      </c>
      <c r="I53" s="228">
        <v>17</v>
      </c>
      <c r="J53" s="139">
        <f t="shared" si="1"/>
        <v>107</v>
      </c>
    </row>
    <row r="54" spans="1:34" ht="14.95" customHeight="1" thickBot="1" x14ac:dyDescent="0.3">
      <c r="A54" s="326" t="s">
        <v>49</v>
      </c>
      <c r="B54" s="177">
        <v>1</v>
      </c>
      <c r="C54" s="362">
        <v>0</v>
      </c>
      <c r="D54" s="226">
        <v>0</v>
      </c>
      <c r="E54" s="178">
        <f t="shared" si="0"/>
        <v>1</v>
      </c>
      <c r="F54" s="328" t="s">
        <v>49</v>
      </c>
      <c r="G54" s="138">
        <v>5</v>
      </c>
      <c r="H54" s="364">
        <v>0</v>
      </c>
      <c r="I54" s="228">
        <v>0</v>
      </c>
      <c r="J54" s="139">
        <f t="shared" si="1"/>
        <v>5</v>
      </c>
    </row>
    <row r="55" spans="1:34" ht="14.95" customHeight="1" thickBot="1" x14ac:dyDescent="0.3">
      <c r="A55" s="326" t="s">
        <v>636</v>
      </c>
      <c r="B55" s="177">
        <v>0</v>
      </c>
      <c r="C55" s="362">
        <v>0</v>
      </c>
      <c r="D55" s="226">
        <v>0</v>
      </c>
      <c r="E55" s="178">
        <f t="shared" si="0"/>
        <v>0</v>
      </c>
      <c r="F55" s="328" t="s">
        <v>636</v>
      </c>
      <c r="G55" s="138">
        <v>0</v>
      </c>
      <c r="H55" s="364">
        <v>0</v>
      </c>
      <c r="I55" s="228">
        <v>0</v>
      </c>
      <c r="J55" s="139">
        <f t="shared" si="1"/>
        <v>0</v>
      </c>
    </row>
    <row r="56" spans="1:34" ht="14.95" thickBot="1" x14ac:dyDescent="0.3">
      <c r="A56" s="326" t="s">
        <v>148</v>
      </c>
      <c r="B56" s="177">
        <v>7</v>
      </c>
      <c r="C56" s="362">
        <v>1</v>
      </c>
      <c r="D56" s="226">
        <v>4</v>
      </c>
      <c r="E56" s="178">
        <f t="shared" si="0"/>
        <v>12</v>
      </c>
      <c r="F56" s="328" t="s">
        <v>148</v>
      </c>
      <c r="G56" s="138">
        <v>35</v>
      </c>
      <c r="H56" s="364">
        <v>5</v>
      </c>
      <c r="I56" s="228">
        <v>20</v>
      </c>
      <c r="J56" s="139">
        <f t="shared" si="1"/>
        <v>60</v>
      </c>
    </row>
    <row r="57" spans="1:34" ht="14.95" thickBot="1" x14ac:dyDescent="0.3">
      <c r="A57" s="326" t="s">
        <v>149</v>
      </c>
      <c r="B57" s="177">
        <v>0</v>
      </c>
      <c r="C57" s="362">
        <v>0</v>
      </c>
      <c r="D57" s="226">
        <v>4</v>
      </c>
      <c r="E57" s="178">
        <f t="shared" si="0"/>
        <v>4</v>
      </c>
      <c r="F57" s="328" t="s">
        <v>149</v>
      </c>
      <c r="G57" s="138">
        <v>0</v>
      </c>
      <c r="H57" s="364">
        <v>0</v>
      </c>
      <c r="I57" s="228">
        <v>20</v>
      </c>
      <c r="J57" s="139">
        <f t="shared" si="1"/>
        <v>20</v>
      </c>
    </row>
    <row r="58" spans="1:34" ht="14.95" thickBot="1" x14ac:dyDescent="0.3">
      <c r="A58" s="326" t="s">
        <v>150</v>
      </c>
      <c r="B58" s="177">
        <v>0</v>
      </c>
      <c r="C58" s="362">
        <v>0</v>
      </c>
      <c r="D58" s="226">
        <v>0</v>
      </c>
      <c r="E58" s="178">
        <f t="shared" si="0"/>
        <v>0</v>
      </c>
      <c r="F58" s="328" t="s">
        <v>150</v>
      </c>
      <c r="G58" s="138">
        <v>0</v>
      </c>
      <c r="H58" s="364">
        <v>0</v>
      </c>
      <c r="I58" s="228">
        <v>0</v>
      </c>
      <c r="J58" s="139">
        <f t="shared" si="1"/>
        <v>0</v>
      </c>
    </row>
    <row r="59" spans="1:34" ht="14.95" thickBot="1" x14ac:dyDescent="0.3">
      <c r="A59" s="326" t="s">
        <v>151</v>
      </c>
      <c r="B59" s="177">
        <v>0</v>
      </c>
      <c r="C59" s="362">
        <v>0</v>
      </c>
      <c r="D59" s="226">
        <v>0</v>
      </c>
      <c r="E59" s="178">
        <f t="shared" si="0"/>
        <v>0</v>
      </c>
      <c r="F59" s="328" t="s">
        <v>151</v>
      </c>
      <c r="G59" s="138">
        <v>0</v>
      </c>
      <c r="H59" s="364">
        <v>0</v>
      </c>
      <c r="I59" s="228">
        <v>0</v>
      </c>
      <c r="J59" s="139">
        <f t="shared" si="1"/>
        <v>0</v>
      </c>
    </row>
    <row r="60" spans="1:34" ht="14.95" thickBot="1" x14ac:dyDescent="0.3">
      <c r="A60" s="326" t="s">
        <v>152</v>
      </c>
      <c r="B60" s="177">
        <v>0</v>
      </c>
      <c r="C60" s="362">
        <v>0</v>
      </c>
      <c r="D60" s="226">
        <v>0</v>
      </c>
      <c r="E60" s="178">
        <f t="shared" si="0"/>
        <v>0</v>
      </c>
      <c r="F60" s="328" t="s">
        <v>152</v>
      </c>
      <c r="G60" s="138">
        <v>0</v>
      </c>
      <c r="H60" s="364">
        <v>0</v>
      </c>
      <c r="I60" s="228">
        <v>0</v>
      </c>
      <c r="J60" s="139">
        <f t="shared" si="1"/>
        <v>0</v>
      </c>
    </row>
    <row r="61" spans="1:34" ht="14.95" thickBot="1" x14ac:dyDescent="0.3">
      <c r="A61" s="326" t="s">
        <v>933</v>
      </c>
      <c r="B61" s="177">
        <v>4</v>
      </c>
      <c r="C61" s="362">
        <v>0</v>
      </c>
      <c r="D61" s="226">
        <v>0</v>
      </c>
      <c r="E61" s="178">
        <f t="shared" si="0"/>
        <v>4</v>
      </c>
      <c r="F61" s="328" t="s">
        <v>933</v>
      </c>
      <c r="G61" s="138">
        <v>20</v>
      </c>
      <c r="H61" s="364">
        <v>0</v>
      </c>
      <c r="I61" s="228">
        <v>0</v>
      </c>
      <c r="J61" s="139">
        <f t="shared" si="1"/>
        <v>20</v>
      </c>
    </row>
    <row r="62" spans="1:34" ht="14.95" thickBot="1" x14ac:dyDescent="0.3">
      <c r="A62" s="326" t="s">
        <v>6</v>
      </c>
      <c r="B62" s="177">
        <v>3</v>
      </c>
      <c r="C62" s="362">
        <v>0</v>
      </c>
      <c r="D62" s="226">
        <v>1</v>
      </c>
      <c r="E62" s="178">
        <f t="shared" si="0"/>
        <v>4</v>
      </c>
      <c r="F62" s="328" t="s">
        <v>6</v>
      </c>
      <c r="G62" s="138">
        <v>50</v>
      </c>
      <c r="H62" s="364">
        <v>0</v>
      </c>
      <c r="I62" s="228">
        <v>9</v>
      </c>
      <c r="J62" s="139">
        <f t="shared" si="1"/>
        <v>59</v>
      </c>
    </row>
    <row r="63" spans="1:34" ht="14.95" thickBot="1" x14ac:dyDescent="0.3">
      <c r="A63" s="326" t="s">
        <v>525</v>
      </c>
      <c r="B63" s="177">
        <v>0</v>
      </c>
      <c r="C63" s="362">
        <v>0</v>
      </c>
      <c r="D63" s="226">
        <v>0</v>
      </c>
      <c r="E63" s="178">
        <f t="shared" si="0"/>
        <v>0</v>
      </c>
      <c r="F63" s="328" t="s">
        <v>525</v>
      </c>
      <c r="G63" s="138">
        <v>0</v>
      </c>
      <c r="H63" s="364">
        <v>0</v>
      </c>
      <c r="I63" s="228">
        <v>0</v>
      </c>
      <c r="J63" s="139">
        <f t="shared" si="1"/>
        <v>0</v>
      </c>
    </row>
    <row r="64" spans="1:34" ht="14.3" customHeight="1" thickBot="1" x14ac:dyDescent="0.3">
      <c r="A64" s="326" t="s">
        <v>64</v>
      </c>
      <c r="B64" s="177">
        <v>0</v>
      </c>
      <c r="C64" s="362">
        <v>0</v>
      </c>
      <c r="D64" s="226">
        <v>0</v>
      </c>
      <c r="E64" s="178">
        <f t="shared" si="0"/>
        <v>0</v>
      </c>
      <c r="F64" s="328" t="s">
        <v>64</v>
      </c>
      <c r="G64" s="138">
        <v>0</v>
      </c>
      <c r="H64" s="364">
        <v>0</v>
      </c>
      <c r="I64" s="228">
        <v>0</v>
      </c>
      <c r="J64" s="139">
        <f t="shared" si="1"/>
        <v>0</v>
      </c>
    </row>
    <row r="65" spans="1:10" ht="14.95" thickBot="1" x14ac:dyDescent="0.3">
      <c r="A65" s="326" t="s">
        <v>755</v>
      </c>
      <c r="B65" s="177">
        <v>0</v>
      </c>
      <c r="C65" s="362">
        <v>0</v>
      </c>
      <c r="D65" s="226">
        <v>0</v>
      </c>
      <c r="E65" s="178">
        <f t="shared" ref="E65" si="21">SUM(B65:D65)</f>
        <v>0</v>
      </c>
      <c r="F65" s="328" t="s">
        <v>755</v>
      </c>
      <c r="G65" s="138">
        <v>0</v>
      </c>
      <c r="H65" s="364">
        <v>7</v>
      </c>
      <c r="I65" s="228">
        <v>17</v>
      </c>
      <c r="J65" s="139">
        <f t="shared" ref="J65" si="22">SUM(G65:I65)</f>
        <v>24</v>
      </c>
    </row>
    <row r="66" spans="1:10" ht="14.95" thickBot="1" x14ac:dyDescent="0.3">
      <c r="A66" s="326" t="s">
        <v>3</v>
      </c>
      <c r="B66" s="177">
        <f>SUM(B3:B65)</f>
        <v>80</v>
      </c>
      <c r="C66" s="362">
        <f t="shared" ref="C66:E66" si="23">SUM(C3:C65)</f>
        <v>11</v>
      </c>
      <c r="D66" s="226">
        <f t="shared" si="23"/>
        <v>31</v>
      </c>
      <c r="E66" s="178">
        <f t="shared" si="23"/>
        <v>122</v>
      </c>
      <c r="F66" s="328" t="s">
        <v>3</v>
      </c>
      <c r="G66" s="138">
        <f t="shared" ref="G66:J66" si="24">SUM(G3:G65)</f>
        <v>591</v>
      </c>
      <c r="H66" s="364">
        <f t="shared" si="24"/>
        <v>80</v>
      </c>
      <c r="I66" s="228">
        <f t="shared" si="24"/>
        <v>206</v>
      </c>
      <c r="J66" s="139">
        <f t="shared" si="24"/>
        <v>877</v>
      </c>
    </row>
    <row r="67" spans="1:10" x14ac:dyDescent="0.25">
      <c r="A67" s="444"/>
      <c r="B67" s="445"/>
      <c r="C67" s="445"/>
      <c r="D67" s="445"/>
      <c r="E67" s="445"/>
      <c r="F67" s="445"/>
      <c r="G67" s="445"/>
      <c r="H67" s="445"/>
      <c r="I67" s="35"/>
      <c r="J67" s="35"/>
    </row>
    <row r="68" spans="1:10" ht="14.95" thickBot="1" x14ac:dyDescent="0.3">
      <c r="A68" t="s">
        <v>18</v>
      </c>
      <c r="B68" s="135"/>
      <c r="F68" s="34"/>
      <c r="G68" s="136"/>
      <c r="H68" s="37"/>
      <c r="I68" s="37"/>
      <c r="J68" s="37"/>
    </row>
    <row r="69" spans="1:10" ht="14.95" thickBot="1" x14ac:dyDescent="0.3">
      <c r="A69" s="325" t="s">
        <v>0</v>
      </c>
      <c r="B69" s="175" t="s">
        <v>355</v>
      </c>
      <c r="C69" s="361" t="s">
        <v>42</v>
      </c>
      <c r="D69" s="225" t="s">
        <v>564</v>
      </c>
      <c r="E69" s="176" t="s">
        <v>1</v>
      </c>
      <c r="F69" s="327" t="s">
        <v>2</v>
      </c>
      <c r="G69" s="140" t="s">
        <v>355</v>
      </c>
      <c r="H69" s="363" t="s">
        <v>42</v>
      </c>
      <c r="I69" s="227" t="s">
        <v>564</v>
      </c>
      <c r="J69" s="141" t="s">
        <v>1</v>
      </c>
    </row>
    <row r="70" spans="1:10" ht="14.95" thickBot="1" x14ac:dyDescent="0.3">
      <c r="A70" s="326" t="s">
        <v>148</v>
      </c>
      <c r="B70" s="177">
        <v>7</v>
      </c>
      <c r="C70" s="362">
        <v>1</v>
      </c>
      <c r="D70" s="226">
        <v>4</v>
      </c>
      <c r="E70" s="178">
        <f t="shared" ref="E70:E101" si="25">SUM(B70:D70)</f>
        <v>12</v>
      </c>
      <c r="F70" s="328" t="s">
        <v>147</v>
      </c>
      <c r="G70" s="138">
        <v>79</v>
      </c>
      <c r="H70" s="364">
        <v>11</v>
      </c>
      <c r="I70" s="228">
        <v>17</v>
      </c>
      <c r="J70" s="139">
        <f t="shared" ref="J70:J101" si="26">SUM(G70:I70)</f>
        <v>107</v>
      </c>
    </row>
    <row r="71" spans="1:10" ht="14.95" thickBot="1" x14ac:dyDescent="0.3">
      <c r="A71" s="326" t="s">
        <v>707</v>
      </c>
      <c r="B71" s="177">
        <v>8</v>
      </c>
      <c r="C71" s="362">
        <v>1</v>
      </c>
      <c r="D71" s="226">
        <v>1</v>
      </c>
      <c r="E71" s="178">
        <f t="shared" si="25"/>
        <v>10</v>
      </c>
      <c r="F71" s="328" t="s">
        <v>79</v>
      </c>
      <c r="G71" s="138">
        <v>78</v>
      </c>
      <c r="H71" s="364">
        <v>5</v>
      </c>
      <c r="I71" s="228">
        <v>13</v>
      </c>
      <c r="J71" s="139">
        <f t="shared" si="26"/>
        <v>96</v>
      </c>
    </row>
    <row r="72" spans="1:10" ht="14.95" thickBot="1" x14ac:dyDescent="0.3">
      <c r="A72" s="326" t="s">
        <v>814</v>
      </c>
      <c r="B72" s="177">
        <v>5</v>
      </c>
      <c r="C72" s="362">
        <v>1</v>
      </c>
      <c r="D72" s="226">
        <v>4</v>
      </c>
      <c r="E72" s="178">
        <f t="shared" si="25"/>
        <v>10</v>
      </c>
      <c r="F72" s="328" t="s">
        <v>148</v>
      </c>
      <c r="G72" s="138">
        <v>35</v>
      </c>
      <c r="H72" s="364">
        <v>5</v>
      </c>
      <c r="I72" s="228">
        <v>20</v>
      </c>
      <c r="J72" s="139">
        <f t="shared" si="26"/>
        <v>60</v>
      </c>
    </row>
    <row r="73" spans="1:10" ht="14.95" thickBot="1" x14ac:dyDescent="0.3">
      <c r="A73" s="326" t="s">
        <v>668</v>
      </c>
      <c r="B73" s="177">
        <v>5</v>
      </c>
      <c r="C73" s="362">
        <v>1</v>
      </c>
      <c r="D73" s="226">
        <v>2</v>
      </c>
      <c r="E73" s="178">
        <f t="shared" si="25"/>
        <v>8</v>
      </c>
      <c r="F73" s="328" t="s">
        <v>6</v>
      </c>
      <c r="G73" s="138">
        <v>50</v>
      </c>
      <c r="H73" s="364">
        <v>0</v>
      </c>
      <c r="I73" s="228">
        <v>9</v>
      </c>
      <c r="J73" s="139">
        <f t="shared" si="26"/>
        <v>59</v>
      </c>
    </row>
    <row r="74" spans="1:10" ht="14.95" thickBot="1" x14ac:dyDescent="0.3">
      <c r="A74" s="326" t="s">
        <v>874</v>
      </c>
      <c r="B74" s="177">
        <v>2</v>
      </c>
      <c r="C74" s="362">
        <v>1</v>
      </c>
      <c r="D74" s="226">
        <v>4</v>
      </c>
      <c r="E74" s="178">
        <f t="shared" si="25"/>
        <v>7</v>
      </c>
      <c r="F74" s="328" t="s">
        <v>707</v>
      </c>
      <c r="G74" s="138">
        <v>40</v>
      </c>
      <c r="H74" s="364">
        <v>5</v>
      </c>
      <c r="I74" s="228">
        <v>5</v>
      </c>
      <c r="J74" s="139">
        <f t="shared" si="26"/>
        <v>50</v>
      </c>
    </row>
    <row r="75" spans="1:10" ht="14.95" thickBot="1" x14ac:dyDescent="0.3">
      <c r="A75" s="326" t="s">
        <v>957</v>
      </c>
      <c r="B75" s="177">
        <v>5</v>
      </c>
      <c r="C75" s="362">
        <v>1</v>
      </c>
      <c r="D75" s="226">
        <v>0</v>
      </c>
      <c r="E75" s="178">
        <f t="shared" si="25"/>
        <v>6</v>
      </c>
      <c r="F75" s="328" t="s">
        <v>814</v>
      </c>
      <c r="G75" s="138">
        <v>25</v>
      </c>
      <c r="H75" s="364">
        <v>5</v>
      </c>
      <c r="I75" s="228">
        <v>20</v>
      </c>
      <c r="J75" s="139">
        <f t="shared" si="26"/>
        <v>50</v>
      </c>
    </row>
    <row r="76" spans="1:10" ht="14.95" thickBot="1" x14ac:dyDescent="0.3">
      <c r="A76" s="326" t="s">
        <v>146</v>
      </c>
      <c r="B76" s="177">
        <v>5</v>
      </c>
      <c r="C76" s="362">
        <v>1</v>
      </c>
      <c r="D76" s="226">
        <v>0</v>
      </c>
      <c r="E76" s="178">
        <f t="shared" si="25"/>
        <v>6</v>
      </c>
      <c r="F76" s="328" t="s">
        <v>668</v>
      </c>
      <c r="G76" s="138">
        <v>25</v>
      </c>
      <c r="H76" s="364">
        <v>5</v>
      </c>
      <c r="I76" s="228">
        <v>10</v>
      </c>
      <c r="J76" s="139">
        <f t="shared" si="26"/>
        <v>40</v>
      </c>
    </row>
    <row r="77" spans="1:10" ht="14.95" thickBot="1" x14ac:dyDescent="0.3">
      <c r="A77" s="326" t="s">
        <v>479</v>
      </c>
      <c r="B77" s="177">
        <v>5</v>
      </c>
      <c r="C77" s="362">
        <v>0</v>
      </c>
      <c r="D77" s="226">
        <v>0</v>
      </c>
      <c r="E77" s="178">
        <f t="shared" si="25"/>
        <v>5</v>
      </c>
      <c r="F77" s="328" t="s">
        <v>874</v>
      </c>
      <c r="G77" s="138">
        <v>10</v>
      </c>
      <c r="H77" s="364">
        <v>5</v>
      </c>
      <c r="I77" s="228">
        <v>20</v>
      </c>
      <c r="J77" s="139">
        <f t="shared" si="26"/>
        <v>35</v>
      </c>
    </row>
    <row r="78" spans="1:10" ht="14.95" thickBot="1" x14ac:dyDescent="0.3">
      <c r="A78" s="326" t="s">
        <v>536</v>
      </c>
      <c r="B78" s="177">
        <v>5</v>
      </c>
      <c r="C78" s="362">
        <v>0</v>
      </c>
      <c r="D78" s="226">
        <v>0</v>
      </c>
      <c r="E78" s="178">
        <f t="shared" si="25"/>
        <v>5</v>
      </c>
      <c r="F78" s="328" t="s">
        <v>957</v>
      </c>
      <c r="G78" s="138">
        <v>25</v>
      </c>
      <c r="H78" s="364">
        <v>5</v>
      </c>
      <c r="I78" s="228">
        <v>0</v>
      </c>
      <c r="J78" s="139">
        <f t="shared" si="26"/>
        <v>30</v>
      </c>
    </row>
    <row r="79" spans="1:10" ht="14.95" thickBot="1" x14ac:dyDescent="0.3">
      <c r="A79" s="326" t="s">
        <v>81</v>
      </c>
      <c r="B79" s="177">
        <v>4</v>
      </c>
      <c r="C79" s="362">
        <v>0</v>
      </c>
      <c r="D79" s="226">
        <v>0</v>
      </c>
      <c r="E79" s="178">
        <f t="shared" si="25"/>
        <v>4</v>
      </c>
      <c r="F79" s="328" t="s">
        <v>146</v>
      </c>
      <c r="G79" s="138">
        <v>25</v>
      </c>
      <c r="H79" s="364">
        <v>5</v>
      </c>
      <c r="I79" s="228">
        <v>0</v>
      </c>
      <c r="J79" s="139">
        <f t="shared" si="26"/>
        <v>30</v>
      </c>
    </row>
    <row r="80" spans="1:10" ht="14.95" thickBot="1" x14ac:dyDescent="0.3">
      <c r="A80" s="326" t="s">
        <v>482</v>
      </c>
      <c r="B80" s="177">
        <v>3</v>
      </c>
      <c r="C80" s="362">
        <v>0</v>
      </c>
      <c r="D80" s="226">
        <v>1</v>
      </c>
      <c r="E80" s="178">
        <f t="shared" si="25"/>
        <v>4</v>
      </c>
      <c r="F80" s="328" t="s">
        <v>479</v>
      </c>
      <c r="G80" s="138">
        <v>25</v>
      </c>
      <c r="H80" s="364">
        <v>0</v>
      </c>
      <c r="I80" s="228">
        <v>0</v>
      </c>
      <c r="J80" s="139">
        <f t="shared" si="26"/>
        <v>25</v>
      </c>
    </row>
    <row r="81" spans="1:10" ht="14.95" thickBot="1" x14ac:dyDescent="0.3">
      <c r="A81" s="326" t="s">
        <v>370</v>
      </c>
      <c r="B81" s="177">
        <v>4</v>
      </c>
      <c r="C81" s="362">
        <v>0</v>
      </c>
      <c r="D81" s="226">
        <v>0</v>
      </c>
      <c r="E81" s="178">
        <f t="shared" si="25"/>
        <v>4</v>
      </c>
      <c r="F81" s="328" t="s">
        <v>536</v>
      </c>
      <c r="G81" s="138">
        <v>25</v>
      </c>
      <c r="H81" s="364">
        <v>0</v>
      </c>
      <c r="I81" s="228">
        <v>0</v>
      </c>
      <c r="J81" s="139">
        <f t="shared" si="26"/>
        <v>25</v>
      </c>
    </row>
    <row r="82" spans="1:10" ht="14.95" thickBot="1" x14ac:dyDescent="0.3">
      <c r="A82" s="326" t="s">
        <v>149</v>
      </c>
      <c r="B82" s="177">
        <v>0</v>
      </c>
      <c r="C82" s="362">
        <v>0</v>
      </c>
      <c r="D82" s="226">
        <v>4</v>
      </c>
      <c r="E82" s="178">
        <f t="shared" si="25"/>
        <v>4</v>
      </c>
      <c r="F82" s="328" t="s">
        <v>755</v>
      </c>
      <c r="G82" s="138">
        <v>0</v>
      </c>
      <c r="H82" s="364">
        <v>7</v>
      </c>
      <c r="I82" s="228">
        <v>17</v>
      </c>
      <c r="J82" s="139">
        <f t="shared" si="26"/>
        <v>24</v>
      </c>
    </row>
    <row r="83" spans="1:10" ht="14.95" thickBot="1" x14ac:dyDescent="0.3">
      <c r="A83" s="326" t="s">
        <v>933</v>
      </c>
      <c r="B83" s="177">
        <v>4</v>
      </c>
      <c r="C83" s="362">
        <v>0</v>
      </c>
      <c r="D83" s="226">
        <v>0</v>
      </c>
      <c r="E83" s="178">
        <f t="shared" si="25"/>
        <v>4</v>
      </c>
      <c r="F83" s="328" t="s">
        <v>81</v>
      </c>
      <c r="G83" s="138">
        <v>20</v>
      </c>
      <c r="H83" s="364">
        <v>0</v>
      </c>
      <c r="I83" s="228">
        <v>0</v>
      </c>
      <c r="J83" s="139">
        <f t="shared" si="26"/>
        <v>20</v>
      </c>
    </row>
    <row r="84" spans="1:10" ht="14.95" thickBot="1" x14ac:dyDescent="0.3">
      <c r="A84" s="326" t="s">
        <v>6</v>
      </c>
      <c r="B84" s="177">
        <v>3</v>
      </c>
      <c r="C84" s="362">
        <v>0</v>
      </c>
      <c r="D84" s="226">
        <v>1</v>
      </c>
      <c r="E84" s="178">
        <f t="shared" si="25"/>
        <v>4</v>
      </c>
      <c r="F84" s="328" t="s">
        <v>482</v>
      </c>
      <c r="G84" s="138">
        <v>15</v>
      </c>
      <c r="H84" s="364">
        <v>0</v>
      </c>
      <c r="I84" s="228">
        <v>5</v>
      </c>
      <c r="J84" s="139">
        <f t="shared" si="26"/>
        <v>20</v>
      </c>
    </row>
    <row r="85" spans="1:10" ht="14.95" thickBot="1" x14ac:dyDescent="0.3">
      <c r="A85" s="326" t="s">
        <v>873</v>
      </c>
      <c r="B85" s="177">
        <v>1</v>
      </c>
      <c r="C85" s="362">
        <v>0</v>
      </c>
      <c r="D85" s="226">
        <v>2</v>
      </c>
      <c r="E85" s="178">
        <f t="shared" si="25"/>
        <v>3</v>
      </c>
      <c r="F85" s="328" t="s">
        <v>370</v>
      </c>
      <c r="G85" s="138">
        <v>20</v>
      </c>
      <c r="H85" s="364">
        <v>0</v>
      </c>
      <c r="I85" s="228">
        <v>0</v>
      </c>
      <c r="J85" s="139">
        <f t="shared" si="26"/>
        <v>20</v>
      </c>
    </row>
    <row r="86" spans="1:10" ht="14.95" thickBot="1" x14ac:dyDescent="0.3">
      <c r="A86" s="326" t="s">
        <v>961</v>
      </c>
      <c r="B86" s="177">
        <v>2</v>
      </c>
      <c r="C86" s="362">
        <v>1</v>
      </c>
      <c r="D86" s="226">
        <v>0</v>
      </c>
      <c r="E86" s="178">
        <f t="shared" si="25"/>
        <v>3</v>
      </c>
      <c r="F86" s="328" t="s">
        <v>149</v>
      </c>
      <c r="G86" s="138">
        <v>0</v>
      </c>
      <c r="H86" s="364">
        <v>0</v>
      </c>
      <c r="I86" s="228">
        <v>20</v>
      </c>
      <c r="J86" s="139">
        <f t="shared" si="26"/>
        <v>20</v>
      </c>
    </row>
    <row r="87" spans="1:10" ht="14.95" thickBot="1" x14ac:dyDescent="0.3">
      <c r="A87" s="326" t="s">
        <v>309</v>
      </c>
      <c r="B87" s="177">
        <v>3</v>
      </c>
      <c r="C87" s="362">
        <v>0</v>
      </c>
      <c r="D87" s="226">
        <v>0</v>
      </c>
      <c r="E87" s="178">
        <f t="shared" si="25"/>
        <v>3</v>
      </c>
      <c r="F87" s="328" t="s">
        <v>933</v>
      </c>
      <c r="G87" s="138">
        <v>20</v>
      </c>
      <c r="H87" s="364">
        <v>0</v>
      </c>
      <c r="I87" s="228">
        <v>0</v>
      </c>
      <c r="J87" s="139">
        <f t="shared" si="26"/>
        <v>20</v>
      </c>
    </row>
    <row r="88" spans="1:10" ht="14.95" thickBot="1" x14ac:dyDescent="0.3">
      <c r="A88" s="326" t="s">
        <v>1005</v>
      </c>
      <c r="B88" s="177">
        <v>3</v>
      </c>
      <c r="C88" s="362">
        <v>0</v>
      </c>
      <c r="D88" s="226">
        <v>0</v>
      </c>
      <c r="E88" s="178">
        <f t="shared" si="25"/>
        <v>3</v>
      </c>
      <c r="F88" s="328" t="s">
        <v>1005</v>
      </c>
      <c r="G88" s="138">
        <v>19</v>
      </c>
      <c r="H88" s="364">
        <v>0</v>
      </c>
      <c r="I88" s="228">
        <v>0</v>
      </c>
      <c r="J88" s="139">
        <f t="shared" si="26"/>
        <v>19</v>
      </c>
    </row>
    <row r="89" spans="1:10" ht="14.95" thickBot="1" x14ac:dyDescent="0.3">
      <c r="A89" s="326" t="s">
        <v>298</v>
      </c>
      <c r="B89" s="177">
        <v>1</v>
      </c>
      <c r="C89" s="362">
        <v>0</v>
      </c>
      <c r="D89" s="226">
        <v>1</v>
      </c>
      <c r="E89" s="178">
        <f t="shared" si="25"/>
        <v>2</v>
      </c>
      <c r="F89" s="328" t="s">
        <v>873</v>
      </c>
      <c r="G89" s="138">
        <v>5</v>
      </c>
      <c r="H89" s="364">
        <v>0</v>
      </c>
      <c r="I89" s="228">
        <v>10</v>
      </c>
      <c r="J89" s="139">
        <f t="shared" si="26"/>
        <v>15</v>
      </c>
    </row>
    <row r="90" spans="1:10" ht="14.95" thickBot="1" x14ac:dyDescent="0.3">
      <c r="A90" s="326" t="s">
        <v>876</v>
      </c>
      <c r="B90" s="177">
        <v>0</v>
      </c>
      <c r="C90" s="362">
        <v>0</v>
      </c>
      <c r="D90" s="226">
        <v>2</v>
      </c>
      <c r="E90" s="178">
        <f t="shared" si="25"/>
        <v>2</v>
      </c>
      <c r="F90" s="328" t="s">
        <v>961</v>
      </c>
      <c r="G90" s="138">
        <v>10</v>
      </c>
      <c r="H90" s="364">
        <v>5</v>
      </c>
      <c r="I90" s="228">
        <v>0</v>
      </c>
      <c r="J90" s="139">
        <f t="shared" si="26"/>
        <v>15</v>
      </c>
    </row>
    <row r="91" spans="1:10" ht="14.95" thickBot="1" x14ac:dyDescent="0.3">
      <c r="A91" s="326" t="s">
        <v>296</v>
      </c>
      <c r="B91" s="177">
        <v>0</v>
      </c>
      <c r="C91" s="362">
        <v>0</v>
      </c>
      <c r="D91" s="226">
        <v>1</v>
      </c>
      <c r="E91" s="178">
        <f t="shared" si="25"/>
        <v>1</v>
      </c>
      <c r="F91" s="328" t="s">
        <v>309</v>
      </c>
      <c r="G91" s="138">
        <v>15</v>
      </c>
      <c r="H91" s="364">
        <v>0</v>
      </c>
      <c r="I91" s="228">
        <v>0</v>
      </c>
      <c r="J91" s="139">
        <f t="shared" si="26"/>
        <v>15</v>
      </c>
    </row>
    <row r="92" spans="1:10" ht="14.95" thickBot="1" x14ac:dyDescent="0.3">
      <c r="A92" s="326" t="s">
        <v>504</v>
      </c>
      <c r="B92" s="177">
        <v>1</v>
      </c>
      <c r="C92" s="362">
        <v>0</v>
      </c>
      <c r="D92" s="226">
        <v>0</v>
      </c>
      <c r="E92" s="178">
        <f t="shared" si="25"/>
        <v>1</v>
      </c>
      <c r="F92" s="328" t="s">
        <v>298</v>
      </c>
      <c r="G92" s="138">
        <v>5</v>
      </c>
      <c r="H92" s="364">
        <v>0</v>
      </c>
      <c r="I92" s="228">
        <v>5</v>
      </c>
      <c r="J92" s="139">
        <f t="shared" si="26"/>
        <v>10</v>
      </c>
    </row>
    <row r="93" spans="1:10" ht="14.95" thickBot="1" x14ac:dyDescent="0.3">
      <c r="A93" s="326" t="s">
        <v>139</v>
      </c>
      <c r="B93" s="177">
        <v>1</v>
      </c>
      <c r="C93" s="362">
        <v>0</v>
      </c>
      <c r="D93" s="226">
        <v>0</v>
      </c>
      <c r="E93" s="178">
        <f t="shared" si="25"/>
        <v>1</v>
      </c>
      <c r="F93" s="328" t="s">
        <v>876</v>
      </c>
      <c r="G93" s="138">
        <v>0</v>
      </c>
      <c r="H93" s="364">
        <v>0</v>
      </c>
      <c r="I93" s="228">
        <v>10</v>
      </c>
      <c r="J93" s="139">
        <f t="shared" si="26"/>
        <v>10</v>
      </c>
    </row>
    <row r="94" spans="1:10" ht="14.95" thickBot="1" x14ac:dyDescent="0.3">
      <c r="A94" s="326" t="s">
        <v>31</v>
      </c>
      <c r="B94" s="177">
        <v>0</v>
      </c>
      <c r="C94" s="362">
        <v>0</v>
      </c>
      <c r="D94" s="226">
        <v>1</v>
      </c>
      <c r="E94" s="178">
        <f t="shared" si="25"/>
        <v>1</v>
      </c>
      <c r="F94" s="328" t="s">
        <v>5</v>
      </c>
      <c r="G94" s="138">
        <v>0</v>
      </c>
      <c r="H94" s="364">
        <v>7</v>
      </c>
      <c r="I94" s="228">
        <v>0</v>
      </c>
      <c r="J94" s="139">
        <f t="shared" si="26"/>
        <v>7</v>
      </c>
    </row>
    <row r="95" spans="1:10" ht="14.95" thickBot="1" x14ac:dyDescent="0.3">
      <c r="A95" s="326" t="s">
        <v>447</v>
      </c>
      <c r="B95" s="177">
        <v>0</v>
      </c>
      <c r="C95" s="362">
        <v>0</v>
      </c>
      <c r="D95" s="226">
        <v>1</v>
      </c>
      <c r="E95" s="178">
        <f t="shared" si="25"/>
        <v>1</v>
      </c>
      <c r="F95" s="328" t="s">
        <v>296</v>
      </c>
      <c r="G95" s="138">
        <v>0</v>
      </c>
      <c r="H95" s="364">
        <v>0</v>
      </c>
      <c r="I95" s="228">
        <v>5</v>
      </c>
      <c r="J95" s="139">
        <f t="shared" si="26"/>
        <v>5</v>
      </c>
    </row>
    <row r="96" spans="1:10" ht="14.95" thickBot="1" x14ac:dyDescent="0.3">
      <c r="A96" s="326" t="s">
        <v>963</v>
      </c>
      <c r="B96" s="177">
        <v>0</v>
      </c>
      <c r="C96" s="362">
        <v>1</v>
      </c>
      <c r="D96" s="226">
        <v>0</v>
      </c>
      <c r="E96" s="178">
        <f t="shared" si="25"/>
        <v>1</v>
      </c>
      <c r="F96" s="328" t="s">
        <v>504</v>
      </c>
      <c r="G96" s="138">
        <v>5</v>
      </c>
      <c r="H96" s="364">
        <v>0</v>
      </c>
      <c r="I96" s="228">
        <v>0</v>
      </c>
      <c r="J96" s="139">
        <f t="shared" si="26"/>
        <v>5</v>
      </c>
    </row>
    <row r="97" spans="1:10" ht="14.95" thickBot="1" x14ac:dyDescent="0.3">
      <c r="A97" s="326" t="s">
        <v>142</v>
      </c>
      <c r="B97" s="177">
        <v>0</v>
      </c>
      <c r="C97" s="362">
        <v>1</v>
      </c>
      <c r="D97" s="226">
        <v>0</v>
      </c>
      <c r="E97" s="178">
        <f t="shared" si="25"/>
        <v>1</v>
      </c>
      <c r="F97" s="328" t="s">
        <v>139</v>
      </c>
      <c r="G97" s="138">
        <v>5</v>
      </c>
      <c r="H97" s="364">
        <v>0</v>
      </c>
      <c r="I97" s="229">
        <v>0</v>
      </c>
      <c r="J97" s="142">
        <f t="shared" si="26"/>
        <v>5</v>
      </c>
    </row>
    <row r="98" spans="1:10" ht="14.95" thickBot="1" x14ac:dyDescent="0.3">
      <c r="A98" s="326" t="s">
        <v>79</v>
      </c>
      <c r="B98" s="177">
        <v>1</v>
      </c>
      <c r="C98" s="362">
        <v>0</v>
      </c>
      <c r="D98" s="226">
        <v>0</v>
      </c>
      <c r="E98" s="178">
        <f t="shared" si="25"/>
        <v>1</v>
      </c>
      <c r="F98" s="328" t="s">
        <v>31</v>
      </c>
      <c r="G98" s="138">
        <v>0</v>
      </c>
      <c r="H98" s="364">
        <v>0</v>
      </c>
      <c r="I98" s="229">
        <v>5</v>
      </c>
      <c r="J98" s="142">
        <f t="shared" si="26"/>
        <v>5</v>
      </c>
    </row>
    <row r="99" spans="1:10" ht="14.95" thickBot="1" x14ac:dyDescent="0.3">
      <c r="A99" s="326" t="s">
        <v>372</v>
      </c>
      <c r="B99" s="177">
        <v>1</v>
      </c>
      <c r="C99" s="362">
        <v>0</v>
      </c>
      <c r="D99" s="226">
        <v>0</v>
      </c>
      <c r="E99" s="178">
        <f t="shared" si="25"/>
        <v>1</v>
      </c>
      <c r="F99" s="328" t="s">
        <v>447</v>
      </c>
      <c r="G99" s="138">
        <v>0</v>
      </c>
      <c r="H99" s="364">
        <v>0</v>
      </c>
      <c r="I99" s="229">
        <v>5</v>
      </c>
      <c r="J99" s="142">
        <f t="shared" si="26"/>
        <v>5</v>
      </c>
    </row>
    <row r="100" spans="1:10" ht="14.95" thickBot="1" x14ac:dyDescent="0.3">
      <c r="A100" s="326" t="s">
        <v>144</v>
      </c>
      <c r="B100" s="177">
        <v>0</v>
      </c>
      <c r="C100" s="362">
        <v>0</v>
      </c>
      <c r="D100" s="226">
        <v>1</v>
      </c>
      <c r="E100" s="178">
        <f t="shared" si="25"/>
        <v>1</v>
      </c>
      <c r="F100" s="328" t="s">
        <v>963</v>
      </c>
      <c r="G100" s="138">
        <v>0</v>
      </c>
      <c r="H100" s="364">
        <v>5</v>
      </c>
      <c r="I100" s="229">
        <v>0</v>
      </c>
      <c r="J100" s="142">
        <f t="shared" si="26"/>
        <v>5</v>
      </c>
    </row>
    <row r="101" spans="1:10" ht="14.95" thickBot="1" x14ac:dyDescent="0.3">
      <c r="A101" s="326" t="s">
        <v>5</v>
      </c>
      <c r="B101" s="177">
        <v>0</v>
      </c>
      <c r="C101" s="362">
        <v>1</v>
      </c>
      <c r="D101" s="226">
        <v>0</v>
      </c>
      <c r="E101" s="178">
        <f t="shared" si="25"/>
        <v>1</v>
      </c>
      <c r="F101" s="328" t="s">
        <v>142</v>
      </c>
      <c r="G101" s="138">
        <v>0</v>
      </c>
      <c r="H101" s="364">
        <v>5</v>
      </c>
      <c r="I101" s="229">
        <v>0</v>
      </c>
      <c r="J101" s="142">
        <f t="shared" si="26"/>
        <v>5</v>
      </c>
    </row>
    <row r="102" spans="1:10" ht="14.95" thickBot="1" x14ac:dyDescent="0.3">
      <c r="A102" s="326" t="s">
        <v>753</v>
      </c>
      <c r="B102" s="177">
        <v>0</v>
      </c>
      <c r="C102" s="362">
        <v>0</v>
      </c>
      <c r="D102" s="226">
        <v>1</v>
      </c>
      <c r="E102" s="178">
        <f t="shared" ref="E102:E132" si="27">SUM(B102:D102)</f>
        <v>1</v>
      </c>
      <c r="F102" s="328" t="s">
        <v>372</v>
      </c>
      <c r="G102" s="138">
        <v>5</v>
      </c>
      <c r="H102" s="364">
        <v>0</v>
      </c>
      <c r="I102" s="229">
        <v>0</v>
      </c>
      <c r="J102" s="142">
        <f t="shared" ref="J102:J132" si="28">SUM(G102:I102)</f>
        <v>5</v>
      </c>
    </row>
    <row r="103" spans="1:10" ht="14.95" thickBot="1" x14ac:dyDescent="0.3">
      <c r="A103" s="326" t="s">
        <v>49</v>
      </c>
      <c r="B103" s="177">
        <v>1</v>
      </c>
      <c r="C103" s="362">
        <v>0</v>
      </c>
      <c r="D103" s="226">
        <v>0</v>
      </c>
      <c r="E103" s="178">
        <f t="shared" si="27"/>
        <v>1</v>
      </c>
      <c r="F103" s="328" t="s">
        <v>144</v>
      </c>
      <c r="G103" s="138">
        <v>0</v>
      </c>
      <c r="H103" s="364">
        <v>0</v>
      </c>
      <c r="I103" s="229">
        <v>5</v>
      </c>
      <c r="J103" s="142">
        <f t="shared" si="28"/>
        <v>5</v>
      </c>
    </row>
    <row r="104" spans="1:10" ht="14.95" thickBot="1" x14ac:dyDescent="0.3">
      <c r="A104" s="326" t="s">
        <v>366</v>
      </c>
      <c r="B104" s="177">
        <v>0</v>
      </c>
      <c r="C104" s="362">
        <v>0</v>
      </c>
      <c r="D104" s="226">
        <v>0</v>
      </c>
      <c r="E104" s="178">
        <f t="shared" si="27"/>
        <v>0</v>
      </c>
      <c r="F104" s="328" t="s">
        <v>753</v>
      </c>
      <c r="G104" s="138">
        <v>0</v>
      </c>
      <c r="H104" s="364">
        <v>0</v>
      </c>
      <c r="I104" s="229">
        <v>5</v>
      </c>
      <c r="J104" s="142">
        <f t="shared" si="28"/>
        <v>5</v>
      </c>
    </row>
    <row r="105" spans="1:10" ht="14.95" thickBot="1" x14ac:dyDescent="0.3">
      <c r="A105" s="326" t="s">
        <v>520</v>
      </c>
      <c r="B105" s="177">
        <v>0</v>
      </c>
      <c r="C105" s="362">
        <v>0</v>
      </c>
      <c r="D105" s="226">
        <v>0</v>
      </c>
      <c r="E105" s="178">
        <f t="shared" si="27"/>
        <v>0</v>
      </c>
      <c r="F105" s="328" t="s">
        <v>49</v>
      </c>
      <c r="G105" s="138">
        <v>5</v>
      </c>
      <c r="H105" s="364">
        <v>0</v>
      </c>
      <c r="I105" s="229">
        <v>0</v>
      </c>
      <c r="J105" s="142">
        <f t="shared" si="28"/>
        <v>5</v>
      </c>
    </row>
    <row r="106" spans="1:10" ht="14.95" thickBot="1" x14ac:dyDescent="0.3">
      <c r="A106" s="326" t="s">
        <v>477</v>
      </c>
      <c r="B106" s="177">
        <v>0</v>
      </c>
      <c r="C106" s="362">
        <v>0</v>
      </c>
      <c r="D106" s="226">
        <v>0</v>
      </c>
      <c r="E106" s="178">
        <f t="shared" si="27"/>
        <v>0</v>
      </c>
      <c r="F106" s="328" t="s">
        <v>366</v>
      </c>
      <c r="G106" s="138">
        <v>0</v>
      </c>
      <c r="H106" s="364">
        <v>0</v>
      </c>
      <c r="I106" s="229">
        <v>0</v>
      </c>
      <c r="J106" s="142">
        <f t="shared" si="28"/>
        <v>0</v>
      </c>
    </row>
    <row r="107" spans="1:10" ht="14.95" thickBot="1" x14ac:dyDescent="0.3">
      <c r="A107" s="326" t="s">
        <v>248</v>
      </c>
      <c r="B107" s="177">
        <v>0</v>
      </c>
      <c r="C107" s="362">
        <v>0</v>
      </c>
      <c r="D107" s="226">
        <v>0</v>
      </c>
      <c r="E107" s="178">
        <f t="shared" si="27"/>
        <v>0</v>
      </c>
      <c r="F107" s="328" t="s">
        <v>520</v>
      </c>
      <c r="G107" s="138">
        <v>0</v>
      </c>
      <c r="H107" s="364">
        <v>0</v>
      </c>
      <c r="I107" s="229">
        <v>0</v>
      </c>
      <c r="J107" s="142">
        <f t="shared" si="28"/>
        <v>0</v>
      </c>
    </row>
    <row r="108" spans="1:10" ht="14.95" thickBot="1" x14ac:dyDescent="0.3">
      <c r="A108" s="326" t="s">
        <v>785</v>
      </c>
      <c r="B108" s="177">
        <v>0</v>
      </c>
      <c r="C108" s="362">
        <v>0</v>
      </c>
      <c r="D108" s="226">
        <v>0</v>
      </c>
      <c r="E108" s="178">
        <f t="shared" si="27"/>
        <v>0</v>
      </c>
      <c r="F108" s="328" t="s">
        <v>477</v>
      </c>
      <c r="G108" s="138">
        <v>0</v>
      </c>
      <c r="H108" s="364">
        <v>0</v>
      </c>
      <c r="I108" s="228">
        <v>0</v>
      </c>
      <c r="J108" s="139">
        <f t="shared" si="28"/>
        <v>0</v>
      </c>
    </row>
    <row r="109" spans="1:10" ht="14.95" thickBot="1" x14ac:dyDescent="0.3">
      <c r="A109" s="326" t="s">
        <v>350</v>
      </c>
      <c r="B109" s="177">
        <v>0</v>
      </c>
      <c r="C109" s="362">
        <v>0</v>
      </c>
      <c r="D109" s="226">
        <v>0</v>
      </c>
      <c r="E109" s="178">
        <f t="shared" si="27"/>
        <v>0</v>
      </c>
      <c r="F109" s="328" t="s">
        <v>248</v>
      </c>
      <c r="G109" s="138">
        <v>0</v>
      </c>
      <c r="H109" s="364">
        <v>0</v>
      </c>
      <c r="I109" s="228">
        <v>0</v>
      </c>
      <c r="J109" s="139">
        <f t="shared" si="28"/>
        <v>0</v>
      </c>
    </row>
    <row r="110" spans="1:10" ht="14.95" thickBot="1" x14ac:dyDescent="0.3">
      <c r="A110" s="326" t="s">
        <v>656</v>
      </c>
      <c r="B110" s="177">
        <v>0</v>
      </c>
      <c r="C110" s="362">
        <v>0</v>
      </c>
      <c r="D110" s="226">
        <v>0</v>
      </c>
      <c r="E110" s="178">
        <f t="shared" si="27"/>
        <v>0</v>
      </c>
      <c r="F110" s="328" t="s">
        <v>785</v>
      </c>
      <c r="G110" s="138">
        <v>0</v>
      </c>
      <c r="H110" s="364">
        <v>0</v>
      </c>
      <c r="I110" s="228">
        <v>0</v>
      </c>
      <c r="J110" s="139">
        <f t="shared" si="28"/>
        <v>0</v>
      </c>
    </row>
    <row r="111" spans="1:10" ht="14.95" thickBot="1" x14ac:dyDescent="0.3">
      <c r="A111" s="326" t="s">
        <v>94</v>
      </c>
      <c r="B111" s="177">
        <v>0</v>
      </c>
      <c r="C111" s="362">
        <v>0</v>
      </c>
      <c r="D111" s="226">
        <v>0</v>
      </c>
      <c r="E111" s="178">
        <f t="shared" si="27"/>
        <v>0</v>
      </c>
      <c r="F111" s="328" t="s">
        <v>350</v>
      </c>
      <c r="G111" s="138">
        <v>0</v>
      </c>
      <c r="H111" s="364">
        <v>0</v>
      </c>
      <c r="I111" s="228">
        <v>0</v>
      </c>
      <c r="J111" s="139">
        <f t="shared" si="28"/>
        <v>0</v>
      </c>
    </row>
    <row r="112" spans="1:10" ht="14.95" thickBot="1" x14ac:dyDescent="0.3">
      <c r="A112" s="326" t="s">
        <v>250</v>
      </c>
      <c r="B112" s="177">
        <v>0</v>
      </c>
      <c r="C112" s="362">
        <v>0</v>
      </c>
      <c r="D112" s="226">
        <v>0</v>
      </c>
      <c r="E112" s="178">
        <f t="shared" si="27"/>
        <v>0</v>
      </c>
      <c r="F112" s="328" t="s">
        <v>656</v>
      </c>
      <c r="G112" s="138">
        <v>0</v>
      </c>
      <c r="H112" s="364">
        <v>0</v>
      </c>
      <c r="I112" s="228">
        <v>0</v>
      </c>
      <c r="J112" s="139">
        <f t="shared" si="28"/>
        <v>0</v>
      </c>
    </row>
    <row r="113" spans="1:10" ht="14.95" thickBot="1" x14ac:dyDescent="0.3">
      <c r="A113" s="326" t="s">
        <v>307</v>
      </c>
      <c r="B113" s="177">
        <v>0</v>
      </c>
      <c r="C113" s="362">
        <v>0</v>
      </c>
      <c r="D113" s="226">
        <v>0</v>
      </c>
      <c r="E113" s="178">
        <f t="shared" si="27"/>
        <v>0</v>
      </c>
      <c r="F113" s="328" t="s">
        <v>94</v>
      </c>
      <c r="G113" s="138">
        <v>0</v>
      </c>
      <c r="H113" s="364">
        <v>0</v>
      </c>
      <c r="I113" s="228">
        <v>0</v>
      </c>
      <c r="J113" s="139">
        <f t="shared" si="28"/>
        <v>0</v>
      </c>
    </row>
    <row r="114" spans="1:10" ht="14.95" thickBot="1" x14ac:dyDescent="0.3">
      <c r="A114" s="326" t="s">
        <v>368</v>
      </c>
      <c r="B114" s="177">
        <v>0</v>
      </c>
      <c r="C114" s="362">
        <v>0</v>
      </c>
      <c r="D114" s="226">
        <v>0</v>
      </c>
      <c r="E114" s="178">
        <f t="shared" si="27"/>
        <v>0</v>
      </c>
      <c r="F114" s="328" t="s">
        <v>250</v>
      </c>
      <c r="G114" s="138">
        <v>0</v>
      </c>
      <c r="H114" s="364">
        <v>0</v>
      </c>
      <c r="I114" s="228">
        <v>0</v>
      </c>
      <c r="J114" s="139">
        <f t="shared" si="28"/>
        <v>0</v>
      </c>
    </row>
    <row r="115" spans="1:10" ht="14.95" thickBot="1" x14ac:dyDescent="0.3">
      <c r="A115" s="326" t="s">
        <v>822</v>
      </c>
      <c r="B115" s="177">
        <v>0</v>
      </c>
      <c r="C115" s="362">
        <v>0</v>
      </c>
      <c r="D115" s="226">
        <v>0</v>
      </c>
      <c r="E115" s="178">
        <f t="shared" si="27"/>
        <v>0</v>
      </c>
      <c r="F115" s="328" t="s">
        <v>307</v>
      </c>
      <c r="G115" s="138">
        <v>0</v>
      </c>
      <c r="H115" s="364">
        <v>0</v>
      </c>
      <c r="I115" s="228">
        <v>0</v>
      </c>
      <c r="J115" s="139">
        <f t="shared" si="28"/>
        <v>0</v>
      </c>
    </row>
    <row r="116" spans="1:10" ht="14.95" thickBot="1" x14ac:dyDescent="0.3">
      <c r="A116" s="326" t="s">
        <v>140</v>
      </c>
      <c r="B116" s="177">
        <v>0</v>
      </c>
      <c r="C116" s="362">
        <v>0</v>
      </c>
      <c r="D116" s="226">
        <v>0</v>
      </c>
      <c r="E116" s="178">
        <f t="shared" si="27"/>
        <v>0</v>
      </c>
      <c r="F116" s="328" t="s">
        <v>368</v>
      </c>
      <c r="G116" s="138">
        <v>0</v>
      </c>
      <c r="H116" s="364">
        <v>0</v>
      </c>
      <c r="I116" s="228">
        <v>0</v>
      </c>
      <c r="J116" s="139">
        <f t="shared" si="28"/>
        <v>0</v>
      </c>
    </row>
    <row r="117" spans="1:10" ht="14.95" thickBot="1" x14ac:dyDescent="0.3">
      <c r="A117" s="326" t="s">
        <v>522</v>
      </c>
      <c r="B117" s="177">
        <v>0</v>
      </c>
      <c r="C117" s="362">
        <v>0</v>
      </c>
      <c r="D117" s="226">
        <v>0</v>
      </c>
      <c r="E117" s="178">
        <f t="shared" si="27"/>
        <v>0</v>
      </c>
      <c r="F117" s="328" t="s">
        <v>822</v>
      </c>
      <c r="G117" s="138">
        <v>0</v>
      </c>
      <c r="H117" s="364">
        <v>0</v>
      </c>
      <c r="I117" s="228">
        <v>0</v>
      </c>
      <c r="J117" s="139">
        <f t="shared" si="28"/>
        <v>0</v>
      </c>
    </row>
    <row r="118" spans="1:10" ht="14.95" thickBot="1" x14ac:dyDescent="0.3">
      <c r="A118" s="326" t="s">
        <v>141</v>
      </c>
      <c r="B118" s="177">
        <v>0</v>
      </c>
      <c r="C118" s="362">
        <v>0</v>
      </c>
      <c r="D118" s="226">
        <v>0</v>
      </c>
      <c r="E118" s="178">
        <f t="shared" si="27"/>
        <v>0</v>
      </c>
      <c r="F118" s="328" t="s">
        <v>140</v>
      </c>
      <c r="G118" s="138">
        <v>0</v>
      </c>
      <c r="H118" s="364">
        <v>0</v>
      </c>
      <c r="I118" s="228">
        <v>0</v>
      </c>
      <c r="J118" s="139">
        <f t="shared" si="28"/>
        <v>0</v>
      </c>
    </row>
    <row r="119" spans="1:10" ht="14.95" thickBot="1" x14ac:dyDescent="0.3">
      <c r="A119" s="326" t="s">
        <v>964</v>
      </c>
      <c r="B119" s="177">
        <v>0</v>
      </c>
      <c r="C119" s="362">
        <v>0</v>
      </c>
      <c r="D119" s="226">
        <v>0</v>
      </c>
      <c r="E119" s="178">
        <f t="shared" si="27"/>
        <v>0</v>
      </c>
      <c r="F119" s="328" t="s">
        <v>522</v>
      </c>
      <c r="G119" s="138">
        <v>0</v>
      </c>
      <c r="H119" s="364">
        <v>0</v>
      </c>
      <c r="I119" s="228">
        <v>0</v>
      </c>
      <c r="J119" s="139">
        <f t="shared" si="28"/>
        <v>0</v>
      </c>
    </row>
    <row r="120" spans="1:10" ht="14.95" thickBot="1" x14ac:dyDescent="0.3">
      <c r="A120" s="326" t="s">
        <v>143</v>
      </c>
      <c r="B120" s="177">
        <v>0</v>
      </c>
      <c r="C120" s="362">
        <v>0</v>
      </c>
      <c r="D120" s="226">
        <v>0</v>
      </c>
      <c r="E120" s="178">
        <f t="shared" si="27"/>
        <v>0</v>
      </c>
      <c r="F120" s="328" t="s">
        <v>141</v>
      </c>
      <c r="G120" s="138">
        <v>0</v>
      </c>
      <c r="H120" s="364">
        <v>0</v>
      </c>
      <c r="I120" s="228">
        <v>0</v>
      </c>
      <c r="J120" s="139">
        <f t="shared" si="28"/>
        <v>0</v>
      </c>
    </row>
    <row r="121" spans="1:10" ht="14.95" thickBot="1" x14ac:dyDescent="0.3">
      <c r="A121" s="326" t="s">
        <v>524</v>
      </c>
      <c r="B121" s="177">
        <v>0</v>
      </c>
      <c r="C121" s="362">
        <v>0</v>
      </c>
      <c r="D121" s="226">
        <v>0</v>
      </c>
      <c r="E121" s="178">
        <f t="shared" si="27"/>
        <v>0</v>
      </c>
      <c r="F121" s="328" t="s">
        <v>964</v>
      </c>
      <c r="G121" s="138">
        <v>0</v>
      </c>
      <c r="H121" s="364">
        <v>0</v>
      </c>
      <c r="I121" s="228">
        <v>0</v>
      </c>
      <c r="J121" s="139">
        <f t="shared" si="28"/>
        <v>0</v>
      </c>
    </row>
    <row r="122" spans="1:10" ht="14.95" thickBot="1" x14ac:dyDescent="0.3">
      <c r="A122" s="326" t="s">
        <v>425</v>
      </c>
      <c r="B122" s="177">
        <v>0</v>
      </c>
      <c r="C122" s="362">
        <v>0</v>
      </c>
      <c r="D122" s="226">
        <v>0</v>
      </c>
      <c r="E122" s="178">
        <f t="shared" si="27"/>
        <v>0</v>
      </c>
      <c r="F122" s="328" t="s">
        <v>143</v>
      </c>
      <c r="G122" s="138">
        <v>0</v>
      </c>
      <c r="H122" s="364">
        <v>0</v>
      </c>
      <c r="I122" s="228">
        <v>0</v>
      </c>
      <c r="J122" s="139">
        <f t="shared" si="28"/>
        <v>0</v>
      </c>
    </row>
    <row r="123" spans="1:10" ht="14.95" thickBot="1" x14ac:dyDescent="0.3">
      <c r="A123" s="326" t="s">
        <v>321</v>
      </c>
      <c r="B123" s="177">
        <v>0</v>
      </c>
      <c r="C123" s="362">
        <v>0</v>
      </c>
      <c r="D123" s="226">
        <v>0</v>
      </c>
      <c r="E123" s="178">
        <f t="shared" si="27"/>
        <v>0</v>
      </c>
      <c r="F123" s="328" t="s">
        <v>524</v>
      </c>
      <c r="G123" s="138">
        <v>0</v>
      </c>
      <c r="H123" s="364">
        <v>0</v>
      </c>
      <c r="I123" s="228">
        <v>0</v>
      </c>
      <c r="J123" s="139">
        <f t="shared" si="28"/>
        <v>0</v>
      </c>
    </row>
    <row r="124" spans="1:10" ht="14.95" thickBot="1" x14ac:dyDescent="0.3">
      <c r="A124" s="326" t="s">
        <v>328</v>
      </c>
      <c r="B124" s="177">
        <v>0</v>
      </c>
      <c r="C124" s="362">
        <v>0</v>
      </c>
      <c r="D124" s="226">
        <v>0</v>
      </c>
      <c r="E124" s="178">
        <f t="shared" si="27"/>
        <v>0</v>
      </c>
      <c r="F124" s="328" t="s">
        <v>425</v>
      </c>
      <c r="G124" s="138">
        <v>0</v>
      </c>
      <c r="H124" s="364">
        <v>0</v>
      </c>
      <c r="I124" s="228">
        <v>0</v>
      </c>
      <c r="J124" s="139">
        <f t="shared" si="28"/>
        <v>0</v>
      </c>
    </row>
    <row r="125" spans="1:10" ht="14.95" thickBot="1" x14ac:dyDescent="0.3">
      <c r="A125" s="326" t="s">
        <v>147</v>
      </c>
      <c r="B125" s="177">
        <v>0</v>
      </c>
      <c r="C125" s="362">
        <v>0</v>
      </c>
      <c r="D125" s="226">
        <v>0</v>
      </c>
      <c r="E125" s="178">
        <f t="shared" si="27"/>
        <v>0</v>
      </c>
      <c r="F125" s="328" t="s">
        <v>321</v>
      </c>
      <c r="G125" s="138">
        <v>0</v>
      </c>
      <c r="H125" s="364">
        <v>0</v>
      </c>
      <c r="I125" s="228">
        <v>0</v>
      </c>
      <c r="J125" s="139">
        <f t="shared" si="28"/>
        <v>0</v>
      </c>
    </row>
    <row r="126" spans="1:10" ht="14.95" thickBot="1" x14ac:dyDescent="0.3">
      <c r="A126" s="326" t="s">
        <v>636</v>
      </c>
      <c r="B126" s="177">
        <v>0</v>
      </c>
      <c r="C126" s="362">
        <v>0</v>
      </c>
      <c r="D126" s="226">
        <v>0</v>
      </c>
      <c r="E126" s="178">
        <f t="shared" si="27"/>
        <v>0</v>
      </c>
      <c r="F126" s="328" t="s">
        <v>328</v>
      </c>
      <c r="G126" s="138">
        <v>0</v>
      </c>
      <c r="H126" s="364">
        <v>0</v>
      </c>
      <c r="I126" s="228">
        <v>0</v>
      </c>
      <c r="J126" s="139">
        <f t="shared" si="28"/>
        <v>0</v>
      </c>
    </row>
    <row r="127" spans="1:10" ht="14.95" thickBot="1" x14ac:dyDescent="0.3">
      <c r="A127" s="326" t="s">
        <v>150</v>
      </c>
      <c r="B127" s="177">
        <v>0</v>
      </c>
      <c r="C127" s="362">
        <v>0</v>
      </c>
      <c r="D127" s="226">
        <v>0</v>
      </c>
      <c r="E127" s="178">
        <f t="shared" si="27"/>
        <v>0</v>
      </c>
      <c r="F127" s="328" t="s">
        <v>636</v>
      </c>
      <c r="G127" s="138">
        <v>0</v>
      </c>
      <c r="H127" s="364">
        <v>0</v>
      </c>
      <c r="I127" s="228">
        <v>0</v>
      </c>
      <c r="J127" s="139">
        <f t="shared" si="28"/>
        <v>0</v>
      </c>
    </row>
    <row r="128" spans="1:10" ht="14.95" thickBot="1" x14ac:dyDescent="0.3">
      <c r="A128" s="326" t="s">
        <v>151</v>
      </c>
      <c r="B128" s="177">
        <v>0</v>
      </c>
      <c r="C128" s="362">
        <v>0</v>
      </c>
      <c r="D128" s="226">
        <v>0</v>
      </c>
      <c r="E128" s="178">
        <f t="shared" si="27"/>
        <v>0</v>
      </c>
      <c r="F128" s="328" t="s">
        <v>150</v>
      </c>
      <c r="G128" s="138">
        <v>0</v>
      </c>
      <c r="H128" s="364">
        <v>0</v>
      </c>
      <c r="I128" s="228">
        <v>0</v>
      </c>
      <c r="J128" s="139">
        <f t="shared" si="28"/>
        <v>0</v>
      </c>
    </row>
    <row r="129" spans="1:10" ht="14.95" thickBot="1" x14ac:dyDescent="0.3">
      <c r="A129" s="326" t="s">
        <v>152</v>
      </c>
      <c r="B129" s="177">
        <v>0</v>
      </c>
      <c r="C129" s="362">
        <v>0</v>
      </c>
      <c r="D129" s="226">
        <v>0</v>
      </c>
      <c r="E129" s="178">
        <f t="shared" si="27"/>
        <v>0</v>
      </c>
      <c r="F129" s="328" t="s">
        <v>151</v>
      </c>
      <c r="G129" s="138">
        <v>0</v>
      </c>
      <c r="H129" s="364">
        <v>0</v>
      </c>
      <c r="I129" s="228">
        <v>0</v>
      </c>
      <c r="J129" s="139">
        <f t="shared" si="28"/>
        <v>0</v>
      </c>
    </row>
    <row r="130" spans="1:10" ht="14.95" thickBot="1" x14ac:dyDescent="0.3">
      <c r="A130" s="326" t="s">
        <v>525</v>
      </c>
      <c r="B130" s="177">
        <v>0</v>
      </c>
      <c r="C130" s="362">
        <v>0</v>
      </c>
      <c r="D130" s="226">
        <v>0</v>
      </c>
      <c r="E130" s="178">
        <f t="shared" si="27"/>
        <v>0</v>
      </c>
      <c r="F130" s="328" t="s">
        <v>152</v>
      </c>
      <c r="G130" s="138">
        <v>0</v>
      </c>
      <c r="H130" s="364">
        <v>0</v>
      </c>
      <c r="I130" s="228">
        <v>0</v>
      </c>
      <c r="J130" s="139">
        <f t="shared" si="28"/>
        <v>0</v>
      </c>
    </row>
    <row r="131" spans="1:10" ht="14.3" customHeight="1" thickBot="1" x14ac:dyDescent="0.3">
      <c r="A131" s="326" t="s">
        <v>64</v>
      </c>
      <c r="B131" s="177">
        <v>0</v>
      </c>
      <c r="C131" s="362">
        <v>0</v>
      </c>
      <c r="D131" s="226">
        <v>0</v>
      </c>
      <c r="E131" s="178">
        <f t="shared" si="27"/>
        <v>0</v>
      </c>
      <c r="F131" s="328" t="s">
        <v>525</v>
      </c>
      <c r="G131" s="138">
        <v>0</v>
      </c>
      <c r="H131" s="364">
        <v>0</v>
      </c>
      <c r="I131" s="228">
        <v>0</v>
      </c>
      <c r="J131" s="139">
        <f t="shared" si="28"/>
        <v>0</v>
      </c>
    </row>
    <row r="132" spans="1:10" ht="14.95" thickBot="1" x14ac:dyDescent="0.3">
      <c r="A132" s="326" t="s">
        <v>755</v>
      </c>
      <c r="B132" s="177">
        <v>0</v>
      </c>
      <c r="C132" s="362">
        <v>0</v>
      </c>
      <c r="D132" s="226">
        <v>0</v>
      </c>
      <c r="E132" s="178">
        <f t="shared" si="27"/>
        <v>0</v>
      </c>
      <c r="F132" s="328" t="s">
        <v>64</v>
      </c>
      <c r="G132" s="138">
        <v>0</v>
      </c>
      <c r="H132" s="364">
        <v>0</v>
      </c>
      <c r="I132" s="228">
        <v>0</v>
      </c>
      <c r="J132" s="139">
        <f t="shared" si="28"/>
        <v>0</v>
      </c>
    </row>
    <row r="133" spans="1:10" ht="14.3" customHeight="1" thickBot="1" x14ac:dyDescent="0.3">
      <c r="A133" s="326" t="s">
        <v>3</v>
      </c>
      <c r="B133" s="177">
        <f>SUM(B70:B132)</f>
        <v>80</v>
      </c>
      <c r="C133" s="362">
        <f t="shared" ref="C133:E133" si="29">SUM(C70:C132)</f>
        <v>11</v>
      </c>
      <c r="D133" s="226">
        <f t="shared" si="29"/>
        <v>31</v>
      </c>
      <c r="E133" s="178">
        <f t="shared" si="29"/>
        <v>122</v>
      </c>
      <c r="F133" s="328" t="s">
        <v>3</v>
      </c>
      <c r="G133" s="138">
        <f t="shared" ref="G133:J133" si="30">SUM(G70:G132)</f>
        <v>591</v>
      </c>
      <c r="H133" s="364">
        <f t="shared" si="30"/>
        <v>80</v>
      </c>
      <c r="I133" s="228">
        <f t="shared" si="30"/>
        <v>206</v>
      </c>
      <c r="J133" s="139">
        <f t="shared" si="30"/>
        <v>877</v>
      </c>
    </row>
    <row r="134" spans="1:10" x14ac:dyDescent="0.25">
      <c r="A134" s="420" t="s">
        <v>57</v>
      </c>
      <c r="B134" s="421"/>
      <c r="C134" s="421"/>
      <c r="D134" s="421"/>
      <c r="E134" s="421"/>
      <c r="F134" s="421"/>
      <c r="G134" s="421"/>
      <c r="H134" s="421"/>
      <c r="I134" s="421"/>
      <c r="J134" s="421"/>
    </row>
  </sheetData>
  <sortState xmlns:xlrd2="http://schemas.microsoft.com/office/spreadsheetml/2017/richdata2" ref="F70:J132">
    <sortCondition descending="1" ref="J70:J132"/>
  </sortState>
  <mergeCells count="47">
    <mergeCell ref="AU1:AW2"/>
    <mergeCell ref="AO13:AQ14"/>
    <mergeCell ref="AL13:AN14"/>
    <mergeCell ref="AO1:AQ2"/>
    <mergeCell ref="AO20:AQ21"/>
    <mergeCell ref="AR20:AT21"/>
    <mergeCell ref="AL20:AN21"/>
    <mergeCell ref="W1:Y2"/>
    <mergeCell ref="R13:T14"/>
    <mergeCell ref="AI1:AK2"/>
    <mergeCell ref="AR13:AT14"/>
    <mergeCell ref="AR1:AT2"/>
    <mergeCell ref="T1:V2"/>
    <mergeCell ref="AF1:AH2"/>
    <mergeCell ref="AF13:AH14"/>
    <mergeCell ref="U13:W14"/>
    <mergeCell ref="AL1:AN2"/>
    <mergeCell ref="AC1:AE2"/>
    <mergeCell ref="AC13:AE14"/>
    <mergeCell ref="A1:J1"/>
    <mergeCell ref="K27:K28"/>
    <mergeCell ref="L27:N28"/>
    <mergeCell ref="R1:S2"/>
    <mergeCell ref="K13:K14"/>
    <mergeCell ref="K1:K2"/>
    <mergeCell ref="L1:N2"/>
    <mergeCell ref="K20:K21"/>
    <mergeCell ref="L20:N21"/>
    <mergeCell ref="L13:N14"/>
    <mergeCell ref="R27:T28"/>
    <mergeCell ref="R20:T21"/>
    <mergeCell ref="O1:Q2"/>
    <mergeCell ref="O13:Q14"/>
    <mergeCell ref="A134:J134"/>
    <mergeCell ref="AI13:AK14"/>
    <mergeCell ref="AI27:AK28"/>
    <mergeCell ref="U27:W28"/>
    <mergeCell ref="A67:H67"/>
    <mergeCell ref="K36:Y36"/>
    <mergeCell ref="AI20:AK21"/>
    <mergeCell ref="O27:Q28"/>
    <mergeCell ref="O20:Q21"/>
    <mergeCell ref="AC20:AE21"/>
    <mergeCell ref="AC27:AE28"/>
    <mergeCell ref="U20:W21"/>
    <mergeCell ref="AF27:AH28"/>
    <mergeCell ref="AF20:AH21"/>
  </mergeCells>
  <pageMargins left="0.7" right="0.7" top="0.75" bottom="0.75" header="0.3" footer="0.3"/>
  <pageSetup paperSize="9" orientation="portrait" r:id="rId1"/>
  <ignoredErrors>
    <ignoredError sqref="E13:J15 E45:J50 E44:F44 H44:J44 E22:J22 E21:F21 H21:J21 E28:J31 E27:F27 H27:J27 E41:J41 E38:F38 H38:J38 E17:J19 E16:F16 H16:J16 E20:F20 H20:J20 E52:J52 E51:F51 H51:J51 E63:J65 E62:F62 H62:J62 E39:F39 H39:J39 E43:J43 E42:F42 H42:J42 E25:J25 E23:F23 H23:J23 E40:F40 H40:J40 E61:F61 H61:J61 E33:J37 E32:F32 H32:J32 E57:J60 E56:F56 H56:J56 E54:J55 E53:F53 H53:J53 E26:F26 H26:J26 E24:F24 H24:J24" formula="1"/>
    <ignoredError sqref="F6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100"/>
  <sheetViews>
    <sheetView topLeftCell="A72" zoomScaleNormal="100" workbookViewId="0">
      <selection activeCell="A52" sqref="A52:J99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8" width="5.375" customWidth="1"/>
    <col min="19" max="19" width="5.75" customWidth="1"/>
    <col min="20" max="30" width="5.375" customWidth="1"/>
    <col min="31" max="51" width="5.75" customWidth="1"/>
  </cols>
  <sheetData>
    <row r="1" spans="1:60" ht="14.95" customHeight="1" thickBot="1" x14ac:dyDescent="0.3">
      <c r="A1" s="89" t="s">
        <v>856</v>
      </c>
      <c r="B1" s="65"/>
      <c r="C1" s="65"/>
      <c r="D1" s="65"/>
      <c r="E1" s="65"/>
      <c r="F1" s="65"/>
      <c r="G1" s="65"/>
      <c r="H1" s="65"/>
      <c r="I1" s="65"/>
      <c r="J1" s="66"/>
      <c r="K1" s="457" t="s">
        <v>301</v>
      </c>
      <c r="L1" s="436" t="s">
        <v>72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377</v>
      </c>
      <c r="U1" s="423"/>
      <c r="V1" s="424"/>
      <c r="W1" s="422" t="s">
        <v>854</v>
      </c>
      <c r="X1" s="423"/>
      <c r="Y1" s="424"/>
      <c r="Z1" s="204"/>
      <c r="AA1" s="163"/>
      <c r="AB1" s="422" t="s">
        <v>700</v>
      </c>
      <c r="AC1" s="423"/>
      <c r="AD1" s="424"/>
      <c r="AE1" s="422" t="s">
        <v>518</v>
      </c>
      <c r="AF1" s="423"/>
      <c r="AG1" s="424"/>
      <c r="AH1" s="422" t="s">
        <v>357</v>
      </c>
      <c r="AI1" s="423"/>
      <c r="AJ1" s="424"/>
      <c r="AK1" s="422" t="s">
        <v>272</v>
      </c>
      <c r="AL1" s="423"/>
      <c r="AM1" s="424"/>
      <c r="AN1" s="422" t="s">
        <v>115</v>
      </c>
      <c r="AO1" s="423"/>
      <c r="AP1" s="424"/>
      <c r="AQ1" s="422" t="s">
        <v>83</v>
      </c>
      <c r="AR1" s="423"/>
      <c r="AS1" s="424"/>
      <c r="AT1" s="422" t="s">
        <v>78</v>
      </c>
      <c r="AU1" s="423"/>
      <c r="AV1" s="424"/>
      <c r="AW1" s="422" t="s">
        <v>60</v>
      </c>
      <c r="AX1" s="423"/>
      <c r="AY1" s="424"/>
      <c r="AZ1" s="422" t="s">
        <v>68</v>
      </c>
      <c r="BA1" s="423"/>
      <c r="BB1" s="424"/>
      <c r="BC1" s="4"/>
      <c r="BD1" s="4"/>
      <c r="BE1" s="4"/>
      <c r="BH1" s="4"/>
    </row>
    <row r="2" spans="1:60" ht="14.95" customHeight="1" thickBot="1" x14ac:dyDescent="0.3">
      <c r="A2" s="108" t="s">
        <v>0</v>
      </c>
      <c r="B2" s="116" t="s">
        <v>355</v>
      </c>
      <c r="C2" s="284" t="s">
        <v>42</v>
      </c>
      <c r="D2" s="251" t="s">
        <v>564</v>
      </c>
      <c r="E2" s="109" t="s">
        <v>1</v>
      </c>
      <c r="F2" s="286" t="s">
        <v>2</v>
      </c>
      <c r="G2" s="321" t="s">
        <v>355</v>
      </c>
      <c r="H2" s="282" t="s">
        <v>42</v>
      </c>
      <c r="I2" s="287" t="s">
        <v>564</v>
      </c>
      <c r="J2" s="107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204"/>
      <c r="AA2" s="163"/>
      <c r="AB2" s="425"/>
      <c r="AC2" s="426"/>
      <c r="AD2" s="427"/>
      <c r="AE2" s="425"/>
      <c r="AF2" s="426"/>
      <c r="AG2" s="427"/>
      <c r="AH2" s="425"/>
      <c r="AI2" s="426"/>
      <c r="AJ2" s="427"/>
      <c r="AK2" s="425"/>
      <c r="AL2" s="426"/>
      <c r="AM2" s="427"/>
      <c r="AN2" s="425"/>
      <c r="AO2" s="426"/>
      <c r="AP2" s="427"/>
      <c r="AQ2" s="425"/>
      <c r="AR2" s="426"/>
      <c r="AS2" s="427"/>
      <c r="AT2" s="425"/>
      <c r="AU2" s="426"/>
      <c r="AV2" s="427"/>
      <c r="AW2" s="425"/>
      <c r="AX2" s="426"/>
      <c r="AY2" s="427"/>
      <c r="AZ2" s="425"/>
      <c r="BA2" s="426"/>
      <c r="BB2" s="427"/>
      <c r="BC2" s="4"/>
      <c r="BD2" s="4"/>
      <c r="BE2" s="4"/>
      <c r="BF2" s="4"/>
      <c r="BG2" s="4"/>
    </row>
    <row r="3" spans="1:60" ht="14.95" thickBot="1" x14ac:dyDescent="0.3">
      <c r="A3" s="43" t="s">
        <v>366</v>
      </c>
      <c r="B3" s="78">
        <v>2</v>
      </c>
      <c r="C3" s="285">
        <v>0</v>
      </c>
      <c r="D3" s="252">
        <v>1</v>
      </c>
      <c r="E3" s="5">
        <f>SUM(B3:D3)</f>
        <v>3</v>
      </c>
      <c r="F3" s="288" t="s">
        <v>366</v>
      </c>
      <c r="G3" s="322">
        <v>10</v>
      </c>
      <c r="H3" s="283">
        <v>0</v>
      </c>
      <c r="I3" s="289">
        <v>5</v>
      </c>
      <c r="J3" s="77">
        <f>SUM(G3:I3)</f>
        <v>15</v>
      </c>
      <c r="K3" s="233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7" t="s">
        <v>74</v>
      </c>
      <c r="X3" s="7" t="s">
        <v>15</v>
      </c>
      <c r="Y3" s="7" t="s">
        <v>16</v>
      </c>
      <c r="Z3" s="94"/>
      <c r="AA3" s="95"/>
      <c r="AB3" s="151" t="s">
        <v>74</v>
      </c>
      <c r="AC3" s="7" t="s">
        <v>15</v>
      </c>
      <c r="AD3" s="7" t="s">
        <v>16</v>
      </c>
      <c r="AE3" s="151" t="s">
        <v>74</v>
      </c>
      <c r="AF3" s="7" t="s">
        <v>15</v>
      </c>
      <c r="AG3" s="7" t="s">
        <v>16</v>
      </c>
      <c r="AH3" s="151" t="s">
        <v>74</v>
      </c>
      <c r="AI3" s="7" t="s">
        <v>15</v>
      </c>
      <c r="AJ3" s="7" t="s">
        <v>16</v>
      </c>
      <c r="AK3" s="151" t="s">
        <v>74</v>
      </c>
      <c r="AL3" s="7" t="s">
        <v>15</v>
      </c>
      <c r="AM3" s="7" t="s">
        <v>16</v>
      </c>
      <c r="AN3" s="151" t="s">
        <v>74</v>
      </c>
      <c r="AO3" s="7" t="s">
        <v>15</v>
      </c>
      <c r="AP3" s="7" t="s">
        <v>16</v>
      </c>
      <c r="AQ3" s="6" t="s">
        <v>74</v>
      </c>
      <c r="AR3" s="7" t="s">
        <v>15</v>
      </c>
      <c r="AS3" s="7" t="s">
        <v>16</v>
      </c>
      <c r="AT3" s="7" t="s">
        <v>74</v>
      </c>
      <c r="AU3" s="7" t="s">
        <v>15</v>
      </c>
      <c r="AV3" s="7" t="s">
        <v>16</v>
      </c>
      <c r="AW3" s="7" t="s">
        <v>74</v>
      </c>
      <c r="AX3" s="7" t="s">
        <v>15</v>
      </c>
      <c r="AY3" s="7" t="s">
        <v>16</v>
      </c>
      <c r="AZ3" s="7" t="s">
        <v>74</v>
      </c>
      <c r="BA3" s="7" t="s">
        <v>15</v>
      </c>
      <c r="BB3" s="7" t="s">
        <v>16</v>
      </c>
    </row>
    <row r="4" spans="1:60" ht="14.95" thickBot="1" x14ac:dyDescent="0.3">
      <c r="A4" s="43" t="s">
        <v>756</v>
      </c>
      <c r="B4" s="78">
        <v>0</v>
      </c>
      <c r="C4" s="285">
        <v>0</v>
      </c>
      <c r="D4" s="252">
        <v>0</v>
      </c>
      <c r="E4" s="5">
        <f>SUM(B4:D4)</f>
        <v>0</v>
      </c>
      <c r="F4" s="288" t="s">
        <v>756</v>
      </c>
      <c r="G4" s="322">
        <v>0</v>
      </c>
      <c r="H4" s="283">
        <v>0</v>
      </c>
      <c r="I4" s="289">
        <v>0</v>
      </c>
      <c r="J4" s="77">
        <f>SUM(G4:I4)</f>
        <v>0</v>
      </c>
      <c r="K4" s="121" t="s">
        <v>756</v>
      </c>
      <c r="L4" s="41" t="s">
        <v>21</v>
      </c>
      <c r="M4" s="41" t="s">
        <v>21</v>
      </c>
      <c r="N4" s="42" t="s">
        <v>21</v>
      </c>
      <c r="O4" s="90" t="s">
        <v>21</v>
      </c>
      <c r="P4" s="90" t="s">
        <v>21</v>
      </c>
      <c r="Q4" s="91" t="s">
        <v>21</v>
      </c>
      <c r="R4" s="41" t="s">
        <v>26</v>
      </c>
      <c r="S4" s="41">
        <v>4</v>
      </c>
      <c r="T4" s="7" t="s">
        <v>21</v>
      </c>
      <c r="U4" s="7" t="s">
        <v>21</v>
      </c>
      <c r="V4" s="156" t="s">
        <v>21</v>
      </c>
      <c r="W4" s="7" t="s">
        <v>21</v>
      </c>
      <c r="X4" s="7" t="s">
        <v>21</v>
      </c>
      <c r="Y4" s="156" t="s">
        <v>21</v>
      </c>
      <c r="Z4" s="94"/>
      <c r="AA4" s="95"/>
      <c r="AB4" s="151" t="s">
        <v>21</v>
      </c>
      <c r="AC4" s="7" t="s">
        <v>21</v>
      </c>
      <c r="AD4" s="7" t="s">
        <v>21</v>
      </c>
      <c r="AE4" s="151" t="s">
        <v>21</v>
      </c>
      <c r="AF4" s="7" t="s">
        <v>21</v>
      </c>
      <c r="AG4" s="7" t="s">
        <v>21</v>
      </c>
      <c r="AH4" s="151" t="s">
        <v>21</v>
      </c>
      <c r="AI4" s="7" t="s">
        <v>21</v>
      </c>
      <c r="AJ4" s="7" t="s">
        <v>21</v>
      </c>
      <c r="AK4" s="151" t="s">
        <v>21</v>
      </c>
      <c r="AL4" s="7" t="s">
        <v>21</v>
      </c>
      <c r="AM4" s="7" t="s">
        <v>21</v>
      </c>
      <c r="AN4" s="151" t="s">
        <v>21</v>
      </c>
      <c r="AO4" s="7" t="s">
        <v>21</v>
      </c>
      <c r="AP4" s="7" t="s">
        <v>21</v>
      </c>
      <c r="AQ4" s="151" t="s">
        <v>21</v>
      </c>
      <c r="AR4" s="7" t="s">
        <v>21</v>
      </c>
      <c r="AS4" s="7" t="s">
        <v>21</v>
      </c>
      <c r="AT4" s="151" t="s">
        <v>21</v>
      </c>
      <c r="AU4" s="7" t="s">
        <v>21</v>
      </c>
      <c r="AV4" s="7" t="s">
        <v>21</v>
      </c>
      <c r="AW4" s="151" t="s">
        <v>21</v>
      </c>
      <c r="AX4" s="7" t="s">
        <v>21</v>
      </c>
      <c r="AY4" s="7" t="s">
        <v>21</v>
      </c>
      <c r="AZ4" s="151" t="s">
        <v>21</v>
      </c>
      <c r="BA4" s="7" t="s">
        <v>21</v>
      </c>
      <c r="BB4" s="7" t="s">
        <v>21</v>
      </c>
      <c r="BC4" s="4"/>
      <c r="BD4" s="4"/>
      <c r="BE4" s="4"/>
      <c r="BF4" s="4"/>
      <c r="BG4" s="4"/>
    </row>
    <row r="5" spans="1:60" ht="14.95" thickBot="1" x14ac:dyDescent="0.3">
      <c r="A5" s="43" t="s">
        <v>877</v>
      </c>
      <c r="B5" s="78">
        <v>0</v>
      </c>
      <c r="C5" s="285">
        <v>0</v>
      </c>
      <c r="D5" s="252">
        <v>1</v>
      </c>
      <c r="E5" s="5">
        <f>SUM(B5:D5)</f>
        <v>1</v>
      </c>
      <c r="F5" s="288" t="s">
        <v>877</v>
      </c>
      <c r="G5" s="322">
        <v>0</v>
      </c>
      <c r="H5" s="283">
        <v>0</v>
      </c>
      <c r="I5" s="289">
        <v>5</v>
      </c>
      <c r="J5" s="77">
        <f>SUM(G5:I5)</f>
        <v>5</v>
      </c>
      <c r="K5" s="121" t="s">
        <v>345</v>
      </c>
      <c r="L5" s="90">
        <v>5</v>
      </c>
      <c r="M5" s="90">
        <v>6</v>
      </c>
      <c r="N5" s="91">
        <f t="shared" ref="N5" si="0">SUM(L5/M5)*100</f>
        <v>83.333333333333343</v>
      </c>
      <c r="O5" s="90" t="s">
        <v>21</v>
      </c>
      <c r="P5" s="90" t="s">
        <v>21</v>
      </c>
      <c r="Q5" s="91" t="s">
        <v>21</v>
      </c>
      <c r="R5" s="41">
        <v>1</v>
      </c>
      <c r="S5" s="41">
        <v>1</v>
      </c>
      <c r="T5" s="7" t="s">
        <v>21</v>
      </c>
      <c r="U5" s="7" t="s">
        <v>21</v>
      </c>
      <c r="V5" s="156" t="s">
        <v>21</v>
      </c>
      <c r="W5" s="7" t="s">
        <v>21</v>
      </c>
      <c r="X5" s="7" t="s">
        <v>21</v>
      </c>
      <c r="Y5" s="156" t="s">
        <v>21</v>
      </c>
      <c r="Z5" s="94"/>
      <c r="AA5" s="95"/>
      <c r="AB5" s="151" t="s">
        <v>21</v>
      </c>
      <c r="AC5" s="7" t="s">
        <v>21</v>
      </c>
      <c r="AD5" s="7" t="s">
        <v>21</v>
      </c>
      <c r="AE5" s="151">
        <v>0</v>
      </c>
      <c r="AF5" s="7">
        <v>2</v>
      </c>
      <c r="AG5" s="7">
        <f t="shared" ref="AG5" si="1">SUM(AE5/AF5)*100</f>
        <v>0</v>
      </c>
      <c r="AH5" s="151" t="s">
        <v>21</v>
      </c>
      <c r="AI5" s="7" t="s">
        <v>21</v>
      </c>
      <c r="AJ5" s="7" t="s">
        <v>21</v>
      </c>
      <c r="AK5" s="151" t="s">
        <v>21</v>
      </c>
      <c r="AL5" s="7" t="s">
        <v>21</v>
      </c>
      <c r="AM5" s="7" t="s">
        <v>21</v>
      </c>
      <c r="AN5" s="151" t="s">
        <v>21</v>
      </c>
      <c r="AO5" s="7" t="s">
        <v>21</v>
      </c>
      <c r="AP5" s="7" t="s">
        <v>21</v>
      </c>
      <c r="AQ5" s="151" t="s">
        <v>21</v>
      </c>
      <c r="AR5" s="7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  <c r="BC5" s="4"/>
      <c r="BD5" s="4"/>
      <c r="BE5" s="4"/>
      <c r="BF5" s="4"/>
      <c r="BG5" s="4"/>
    </row>
    <row r="6" spans="1:60" ht="14.95" thickBot="1" x14ac:dyDescent="0.3">
      <c r="A6" s="43" t="s">
        <v>843</v>
      </c>
      <c r="B6" s="78">
        <v>0</v>
      </c>
      <c r="C6" s="285">
        <v>0</v>
      </c>
      <c r="D6" s="252">
        <v>2</v>
      </c>
      <c r="E6" s="5">
        <f>SUM(B6:D6)</f>
        <v>2</v>
      </c>
      <c r="F6" s="288" t="s">
        <v>843</v>
      </c>
      <c r="G6" s="322">
        <v>0</v>
      </c>
      <c r="H6" s="283">
        <v>0</v>
      </c>
      <c r="I6" s="289">
        <v>10</v>
      </c>
      <c r="J6" s="77">
        <f>SUM(G6:I6)</f>
        <v>10</v>
      </c>
      <c r="K6" s="121" t="s">
        <v>803</v>
      </c>
      <c r="L6" s="41" t="s">
        <v>21</v>
      </c>
      <c r="M6" s="41" t="s">
        <v>21</v>
      </c>
      <c r="N6" s="42" t="s">
        <v>21</v>
      </c>
      <c r="O6" s="90" t="s">
        <v>21</v>
      </c>
      <c r="P6" s="90" t="s">
        <v>21</v>
      </c>
      <c r="Q6" s="91" t="s">
        <v>21</v>
      </c>
      <c r="R6" s="41" t="s">
        <v>26</v>
      </c>
      <c r="S6" s="41">
        <v>5</v>
      </c>
      <c r="T6" s="7" t="s">
        <v>21</v>
      </c>
      <c r="U6" s="7" t="s">
        <v>21</v>
      </c>
      <c r="V6" s="156" t="s">
        <v>21</v>
      </c>
      <c r="W6" s="7" t="s">
        <v>21</v>
      </c>
      <c r="X6" s="7" t="s">
        <v>21</v>
      </c>
      <c r="Y6" s="156" t="s">
        <v>21</v>
      </c>
      <c r="Z6" s="94"/>
      <c r="AA6" s="95"/>
      <c r="AB6" s="151" t="s">
        <v>21</v>
      </c>
      <c r="AC6" s="7" t="s">
        <v>21</v>
      </c>
      <c r="AD6" s="7" t="s">
        <v>21</v>
      </c>
      <c r="AE6" s="151" t="s">
        <v>21</v>
      </c>
      <c r="AF6" s="7" t="s">
        <v>21</v>
      </c>
      <c r="AG6" s="7" t="s">
        <v>21</v>
      </c>
      <c r="AH6" s="151" t="s">
        <v>21</v>
      </c>
      <c r="AI6" s="7" t="s">
        <v>21</v>
      </c>
      <c r="AJ6" s="7" t="s">
        <v>21</v>
      </c>
      <c r="AK6" s="151" t="s">
        <v>21</v>
      </c>
      <c r="AL6" s="7" t="s">
        <v>21</v>
      </c>
      <c r="AM6" s="7" t="s">
        <v>21</v>
      </c>
      <c r="AN6" s="151" t="s">
        <v>21</v>
      </c>
      <c r="AO6" s="7" t="s">
        <v>21</v>
      </c>
      <c r="AP6" s="7" t="s">
        <v>21</v>
      </c>
      <c r="AQ6" s="151" t="s">
        <v>21</v>
      </c>
      <c r="AR6" s="7" t="s">
        <v>21</v>
      </c>
      <c r="AS6" s="7" t="s">
        <v>21</v>
      </c>
      <c r="AT6" s="151" t="s">
        <v>21</v>
      </c>
      <c r="AU6" s="7" t="s">
        <v>21</v>
      </c>
      <c r="AV6" s="7" t="s">
        <v>21</v>
      </c>
      <c r="AW6" s="151" t="s">
        <v>21</v>
      </c>
      <c r="AX6" s="7" t="s">
        <v>21</v>
      </c>
      <c r="AY6" s="7" t="s">
        <v>21</v>
      </c>
      <c r="AZ6" s="151" t="s">
        <v>21</v>
      </c>
      <c r="BA6" s="7" t="s">
        <v>21</v>
      </c>
      <c r="BB6" s="7" t="s">
        <v>21</v>
      </c>
      <c r="BC6" s="4"/>
      <c r="BD6" s="4"/>
      <c r="BE6" s="4"/>
      <c r="BF6" s="4"/>
      <c r="BG6" s="4"/>
    </row>
    <row r="7" spans="1:60" ht="14.95" thickBot="1" x14ac:dyDescent="0.3">
      <c r="A7" s="43" t="s">
        <v>254</v>
      </c>
      <c r="B7" s="78">
        <v>0</v>
      </c>
      <c r="C7" s="285">
        <v>0</v>
      </c>
      <c r="D7" s="252">
        <v>0</v>
      </c>
      <c r="E7" s="5">
        <f t="shared" ref="E7:E48" si="2">SUM(B7:D7)</f>
        <v>0</v>
      </c>
      <c r="F7" s="288" t="s">
        <v>254</v>
      </c>
      <c r="G7" s="322">
        <v>0</v>
      </c>
      <c r="H7" s="283">
        <v>0</v>
      </c>
      <c r="I7" s="289">
        <v>0</v>
      </c>
      <c r="J7" s="77">
        <f t="shared" ref="J7:J48" si="3">SUM(G7:I7)</f>
        <v>0</v>
      </c>
      <c r="K7" s="15" t="s">
        <v>22</v>
      </c>
      <c r="L7" s="41">
        <v>59</v>
      </c>
      <c r="M7" s="41">
        <v>78</v>
      </c>
      <c r="N7" s="42">
        <f t="shared" ref="N7" si="4">SUM(L7/M7)*100</f>
        <v>75.641025641025635</v>
      </c>
      <c r="O7" s="90">
        <v>3</v>
      </c>
      <c r="P7" s="90">
        <v>4</v>
      </c>
      <c r="Q7" s="91">
        <f t="shared" ref="Q7" si="5">SUM(O7/P7)*100</f>
        <v>75</v>
      </c>
      <c r="R7" s="90">
        <v>1</v>
      </c>
      <c r="S7" s="90">
        <v>1</v>
      </c>
      <c r="T7" s="7">
        <v>15</v>
      </c>
      <c r="U7" s="7">
        <v>18</v>
      </c>
      <c r="V7" s="156">
        <v>83.333333333333343</v>
      </c>
      <c r="W7" s="7">
        <v>18</v>
      </c>
      <c r="X7" s="7">
        <v>25</v>
      </c>
      <c r="Y7" s="156">
        <f t="shared" ref="Y7:Y8" si="6">SUM(W7/X7)*100</f>
        <v>72</v>
      </c>
      <c r="Z7" s="94"/>
      <c r="AA7" s="95"/>
      <c r="AB7" s="151" t="s">
        <v>21</v>
      </c>
      <c r="AC7" s="7" t="s">
        <v>21</v>
      </c>
      <c r="AD7" s="7" t="s">
        <v>21</v>
      </c>
      <c r="AE7" s="151" t="s">
        <v>21</v>
      </c>
      <c r="AF7" s="7" t="s">
        <v>21</v>
      </c>
      <c r="AG7" s="7" t="s">
        <v>21</v>
      </c>
      <c r="AH7" s="151" t="s">
        <v>21</v>
      </c>
      <c r="AI7" s="7" t="s">
        <v>21</v>
      </c>
      <c r="AJ7" s="7" t="s">
        <v>21</v>
      </c>
      <c r="AK7" s="151">
        <v>2</v>
      </c>
      <c r="AL7" s="7">
        <v>7</v>
      </c>
      <c r="AM7" s="156">
        <f t="shared" ref="AM7" si="7">SUM(AK7/AL7)*100</f>
        <v>28.571428571428569</v>
      </c>
      <c r="AN7" s="151">
        <v>27</v>
      </c>
      <c r="AO7" s="7">
        <v>36</v>
      </c>
      <c r="AP7" s="156">
        <f>SUM(AN7/AO7)*100</f>
        <v>75</v>
      </c>
      <c r="AQ7" s="151">
        <v>3</v>
      </c>
      <c r="AR7" s="7">
        <v>6</v>
      </c>
      <c r="AS7" s="156">
        <f>SUM(AQ7/AR7)*100</f>
        <v>50</v>
      </c>
      <c r="AT7" s="7">
        <v>44</v>
      </c>
      <c r="AU7" s="7">
        <v>56</v>
      </c>
      <c r="AV7" s="156">
        <f>SUM(AT7/AU7)*100</f>
        <v>78.571428571428569</v>
      </c>
      <c r="AW7" s="7">
        <v>14</v>
      </c>
      <c r="AX7" s="7">
        <v>22</v>
      </c>
      <c r="AY7" s="156">
        <f>SUM(AW7/AX7)*100</f>
        <v>63.636363636363633</v>
      </c>
      <c r="AZ7" s="7">
        <v>1</v>
      </c>
      <c r="BA7" s="7">
        <v>1</v>
      </c>
      <c r="BB7" s="7">
        <v>100</v>
      </c>
      <c r="BC7" s="4"/>
      <c r="BD7" s="4"/>
      <c r="BE7" s="4"/>
      <c r="BF7" s="4"/>
      <c r="BG7" s="4"/>
    </row>
    <row r="8" spans="1:60" ht="14.95" thickBot="1" x14ac:dyDescent="0.3">
      <c r="A8" s="43" t="s">
        <v>801</v>
      </c>
      <c r="B8" s="78">
        <v>0</v>
      </c>
      <c r="C8" s="285">
        <v>0</v>
      </c>
      <c r="D8" s="252">
        <v>1</v>
      </c>
      <c r="E8" s="5">
        <f t="shared" si="2"/>
        <v>1</v>
      </c>
      <c r="F8" s="288" t="s">
        <v>801</v>
      </c>
      <c r="G8" s="322">
        <v>0</v>
      </c>
      <c r="H8" s="283">
        <v>0</v>
      </c>
      <c r="I8" s="289">
        <v>5</v>
      </c>
      <c r="J8" s="77">
        <f t="shared" si="3"/>
        <v>5</v>
      </c>
      <c r="K8" s="92" t="s">
        <v>831</v>
      </c>
      <c r="L8" s="41">
        <v>2</v>
      </c>
      <c r="M8" s="41">
        <v>8</v>
      </c>
      <c r="N8" s="42">
        <f t="shared" ref="N8" si="8">SUM(L8/M8)*100</f>
        <v>25</v>
      </c>
      <c r="O8" s="90" t="s">
        <v>21</v>
      </c>
      <c r="P8" s="90" t="s">
        <v>21</v>
      </c>
      <c r="Q8" s="91" t="s">
        <v>21</v>
      </c>
      <c r="R8" s="90">
        <v>1</v>
      </c>
      <c r="S8" s="90">
        <v>1</v>
      </c>
      <c r="T8" s="7">
        <v>13</v>
      </c>
      <c r="U8" s="7">
        <v>17</v>
      </c>
      <c r="V8" s="156">
        <v>76.470588235294116</v>
      </c>
      <c r="W8" s="7">
        <v>3</v>
      </c>
      <c r="X8" s="7">
        <v>7</v>
      </c>
      <c r="Y8" s="156">
        <f t="shared" si="6"/>
        <v>42.857142857142854</v>
      </c>
      <c r="Z8" s="94"/>
      <c r="AA8" s="95"/>
      <c r="AB8" s="151">
        <v>5</v>
      </c>
      <c r="AC8" s="7">
        <v>8</v>
      </c>
      <c r="AD8" s="156">
        <f>SUM(AB8/AC8)*100</f>
        <v>62.5</v>
      </c>
      <c r="AE8" s="151">
        <v>3</v>
      </c>
      <c r="AF8" s="7">
        <v>5</v>
      </c>
      <c r="AG8" s="7">
        <f t="shared" ref="AG8" si="9">SUM(AE8/AF8)*100</f>
        <v>60</v>
      </c>
      <c r="AH8" s="151" t="s">
        <v>21</v>
      </c>
      <c r="AI8" s="7" t="s">
        <v>21</v>
      </c>
      <c r="AJ8" s="7" t="s">
        <v>21</v>
      </c>
      <c r="AK8" s="151" t="s">
        <v>21</v>
      </c>
      <c r="AL8" s="7" t="s">
        <v>21</v>
      </c>
      <c r="AM8" s="7" t="s">
        <v>21</v>
      </c>
      <c r="AN8" s="151" t="s">
        <v>21</v>
      </c>
      <c r="AO8" s="7" t="s">
        <v>21</v>
      </c>
      <c r="AP8" s="7" t="s">
        <v>21</v>
      </c>
      <c r="AQ8" s="151" t="s">
        <v>21</v>
      </c>
      <c r="AR8" s="7" t="s">
        <v>21</v>
      </c>
      <c r="AS8" s="7" t="s">
        <v>21</v>
      </c>
      <c r="AT8" s="7" t="s">
        <v>21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  <c r="BC8" s="4"/>
      <c r="BD8" s="4"/>
      <c r="BE8" s="4"/>
      <c r="BF8" s="4"/>
      <c r="BG8" s="4"/>
    </row>
    <row r="9" spans="1:60" ht="14.95" thickBot="1" x14ac:dyDescent="0.3">
      <c r="A9" s="43" t="s">
        <v>80</v>
      </c>
      <c r="B9" s="78">
        <v>0</v>
      </c>
      <c r="C9" s="285">
        <v>0</v>
      </c>
      <c r="D9" s="252">
        <v>0</v>
      </c>
      <c r="E9" s="5">
        <f t="shared" si="2"/>
        <v>0</v>
      </c>
      <c r="F9" s="288" t="s">
        <v>80</v>
      </c>
      <c r="G9" s="322">
        <v>0</v>
      </c>
      <c r="H9" s="283">
        <v>0</v>
      </c>
      <c r="I9" s="289">
        <v>0</v>
      </c>
      <c r="J9" s="77">
        <f t="shared" si="3"/>
        <v>0</v>
      </c>
      <c r="K9" s="57"/>
      <c r="AQ9" s="4"/>
      <c r="AR9" s="4"/>
      <c r="AS9" s="4"/>
      <c r="AU9" s="4"/>
      <c r="AV9" s="4"/>
    </row>
    <row r="10" spans="1:60" ht="17" thickBot="1" x14ac:dyDescent="0.3">
      <c r="A10" s="43" t="s">
        <v>973</v>
      </c>
      <c r="B10" s="78">
        <v>0</v>
      </c>
      <c r="C10" s="285">
        <v>1</v>
      </c>
      <c r="D10" s="252">
        <v>0</v>
      </c>
      <c r="E10" s="5">
        <f t="shared" si="2"/>
        <v>1</v>
      </c>
      <c r="F10" s="288" t="s">
        <v>973</v>
      </c>
      <c r="G10" s="322">
        <v>0</v>
      </c>
      <c r="H10" s="283">
        <v>5</v>
      </c>
      <c r="I10" s="289">
        <v>0</v>
      </c>
      <c r="J10" s="77">
        <f t="shared" si="3"/>
        <v>5</v>
      </c>
      <c r="K10" s="455" t="s">
        <v>302</v>
      </c>
      <c r="L10" s="436" t="s">
        <v>20</v>
      </c>
      <c r="M10" s="437"/>
      <c r="N10" s="438"/>
      <c r="O10" s="422" t="s">
        <v>365</v>
      </c>
      <c r="P10" s="423"/>
      <c r="Q10" s="424"/>
      <c r="R10" s="422" t="s">
        <v>854</v>
      </c>
      <c r="S10" s="423"/>
      <c r="T10" s="424"/>
      <c r="U10" s="422" t="s">
        <v>700</v>
      </c>
      <c r="V10" s="423"/>
      <c r="W10" s="424"/>
      <c r="X10" s="163"/>
      <c r="Y10" s="163"/>
      <c r="Z10" s="163"/>
      <c r="AB10" s="422" t="s">
        <v>518</v>
      </c>
      <c r="AC10" s="423"/>
      <c r="AD10" s="424"/>
      <c r="AE10" s="422" t="s">
        <v>356</v>
      </c>
      <c r="AF10" s="423"/>
      <c r="AG10" s="424"/>
      <c r="AH10" s="422" t="s">
        <v>272</v>
      </c>
      <c r="AI10" s="423"/>
      <c r="AJ10" s="424"/>
      <c r="AK10" s="422" t="s">
        <v>115</v>
      </c>
      <c r="AL10" s="423"/>
      <c r="AM10" s="424"/>
      <c r="AN10" s="422" t="s">
        <v>83</v>
      </c>
      <c r="AO10" s="423"/>
      <c r="AP10" s="424"/>
      <c r="AQ10" s="422" t="s">
        <v>78</v>
      </c>
      <c r="AR10" s="423"/>
      <c r="AS10" s="424"/>
      <c r="AT10" s="422" t="s">
        <v>67</v>
      </c>
      <c r="AU10" s="423"/>
      <c r="AV10" s="424"/>
      <c r="AW10" s="63"/>
      <c r="AX10" s="63"/>
    </row>
    <row r="11" spans="1:60" ht="14.95" customHeight="1" thickBot="1" x14ac:dyDescent="0.3">
      <c r="A11" s="43" t="s">
        <v>816</v>
      </c>
      <c r="B11" s="78">
        <v>10</v>
      </c>
      <c r="C11" s="285">
        <v>0</v>
      </c>
      <c r="D11" s="252">
        <v>1</v>
      </c>
      <c r="E11" s="5">
        <f t="shared" si="2"/>
        <v>11</v>
      </c>
      <c r="F11" s="288" t="s">
        <v>816</v>
      </c>
      <c r="G11" s="322">
        <v>50</v>
      </c>
      <c r="H11" s="283">
        <v>0</v>
      </c>
      <c r="I11" s="289">
        <v>5</v>
      </c>
      <c r="J11" s="77">
        <f t="shared" si="3"/>
        <v>55</v>
      </c>
      <c r="K11" s="456"/>
      <c r="L11" s="439"/>
      <c r="M11" s="440"/>
      <c r="N11" s="441"/>
      <c r="O11" s="425"/>
      <c r="P11" s="426"/>
      <c r="Q11" s="427"/>
      <c r="R11" s="425"/>
      <c r="S11" s="426"/>
      <c r="T11" s="427"/>
      <c r="U11" s="425"/>
      <c r="V11" s="426"/>
      <c r="W11" s="427"/>
      <c r="X11" s="163"/>
      <c r="Y11" s="163"/>
      <c r="Z11" s="163"/>
      <c r="AB11" s="425"/>
      <c r="AC11" s="426"/>
      <c r="AD11" s="427"/>
      <c r="AE11" s="425"/>
      <c r="AF11" s="426"/>
      <c r="AG11" s="427"/>
      <c r="AH11" s="425"/>
      <c r="AI11" s="426"/>
      <c r="AJ11" s="427"/>
      <c r="AK11" s="425"/>
      <c r="AL11" s="426"/>
      <c r="AM11" s="427"/>
      <c r="AN11" s="425"/>
      <c r="AO11" s="426"/>
      <c r="AP11" s="427"/>
      <c r="AQ11" s="425"/>
      <c r="AR11" s="426"/>
      <c r="AS11" s="427"/>
      <c r="AT11" s="425"/>
      <c r="AU11" s="426"/>
      <c r="AV11" s="427"/>
      <c r="AW11" s="63"/>
      <c r="AX11" s="63"/>
    </row>
    <row r="12" spans="1:60" ht="14.95" customHeight="1" thickBot="1" x14ac:dyDescent="0.3">
      <c r="A12" s="43" t="s">
        <v>878</v>
      </c>
      <c r="B12" s="78">
        <v>4</v>
      </c>
      <c r="C12" s="285">
        <v>1</v>
      </c>
      <c r="D12" s="252">
        <v>1</v>
      </c>
      <c r="E12" s="5">
        <f t="shared" ref="E12" si="10">SUM(B12:D12)</f>
        <v>6</v>
      </c>
      <c r="F12" s="288" t="s">
        <v>878</v>
      </c>
      <c r="G12" s="322">
        <v>20</v>
      </c>
      <c r="H12" s="283">
        <v>5</v>
      </c>
      <c r="I12" s="289">
        <v>5</v>
      </c>
      <c r="J12" s="77">
        <f t="shared" ref="J12" si="11">SUM(G12:I12)</f>
        <v>30</v>
      </c>
      <c r="K12" s="278" t="s">
        <v>30</v>
      </c>
      <c r="L12" s="3" t="s">
        <v>74</v>
      </c>
      <c r="M12" s="3" t="s">
        <v>15</v>
      </c>
      <c r="N12" s="3" t="s">
        <v>16</v>
      </c>
      <c r="O12" s="7" t="s">
        <v>74</v>
      </c>
      <c r="P12" s="7" t="s">
        <v>15</v>
      </c>
      <c r="Q12" s="7" t="s">
        <v>16</v>
      </c>
      <c r="R12" s="7" t="s">
        <v>74</v>
      </c>
      <c r="S12" s="7" t="s">
        <v>15</v>
      </c>
      <c r="T12" s="7" t="s">
        <v>16</v>
      </c>
      <c r="U12" s="7" t="s">
        <v>74</v>
      </c>
      <c r="V12" s="7" t="s">
        <v>15</v>
      </c>
      <c r="W12" s="7" t="s">
        <v>16</v>
      </c>
      <c r="AB12" s="151" t="s">
        <v>74</v>
      </c>
      <c r="AC12" s="7" t="s">
        <v>15</v>
      </c>
      <c r="AD12" s="7" t="s">
        <v>16</v>
      </c>
      <c r="AE12" s="151" t="s">
        <v>74</v>
      </c>
      <c r="AF12" s="7" t="s">
        <v>15</v>
      </c>
      <c r="AG12" s="7" t="s">
        <v>16</v>
      </c>
      <c r="AH12" s="151" t="s">
        <v>74</v>
      </c>
      <c r="AI12" s="7" t="s">
        <v>15</v>
      </c>
      <c r="AJ12" s="7" t="s">
        <v>16</v>
      </c>
      <c r="AK12" s="151" t="s">
        <v>74</v>
      </c>
      <c r="AL12" s="7" t="s">
        <v>15</v>
      </c>
      <c r="AM12" s="7" t="s">
        <v>16</v>
      </c>
      <c r="AN12" s="151" t="s">
        <v>74</v>
      </c>
      <c r="AO12" s="7" t="s">
        <v>15</v>
      </c>
      <c r="AP12" s="7" t="s">
        <v>16</v>
      </c>
      <c r="AQ12" s="151" t="s">
        <v>74</v>
      </c>
      <c r="AR12" s="7" t="s">
        <v>15</v>
      </c>
      <c r="AS12" s="7" t="s">
        <v>16</v>
      </c>
      <c r="AT12" s="151" t="s">
        <v>74</v>
      </c>
      <c r="AU12" s="7" t="s">
        <v>15</v>
      </c>
      <c r="AV12" s="7" t="s">
        <v>16</v>
      </c>
      <c r="AW12" s="63"/>
      <c r="AX12" s="63"/>
      <c r="BD12" s="4"/>
      <c r="BE12" s="4"/>
      <c r="BF12" s="4"/>
      <c r="BG12" s="4"/>
      <c r="BH12" s="4"/>
    </row>
    <row r="13" spans="1:60" ht="14.95" customHeight="1" thickBot="1" x14ac:dyDescent="0.3">
      <c r="A13" s="43" t="s">
        <v>606</v>
      </c>
      <c r="B13" s="78">
        <v>3</v>
      </c>
      <c r="C13" s="285">
        <v>3</v>
      </c>
      <c r="D13" s="252">
        <v>2</v>
      </c>
      <c r="E13" s="5">
        <f t="shared" si="2"/>
        <v>8</v>
      </c>
      <c r="F13" s="288" t="s">
        <v>606</v>
      </c>
      <c r="G13" s="322">
        <v>15</v>
      </c>
      <c r="H13" s="283">
        <v>15</v>
      </c>
      <c r="I13" s="289">
        <v>10</v>
      </c>
      <c r="J13" s="77">
        <f t="shared" si="3"/>
        <v>40</v>
      </c>
      <c r="K13" s="15" t="s">
        <v>22</v>
      </c>
      <c r="L13" s="41">
        <v>17</v>
      </c>
      <c r="M13" s="41">
        <v>21</v>
      </c>
      <c r="N13" s="42">
        <f t="shared" ref="N13" si="12">SUM(L13/M13)*100</f>
        <v>80.952380952380949</v>
      </c>
      <c r="O13" s="7">
        <v>2</v>
      </c>
      <c r="P13" s="7">
        <v>2</v>
      </c>
      <c r="Q13" s="7">
        <v>100</v>
      </c>
      <c r="R13" s="7">
        <v>2</v>
      </c>
      <c r="S13" s="7">
        <v>2</v>
      </c>
      <c r="T13" s="7">
        <f t="shared" ref="T13" si="13">SUM(R13/S13)*100</f>
        <v>100</v>
      </c>
      <c r="U13" s="7" t="s">
        <v>21</v>
      </c>
      <c r="V13" s="7" t="s">
        <v>21</v>
      </c>
      <c r="W13" s="7" t="s">
        <v>21</v>
      </c>
      <c r="AB13" s="151" t="s">
        <v>21</v>
      </c>
      <c r="AC13" s="7" t="s">
        <v>21</v>
      </c>
      <c r="AD13" s="7" t="s">
        <v>21</v>
      </c>
      <c r="AE13" s="151" t="s">
        <v>21</v>
      </c>
      <c r="AF13" s="7" t="s">
        <v>21</v>
      </c>
      <c r="AG13" s="7" t="s">
        <v>21</v>
      </c>
      <c r="AH13" s="151" t="s">
        <v>21</v>
      </c>
      <c r="AI13" s="7" t="s">
        <v>21</v>
      </c>
      <c r="AJ13" s="7" t="s">
        <v>21</v>
      </c>
      <c r="AK13" s="151">
        <v>4</v>
      </c>
      <c r="AL13" s="7">
        <v>5</v>
      </c>
      <c r="AM13" s="156">
        <f>SUM(AK13/AL13)*100</f>
        <v>80</v>
      </c>
      <c r="AN13" s="151">
        <v>5</v>
      </c>
      <c r="AO13" s="7">
        <v>8</v>
      </c>
      <c r="AP13" s="156">
        <f>SUM(AN13/AO13)*100</f>
        <v>62.5</v>
      </c>
      <c r="AQ13" s="6" t="s">
        <v>21</v>
      </c>
      <c r="AR13" s="7" t="s">
        <v>21</v>
      </c>
      <c r="AS13" s="7" t="s">
        <v>21</v>
      </c>
      <c r="AT13" s="151">
        <v>8</v>
      </c>
      <c r="AU13" s="7">
        <v>9</v>
      </c>
      <c r="AV13" s="156">
        <f>SUM(AT13/AU13)*100</f>
        <v>88.888888888888886</v>
      </c>
      <c r="AW13" s="63"/>
      <c r="AX13" s="63"/>
      <c r="BD13" s="4"/>
      <c r="BE13" s="4"/>
      <c r="BF13" s="4"/>
      <c r="BG13" s="4"/>
      <c r="BH13" s="4"/>
    </row>
    <row r="14" spans="1:60" ht="14.95" customHeight="1" thickBot="1" x14ac:dyDescent="0.3">
      <c r="A14" s="43" t="s">
        <v>343</v>
      </c>
      <c r="B14" s="78">
        <v>0</v>
      </c>
      <c r="C14" s="285">
        <v>0</v>
      </c>
      <c r="D14" s="252">
        <v>0</v>
      </c>
      <c r="E14" s="5">
        <f t="shared" si="2"/>
        <v>0</v>
      </c>
      <c r="F14" s="288" t="s">
        <v>343</v>
      </c>
      <c r="G14" s="322">
        <v>0</v>
      </c>
      <c r="H14" s="283">
        <v>0</v>
      </c>
      <c r="I14" s="289">
        <v>0</v>
      </c>
      <c r="J14" s="77">
        <f t="shared" si="3"/>
        <v>0</v>
      </c>
      <c r="K14" s="119" t="s">
        <v>137</v>
      </c>
      <c r="L14" s="41" t="s">
        <v>21</v>
      </c>
      <c r="M14" s="41" t="s">
        <v>21</v>
      </c>
      <c r="N14" s="42" t="s">
        <v>21</v>
      </c>
      <c r="O14" s="7" t="s">
        <v>21</v>
      </c>
      <c r="P14" s="7" t="s">
        <v>21</v>
      </c>
      <c r="Q14" s="7" t="s">
        <v>21</v>
      </c>
      <c r="R14" s="7" t="s">
        <v>21</v>
      </c>
      <c r="S14" s="7" t="s">
        <v>21</v>
      </c>
      <c r="T14" s="7" t="s">
        <v>21</v>
      </c>
      <c r="U14" s="7" t="s">
        <v>21</v>
      </c>
      <c r="V14" s="7" t="s">
        <v>21</v>
      </c>
      <c r="W14" s="7" t="s">
        <v>21</v>
      </c>
      <c r="AB14" s="151" t="s">
        <v>21</v>
      </c>
      <c r="AC14" s="7" t="s">
        <v>21</v>
      </c>
      <c r="AD14" s="7" t="s">
        <v>21</v>
      </c>
      <c r="AE14" s="151" t="s">
        <v>21</v>
      </c>
      <c r="AF14" s="7" t="s">
        <v>21</v>
      </c>
      <c r="AG14" s="7" t="s">
        <v>21</v>
      </c>
      <c r="AH14" s="151" t="s">
        <v>21</v>
      </c>
      <c r="AI14" s="7" t="s">
        <v>21</v>
      </c>
      <c r="AJ14" s="7" t="s">
        <v>21</v>
      </c>
      <c r="AK14" s="151" t="s">
        <v>21</v>
      </c>
      <c r="AL14" s="7" t="s">
        <v>21</v>
      </c>
      <c r="AM14" s="7" t="s">
        <v>21</v>
      </c>
      <c r="AN14" s="151" t="s">
        <v>21</v>
      </c>
      <c r="AO14" s="7" t="s">
        <v>21</v>
      </c>
      <c r="AP14" s="7" t="s">
        <v>21</v>
      </c>
      <c r="AQ14" s="6" t="s">
        <v>21</v>
      </c>
      <c r="AR14" s="7" t="s">
        <v>21</v>
      </c>
      <c r="AS14" s="7" t="s">
        <v>21</v>
      </c>
      <c r="AT14" s="7" t="s">
        <v>21</v>
      </c>
      <c r="AU14" s="7" t="s">
        <v>21</v>
      </c>
      <c r="AV14" s="7" t="s">
        <v>21</v>
      </c>
      <c r="AW14" s="164"/>
      <c r="AX14" s="87"/>
      <c r="AY14" s="88"/>
      <c r="AZ14" s="88"/>
      <c r="BA14" s="88"/>
      <c r="BB14" s="88"/>
      <c r="BD14" s="4"/>
      <c r="BE14" s="4"/>
      <c r="BF14" s="4"/>
      <c r="BG14" s="4"/>
      <c r="BH14" s="4"/>
    </row>
    <row r="15" spans="1:60" ht="14.95" customHeight="1" thickBot="1" x14ac:dyDescent="0.3">
      <c r="A15" s="43" t="s">
        <v>879</v>
      </c>
      <c r="B15" s="78">
        <v>0</v>
      </c>
      <c r="C15" s="285">
        <v>0</v>
      </c>
      <c r="D15" s="252">
        <v>2</v>
      </c>
      <c r="E15" s="5">
        <f t="shared" ref="E15" si="14">SUM(B15:D15)</f>
        <v>2</v>
      </c>
      <c r="F15" s="288" t="s">
        <v>879</v>
      </c>
      <c r="G15" s="322">
        <v>0</v>
      </c>
      <c r="H15" s="283">
        <v>0</v>
      </c>
      <c r="I15" s="289">
        <v>10</v>
      </c>
      <c r="J15" s="77">
        <f t="shared" ref="J15" si="15">SUM(G15:I15)</f>
        <v>10</v>
      </c>
      <c r="K15" s="199" t="s">
        <v>831</v>
      </c>
      <c r="L15" s="41" t="s">
        <v>21</v>
      </c>
      <c r="M15" s="41" t="s">
        <v>21</v>
      </c>
      <c r="N15" s="42" t="s">
        <v>21</v>
      </c>
      <c r="O15" s="7">
        <v>2</v>
      </c>
      <c r="P15" s="7">
        <v>2</v>
      </c>
      <c r="Q15" s="7">
        <v>100</v>
      </c>
      <c r="R15" s="7" t="s">
        <v>21</v>
      </c>
      <c r="S15" s="7" t="s">
        <v>21</v>
      </c>
      <c r="T15" s="7" t="s">
        <v>21</v>
      </c>
      <c r="U15" s="6">
        <v>1</v>
      </c>
      <c r="V15" s="6">
        <v>1</v>
      </c>
      <c r="W15" s="160">
        <f t="shared" ref="W15" si="16">SUM(U15/V15)*100</f>
        <v>100</v>
      </c>
      <c r="AB15" s="6">
        <v>1</v>
      </c>
      <c r="AC15" s="6">
        <v>1</v>
      </c>
      <c r="AD15" s="160">
        <f t="shared" ref="AD15" si="17">SUM(AB15/AC15)*100</f>
        <v>100</v>
      </c>
      <c r="AE15" s="6" t="s">
        <v>21</v>
      </c>
      <c r="AF15" s="7" t="s">
        <v>21</v>
      </c>
      <c r="AG15" s="7" t="s">
        <v>21</v>
      </c>
      <c r="AH15" s="151" t="s">
        <v>21</v>
      </c>
      <c r="AI15" s="7" t="s">
        <v>21</v>
      </c>
      <c r="AJ15" s="7" t="s">
        <v>21</v>
      </c>
      <c r="AK15" s="151" t="s">
        <v>21</v>
      </c>
      <c r="AL15" s="7" t="s">
        <v>21</v>
      </c>
      <c r="AM15" s="7" t="s">
        <v>21</v>
      </c>
      <c r="AN15" s="151" t="s">
        <v>21</v>
      </c>
      <c r="AO15" s="7" t="s">
        <v>21</v>
      </c>
      <c r="AP15" s="7" t="s">
        <v>21</v>
      </c>
      <c r="AQ15" s="6" t="s">
        <v>21</v>
      </c>
      <c r="AR15" s="7" t="s">
        <v>21</v>
      </c>
      <c r="AS15" s="7" t="s">
        <v>21</v>
      </c>
      <c r="AT15" s="7" t="s">
        <v>21</v>
      </c>
      <c r="AU15" s="7" t="s">
        <v>21</v>
      </c>
      <c r="AV15" s="7" t="s">
        <v>21</v>
      </c>
      <c r="AW15" s="63"/>
      <c r="AX15" s="63"/>
      <c r="BC15" s="88"/>
      <c r="BD15" s="4"/>
      <c r="BE15" s="4"/>
      <c r="BF15" s="4"/>
      <c r="BG15" s="4"/>
      <c r="BH15" s="4"/>
    </row>
    <row r="16" spans="1:60" ht="14.95" customHeight="1" thickBot="1" x14ac:dyDescent="0.3">
      <c r="A16" s="43" t="s">
        <v>880</v>
      </c>
      <c r="B16" s="78">
        <v>0</v>
      </c>
      <c r="C16" s="285">
        <v>0</v>
      </c>
      <c r="D16" s="252">
        <v>0</v>
      </c>
      <c r="E16" s="5">
        <f t="shared" ref="E16" si="18">SUM(B16:D16)</f>
        <v>0</v>
      </c>
      <c r="F16" s="288" t="s">
        <v>880</v>
      </c>
      <c r="G16" s="322">
        <v>0</v>
      </c>
      <c r="H16" s="283">
        <v>0</v>
      </c>
      <c r="I16" s="289">
        <v>18</v>
      </c>
      <c r="J16" s="77">
        <f t="shared" ref="J16" si="19">SUM(G16:I16)</f>
        <v>18</v>
      </c>
      <c r="K16" s="58"/>
      <c r="L16" s="59"/>
      <c r="M16" s="59"/>
      <c r="N16" s="60"/>
      <c r="O16" s="165"/>
      <c r="P16" s="165"/>
      <c r="Q16" s="165"/>
      <c r="R16" s="63"/>
      <c r="S16" s="63"/>
      <c r="T16" s="63"/>
      <c r="U16" s="63"/>
      <c r="V16" s="63"/>
      <c r="W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O16" s="4"/>
      <c r="AP16" s="4"/>
      <c r="AQ16" s="4"/>
      <c r="AT16" s="4"/>
    </row>
    <row r="17" spans="1:60" ht="14.95" customHeight="1" thickBot="1" x14ac:dyDescent="0.3">
      <c r="A17" s="43" t="s">
        <v>62</v>
      </c>
      <c r="B17" s="78">
        <v>1</v>
      </c>
      <c r="C17" s="285">
        <v>0</v>
      </c>
      <c r="D17" s="252">
        <v>0</v>
      </c>
      <c r="E17" s="5">
        <f t="shared" si="2"/>
        <v>1</v>
      </c>
      <c r="F17" s="288" t="s">
        <v>62</v>
      </c>
      <c r="G17" s="322">
        <v>5</v>
      </c>
      <c r="H17" s="283">
        <v>0</v>
      </c>
      <c r="I17" s="289">
        <v>0</v>
      </c>
      <c r="J17" s="77">
        <f t="shared" si="3"/>
        <v>5</v>
      </c>
      <c r="K17" s="485" t="s">
        <v>303</v>
      </c>
      <c r="L17" s="422" t="s">
        <v>20</v>
      </c>
      <c r="M17" s="423"/>
      <c r="N17" s="424"/>
      <c r="O17" s="422" t="s">
        <v>365</v>
      </c>
      <c r="P17" s="423"/>
      <c r="Q17" s="424"/>
      <c r="R17" s="422" t="s">
        <v>854</v>
      </c>
      <c r="S17" s="423"/>
      <c r="T17" s="424"/>
      <c r="U17" s="422" t="s">
        <v>700</v>
      </c>
      <c r="V17" s="423"/>
      <c r="W17" s="424"/>
      <c r="AB17" s="422" t="s">
        <v>518</v>
      </c>
      <c r="AC17" s="423"/>
      <c r="AD17" s="424"/>
      <c r="AE17" s="422" t="s">
        <v>357</v>
      </c>
      <c r="AF17" s="423"/>
      <c r="AG17" s="424"/>
      <c r="AH17" s="422" t="s">
        <v>272</v>
      </c>
      <c r="AI17" s="423"/>
      <c r="AJ17" s="424"/>
      <c r="AK17" s="422" t="s">
        <v>115</v>
      </c>
      <c r="AL17" s="423"/>
      <c r="AM17" s="424"/>
      <c r="AN17" s="422" t="s">
        <v>83</v>
      </c>
      <c r="AO17" s="423"/>
      <c r="AP17" s="424"/>
      <c r="AQ17" s="422" t="s">
        <v>88</v>
      </c>
      <c r="AR17" s="423"/>
      <c r="AS17" s="424"/>
      <c r="AT17" s="422" t="s">
        <v>67</v>
      </c>
      <c r="AU17" s="423"/>
      <c r="AV17" s="424"/>
      <c r="AW17" s="63"/>
      <c r="AX17" s="63"/>
      <c r="BD17" s="4"/>
      <c r="BE17" s="4"/>
    </row>
    <row r="18" spans="1:60" ht="14.95" customHeight="1" thickBot="1" x14ac:dyDescent="0.3">
      <c r="A18" s="43" t="s">
        <v>54</v>
      </c>
      <c r="B18" s="78">
        <v>0</v>
      </c>
      <c r="C18" s="285">
        <v>0</v>
      </c>
      <c r="D18" s="252">
        <v>0</v>
      </c>
      <c r="E18" s="5">
        <f t="shared" si="2"/>
        <v>0</v>
      </c>
      <c r="F18" s="288" t="s">
        <v>54</v>
      </c>
      <c r="G18" s="322">
        <v>0</v>
      </c>
      <c r="H18" s="283">
        <v>0</v>
      </c>
      <c r="I18" s="289">
        <v>0</v>
      </c>
      <c r="J18" s="77">
        <f t="shared" si="3"/>
        <v>0</v>
      </c>
      <c r="K18" s="486"/>
      <c r="L18" s="425"/>
      <c r="M18" s="426"/>
      <c r="N18" s="427"/>
      <c r="O18" s="425"/>
      <c r="P18" s="426"/>
      <c r="Q18" s="427"/>
      <c r="R18" s="425"/>
      <c r="S18" s="426"/>
      <c r="T18" s="427"/>
      <c r="U18" s="425"/>
      <c r="V18" s="426"/>
      <c r="W18" s="427"/>
      <c r="AB18" s="425"/>
      <c r="AC18" s="426"/>
      <c r="AD18" s="427"/>
      <c r="AE18" s="425"/>
      <c r="AF18" s="426"/>
      <c r="AG18" s="427"/>
      <c r="AH18" s="425"/>
      <c r="AI18" s="426"/>
      <c r="AJ18" s="427"/>
      <c r="AK18" s="425"/>
      <c r="AL18" s="426"/>
      <c r="AM18" s="427"/>
      <c r="AN18" s="425"/>
      <c r="AO18" s="426"/>
      <c r="AP18" s="427"/>
      <c r="AQ18" s="425"/>
      <c r="AR18" s="426"/>
      <c r="AS18" s="427"/>
      <c r="AT18" s="425"/>
      <c r="AU18" s="426"/>
      <c r="AV18" s="427"/>
      <c r="AW18" s="63"/>
      <c r="AX18" s="63"/>
    </row>
    <row r="19" spans="1:60" ht="14.95" customHeight="1" thickBot="1" x14ac:dyDescent="0.3">
      <c r="A19" s="43" t="s">
        <v>345</v>
      </c>
      <c r="B19" s="78">
        <v>3</v>
      </c>
      <c r="C19" s="285">
        <v>0</v>
      </c>
      <c r="D19" s="252">
        <v>3</v>
      </c>
      <c r="E19" s="5">
        <f t="shared" si="2"/>
        <v>6</v>
      </c>
      <c r="F19" s="288" t="s">
        <v>345</v>
      </c>
      <c r="G19" s="322">
        <v>27</v>
      </c>
      <c r="H19" s="283">
        <v>0</v>
      </c>
      <c r="I19" s="289">
        <v>15</v>
      </c>
      <c r="J19" s="77">
        <f t="shared" si="3"/>
        <v>42</v>
      </c>
      <c r="K19" s="272" t="s">
        <v>30</v>
      </c>
      <c r="L19" s="7" t="s">
        <v>74</v>
      </c>
      <c r="M19" s="7" t="s">
        <v>15</v>
      </c>
      <c r="N19" s="7" t="s">
        <v>16</v>
      </c>
      <c r="O19" s="7" t="s">
        <v>74</v>
      </c>
      <c r="P19" s="7" t="s">
        <v>15</v>
      </c>
      <c r="Q19" s="7" t="s">
        <v>16</v>
      </c>
      <c r="R19" s="7" t="s">
        <v>74</v>
      </c>
      <c r="S19" s="7" t="s">
        <v>15</v>
      </c>
      <c r="T19" s="7" t="s">
        <v>16</v>
      </c>
      <c r="U19" s="151" t="s">
        <v>74</v>
      </c>
      <c r="V19" s="7" t="s">
        <v>15</v>
      </c>
      <c r="W19" s="7" t="s">
        <v>16</v>
      </c>
      <c r="AB19" s="151" t="s">
        <v>74</v>
      </c>
      <c r="AC19" s="7" t="s">
        <v>15</v>
      </c>
      <c r="AD19" s="7" t="s">
        <v>16</v>
      </c>
      <c r="AE19" s="151" t="s">
        <v>74</v>
      </c>
      <c r="AF19" s="7" t="s">
        <v>15</v>
      </c>
      <c r="AG19" s="7" t="s">
        <v>16</v>
      </c>
      <c r="AH19" s="151" t="s">
        <v>74</v>
      </c>
      <c r="AI19" s="7" t="s">
        <v>15</v>
      </c>
      <c r="AJ19" s="7" t="s">
        <v>16</v>
      </c>
      <c r="AK19" s="151" t="s">
        <v>74</v>
      </c>
      <c r="AL19" s="7" t="s">
        <v>15</v>
      </c>
      <c r="AM19" s="7" t="s">
        <v>16</v>
      </c>
      <c r="AN19" s="151" t="s">
        <v>74</v>
      </c>
      <c r="AO19" s="7" t="s">
        <v>15</v>
      </c>
      <c r="AP19" s="7" t="s">
        <v>16</v>
      </c>
      <c r="AQ19" s="151" t="s">
        <v>74</v>
      </c>
      <c r="AR19" s="7" t="s">
        <v>15</v>
      </c>
      <c r="AS19" s="7" t="s">
        <v>16</v>
      </c>
      <c r="AT19" s="151" t="s">
        <v>74</v>
      </c>
      <c r="AU19" s="7" t="s">
        <v>15</v>
      </c>
      <c r="AV19" s="7" t="s">
        <v>16</v>
      </c>
      <c r="AW19" s="63"/>
      <c r="AX19" s="63"/>
    </row>
    <row r="20" spans="1:60" ht="14.95" customHeight="1" thickBot="1" x14ac:dyDescent="0.3">
      <c r="A20" s="43" t="s">
        <v>374</v>
      </c>
      <c r="B20" s="78">
        <v>0</v>
      </c>
      <c r="C20" s="285">
        <v>0</v>
      </c>
      <c r="D20" s="252">
        <v>0</v>
      </c>
      <c r="E20" s="5">
        <f t="shared" si="2"/>
        <v>0</v>
      </c>
      <c r="F20" s="288" t="s">
        <v>374</v>
      </c>
      <c r="G20" s="322">
        <v>0</v>
      </c>
      <c r="H20" s="283">
        <v>0</v>
      </c>
      <c r="I20" s="289">
        <v>0</v>
      </c>
      <c r="J20" s="77">
        <f t="shared" si="3"/>
        <v>0</v>
      </c>
      <c r="K20" s="15" t="s">
        <v>22</v>
      </c>
      <c r="L20" s="7" t="s">
        <v>21</v>
      </c>
      <c r="M20" s="7" t="s">
        <v>21</v>
      </c>
      <c r="N20" s="7" t="s">
        <v>21</v>
      </c>
      <c r="O20" s="7" t="s">
        <v>21</v>
      </c>
      <c r="P20" s="7" t="s">
        <v>21</v>
      </c>
      <c r="Q20" s="7" t="s">
        <v>21</v>
      </c>
      <c r="R20" s="7" t="s">
        <v>21</v>
      </c>
      <c r="S20" s="7" t="s">
        <v>21</v>
      </c>
      <c r="T20" s="7" t="s">
        <v>21</v>
      </c>
      <c r="U20" s="151" t="s">
        <v>21</v>
      </c>
      <c r="V20" s="7" t="s">
        <v>21</v>
      </c>
      <c r="W20" s="7" t="s">
        <v>21</v>
      </c>
      <c r="AB20" s="151" t="s">
        <v>21</v>
      </c>
      <c r="AC20" s="7" t="s">
        <v>21</v>
      </c>
      <c r="AD20" s="7" t="s">
        <v>21</v>
      </c>
      <c r="AE20" s="151" t="s">
        <v>21</v>
      </c>
      <c r="AF20" s="7" t="s">
        <v>21</v>
      </c>
      <c r="AG20" s="7" t="s">
        <v>21</v>
      </c>
      <c r="AH20" s="151" t="s">
        <v>21</v>
      </c>
      <c r="AI20" s="151" t="s">
        <v>21</v>
      </c>
      <c r="AJ20" s="7" t="s">
        <v>21</v>
      </c>
      <c r="AK20" s="7" t="s">
        <v>21</v>
      </c>
      <c r="AL20" s="151" t="s">
        <v>21</v>
      </c>
      <c r="AM20" s="151" t="s">
        <v>21</v>
      </c>
      <c r="AN20" s="151" t="s">
        <v>21</v>
      </c>
      <c r="AO20" s="7" t="s">
        <v>21</v>
      </c>
      <c r="AP20" s="7" t="s">
        <v>21</v>
      </c>
      <c r="AQ20" s="151">
        <v>20</v>
      </c>
      <c r="AR20" s="7">
        <v>25</v>
      </c>
      <c r="AS20" s="156">
        <f>SUM(AQ20/AR20)*100</f>
        <v>80</v>
      </c>
      <c r="AT20" s="7" t="s">
        <v>21</v>
      </c>
      <c r="AU20" s="7" t="s">
        <v>21</v>
      </c>
      <c r="AV20" s="7" t="s">
        <v>21</v>
      </c>
      <c r="AW20" s="63"/>
      <c r="AX20" s="63"/>
      <c r="BD20" s="4"/>
      <c r="BE20" s="4"/>
    </row>
    <row r="21" spans="1:60" ht="14.95" customHeight="1" thickBot="1" x14ac:dyDescent="0.3">
      <c r="A21" s="43" t="s">
        <v>565</v>
      </c>
      <c r="B21" s="78">
        <v>4</v>
      </c>
      <c r="C21" s="285">
        <v>0</v>
      </c>
      <c r="D21" s="252">
        <v>1</v>
      </c>
      <c r="E21" s="5">
        <f t="shared" si="2"/>
        <v>5</v>
      </c>
      <c r="F21" s="288" t="s">
        <v>565</v>
      </c>
      <c r="G21" s="322">
        <v>20</v>
      </c>
      <c r="H21" s="283">
        <v>0</v>
      </c>
      <c r="I21" s="289">
        <v>5</v>
      </c>
      <c r="J21" s="77">
        <f t="shared" si="3"/>
        <v>25</v>
      </c>
      <c r="K21" s="119" t="s">
        <v>137</v>
      </c>
      <c r="L21" s="7" t="s">
        <v>21</v>
      </c>
      <c r="M21" s="7" t="s">
        <v>21</v>
      </c>
      <c r="N21" s="7" t="s">
        <v>21</v>
      </c>
      <c r="O21" s="7" t="s">
        <v>21</v>
      </c>
      <c r="P21" s="7" t="s">
        <v>21</v>
      </c>
      <c r="Q21" s="7" t="s">
        <v>21</v>
      </c>
      <c r="R21" s="7" t="s">
        <v>21</v>
      </c>
      <c r="S21" s="7" t="s">
        <v>21</v>
      </c>
      <c r="T21" s="7" t="s">
        <v>21</v>
      </c>
      <c r="U21" s="151" t="s">
        <v>21</v>
      </c>
      <c r="V21" s="7" t="s">
        <v>21</v>
      </c>
      <c r="W21" s="7" t="s">
        <v>21</v>
      </c>
      <c r="AB21" s="151" t="s">
        <v>21</v>
      </c>
      <c r="AC21" s="7" t="s">
        <v>21</v>
      </c>
      <c r="AD21" s="7" t="s">
        <v>21</v>
      </c>
      <c r="AE21" s="151" t="s">
        <v>21</v>
      </c>
      <c r="AF21" s="7" t="s">
        <v>21</v>
      </c>
      <c r="AG21" s="7" t="s">
        <v>21</v>
      </c>
      <c r="AH21" s="151" t="s">
        <v>21</v>
      </c>
      <c r="AI21" s="151" t="s">
        <v>21</v>
      </c>
      <c r="AJ21" s="7" t="s">
        <v>21</v>
      </c>
      <c r="AK21" s="7" t="s">
        <v>21</v>
      </c>
      <c r="AL21" s="151" t="s">
        <v>21</v>
      </c>
      <c r="AM21" s="7" t="s">
        <v>21</v>
      </c>
      <c r="AN21" s="151" t="s">
        <v>21</v>
      </c>
      <c r="AO21" s="7" t="s">
        <v>21</v>
      </c>
      <c r="AP21" s="7" t="s">
        <v>21</v>
      </c>
      <c r="AQ21" s="6">
        <v>1</v>
      </c>
      <c r="AR21" s="7">
        <v>1</v>
      </c>
      <c r="AS21" s="156">
        <f>SUM(AQ21/AR21)*100</f>
        <v>100</v>
      </c>
      <c r="AT21" s="7" t="s">
        <v>21</v>
      </c>
      <c r="AU21" s="7" t="s">
        <v>21</v>
      </c>
      <c r="AV21" s="7" t="s">
        <v>21</v>
      </c>
      <c r="AW21" s="164"/>
      <c r="AX21" s="87"/>
      <c r="AY21" s="88"/>
      <c r="AZ21" s="88"/>
      <c r="BA21" s="88"/>
      <c r="BB21" s="88"/>
      <c r="BD21" s="4"/>
      <c r="BE21" s="4"/>
      <c r="BF21" s="4"/>
    </row>
    <row r="22" spans="1:60" ht="14.95" customHeight="1" thickBot="1" x14ac:dyDescent="0.3">
      <c r="A22" s="43" t="s">
        <v>804</v>
      </c>
      <c r="B22" s="78">
        <v>2</v>
      </c>
      <c r="C22" s="285">
        <v>1</v>
      </c>
      <c r="D22" s="252">
        <v>0</v>
      </c>
      <c r="E22" s="5">
        <f t="shared" si="2"/>
        <v>3</v>
      </c>
      <c r="F22" s="288" t="s">
        <v>804</v>
      </c>
      <c r="G22" s="322">
        <v>10</v>
      </c>
      <c r="H22" s="283">
        <v>5</v>
      </c>
      <c r="I22" s="289">
        <v>0</v>
      </c>
      <c r="J22" s="77">
        <f t="shared" si="3"/>
        <v>15</v>
      </c>
      <c r="K22" s="199" t="s">
        <v>831</v>
      </c>
      <c r="L22" s="7" t="s">
        <v>21</v>
      </c>
      <c r="M22" s="7" t="s">
        <v>21</v>
      </c>
      <c r="N22" s="7" t="s">
        <v>21</v>
      </c>
      <c r="O22" s="7" t="s">
        <v>21</v>
      </c>
      <c r="P22" s="7" t="s">
        <v>21</v>
      </c>
      <c r="Q22" s="7" t="s">
        <v>21</v>
      </c>
      <c r="R22" s="7" t="s">
        <v>21</v>
      </c>
      <c r="S22" s="7" t="s">
        <v>21</v>
      </c>
      <c r="T22" s="7" t="s">
        <v>21</v>
      </c>
      <c r="U22" s="151" t="s">
        <v>21</v>
      </c>
      <c r="V22" s="7" t="s">
        <v>21</v>
      </c>
      <c r="W22" s="7" t="s">
        <v>21</v>
      </c>
      <c r="AB22" s="151" t="s">
        <v>21</v>
      </c>
      <c r="AC22" s="7" t="s">
        <v>21</v>
      </c>
      <c r="AD22" s="7" t="s">
        <v>21</v>
      </c>
      <c r="AE22" s="151" t="s">
        <v>21</v>
      </c>
      <c r="AF22" s="7" t="s">
        <v>21</v>
      </c>
      <c r="AG22" s="7" t="s">
        <v>21</v>
      </c>
      <c r="AH22" s="151" t="s">
        <v>21</v>
      </c>
      <c r="AI22" s="151" t="s">
        <v>21</v>
      </c>
      <c r="AJ22" s="7" t="s">
        <v>21</v>
      </c>
      <c r="AK22" s="7" t="s">
        <v>21</v>
      </c>
      <c r="AL22" s="7" t="s">
        <v>21</v>
      </c>
      <c r="AM22" s="7" t="s">
        <v>21</v>
      </c>
      <c r="AN22" s="151" t="s">
        <v>21</v>
      </c>
      <c r="AO22" s="7" t="s">
        <v>21</v>
      </c>
      <c r="AP22" s="7" t="s">
        <v>21</v>
      </c>
      <c r="AQ22" s="6" t="s">
        <v>21</v>
      </c>
      <c r="AR22" s="7" t="s">
        <v>21</v>
      </c>
      <c r="AS22" s="7" t="s">
        <v>21</v>
      </c>
      <c r="AT22" s="7" t="s">
        <v>21</v>
      </c>
      <c r="AU22" s="7" t="s">
        <v>21</v>
      </c>
      <c r="AV22" s="7" t="s">
        <v>21</v>
      </c>
      <c r="AW22" s="63"/>
      <c r="AX22" s="63"/>
      <c r="BF22" s="4"/>
    </row>
    <row r="23" spans="1:60" ht="14.95" customHeight="1" thickBot="1" x14ac:dyDescent="0.3">
      <c r="A23" s="43" t="s">
        <v>803</v>
      </c>
      <c r="B23" s="78">
        <v>0</v>
      </c>
      <c r="C23" s="285">
        <v>0</v>
      </c>
      <c r="D23" s="252">
        <v>0</v>
      </c>
      <c r="E23" s="5">
        <f t="shared" si="2"/>
        <v>0</v>
      </c>
      <c r="F23" s="288" t="s">
        <v>803</v>
      </c>
      <c r="G23" s="322">
        <v>0</v>
      </c>
      <c r="H23" s="283">
        <v>0</v>
      </c>
      <c r="I23" s="289">
        <v>0</v>
      </c>
      <c r="J23" s="77">
        <f t="shared" si="3"/>
        <v>0</v>
      </c>
      <c r="K23" s="58"/>
      <c r="L23" s="59"/>
      <c r="M23" s="59"/>
      <c r="N23" s="60"/>
      <c r="O23" s="165"/>
      <c r="P23" s="165"/>
      <c r="Q23" s="165"/>
      <c r="R23" s="63"/>
      <c r="S23" s="63"/>
      <c r="T23" s="63"/>
      <c r="U23" s="63"/>
      <c r="V23" s="63"/>
      <c r="W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O23" s="4"/>
      <c r="AP23" s="4"/>
      <c r="AQ23" s="4"/>
      <c r="AT23" s="4"/>
      <c r="BD23" s="4"/>
      <c r="BE23" s="4"/>
      <c r="BG23" s="4"/>
      <c r="BH23" s="4"/>
    </row>
    <row r="24" spans="1:60" ht="14.95" customHeight="1" thickBot="1" x14ac:dyDescent="0.3">
      <c r="A24" s="43" t="s">
        <v>1028</v>
      </c>
      <c r="B24" s="78">
        <v>2</v>
      </c>
      <c r="C24" s="285">
        <v>0</v>
      </c>
      <c r="D24" s="252">
        <v>0</v>
      </c>
      <c r="E24" s="5">
        <f t="shared" si="2"/>
        <v>2</v>
      </c>
      <c r="F24" s="288" t="s">
        <v>1028</v>
      </c>
      <c r="G24" s="322">
        <v>10</v>
      </c>
      <c r="H24" s="283">
        <v>0</v>
      </c>
      <c r="I24" s="289">
        <v>0</v>
      </c>
      <c r="J24" s="77">
        <f t="shared" si="3"/>
        <v>10</v>
      </c>
      <c r="K24" s="463" t="s">
        <v>116</v>
      </c>
      <c r="L24" s="476" t="s">
        <v>20</v>
      </c>
      <c r="M24" s="477"/>
      <c r="N24" s="478"/>
      <c r="O24" s="422" t="s">
        <v>365</v>
      </c>
      <c r="P24" s="423"/>
      <c r="Q24" s="424"/>
      <c r="R24" s="422" t="s">
        <v>854</v>
      </c>
      <c r="S24" s="423"/>
      <c r="T24" s="424"/>
      <c r="U24" s="422" t="s">
        <v>518</v>
      </c>
      <c r="V24" s="423"/>
      <c r="W24" s="424"/>
      <c r="AB24" s="422" t="s">
        <v>357</v>
      </c>
      <c r="AC24" s="423"/>
      <c r="AD24" s="424"/>
      <c r="AE24" s="422" t="s">
        <v>272</v>
      </c>
      <c r="AF24" s="423"/>
      <c r="AG24" s="424"/>
      <c r="AH24" s="422" t="s">
        <v>115</v>
      </c>
      <c r="AI24" s="423"/>
      <c r="AJ24" s="424"/>
      <c r="AK24" s="422" t="s">
        <v>78</v>
      </c>
      <c r="AL24" s="423"/>
      <c r="AM24" s="424"/>
      <c r="AN24" s="422" t="s">
        <v>60</v>
      </c>
      <c r="AO24" s="423"/>
      <c r="AP24" s="424"/>
      <c r="AQ24" s="63"/>
      <c r="AR24" s="63"/>
      <c r="AS24" s="63"/>
      <c r="AT24" s="63"/>
      <c r="AU24" s="63"/>
      <c r="BD24" s="4"/>
      <c r="BE24" s="4"/>
      <c r="BF24" s="4"/>
      <c r="BG24" s="4"/>
    </row>
    <row r="25" spans="1:60" ht="14.95" customHeight="1" thickBot="1" x14ac:dyDescent="0.3">
      <c r="A25" s="43" t="s">
        <v>256</v>
      </c>
      <c r="B25" s="78">
        <v>0</v>
      </c>
      <c r="C25" s="285">
        <v>0</v>
      </c>
      <c r="D25" s="252">
        <v>0</v>
      </c>
      <c r="E25" s="5">
        <f t="shared" si="2"/>
        <v>0</v>
      </c>
      <c r="F25" s="288" t="s">
        <v>256</v>
      </c>
      <c r="G25" s="322">
        <v>0</v>
      </c>
      <c r="H25" s="283">
        <v>0</v>
      </c>
      <c r="I25" s="289">
        <v>0</v>
      </c>
      <c r="J25" s="77">
        <f t="shared" si="3"/>
        <v>0</v>
      </c>
      <c r="K25" s="464"/>
      <c r="L25" s="479"/>
      <c r="M25" s="480"/>
      <c r="N25" s="481"/>
      <c r="O25" s="425"/>
      <c r="P25" s="426"/>
      <c r="Q25" s="427"/>
      <c r="R25" s="425"/>
      <c r="S25" s="426"/>
      <c r="T25" s="427"/>
      <c r="U25" s="425"/>
      <c r="V25" s="426"/>
      <c r="W25" s="427"/>
      <c r="AB25" s="425"/>
      <c r="AC25" s="426"/>
      <c r="AD25" s="427"/>
      <c r="AE25" s="425"/>
      <c r="AF25" s="426"/>
      <c r="AG25" s="427"/>
      <c r="AH25" s="425"/>
      <c r="AI25" s="426"/>
      <c r="AJ25" s="427"/>
      <c r="AK25" s="425"/>
      <c r="AL25" s="426"/>
      <c r="AM25" s="427"/>
      <c r="AN25" s="425"/>
      <c r="AO25" s="426"/>
      <c r="AP25" s="427"/>
      <c r="AQ25" s="63"/>
      <c r="AR25" s="63"/>
      <c r="AS25" s="63"/>
      <c r="AT25" s="63"/>
      <c r="AU25" s="63"/>
      <c r="BD25" s="4"/>
      <c r="BE25" s="4"/>
    </row>
    <row r="26" spans="1:60" ht="14.95" customHeight="1" thickBot="1" x14ac:dyDescent="0.3">
      <c r="A26" s="43" t="s">
        <v>586</v>
      </c>
      <c r="B26" s="78">
        <v>0</v>
      </c>
      <c r="C26" s="285">
        <v>0</v>
      </c>
      <c r="D26" s="252">
        <v>0</v>
      </c>
      <c r="E26" s="5">
        <f t="shared" si="2"/>
        <v>0</v>
      </c>
      <c r="F26" s="288" t="s">
        <v>586</v>
      </c>
      <c r="G26" s="322">
        <v>0</v>
      </c>
      <c r="H26" s="283">
        <v>0</v>
      </c>
      <c r="I26" s="289">
        <v>0</v>
      </c>
      <c r="J26" s="77">
        <f t="shared" si="3"/>
        <v>0</v>
      </c>
      <c r="K26" s="236" t="s">
        <v>30</v>
      </c>
      <c r="L26" s="167" t="s">
        <v>74</v>
      </c>
      <c r="M26" s="167" t="s">
        <v>15</v>
      </c>
      <c r="N26" s="167" t="s">
        <v>16</v>
      </c>
      <c r="O26" s="7" t="s">
        <v>74</v>
      </c>
      <c r="P26" s="7" t="s">
        <v>15</v>
      </c>
      <c r="Q26" s="7" t="s">
        <v>16</v>
      </c>
      <c r="R26" s="7" t="s">
        <v>74</v>
      </c>
      <c r="S26" s="7" t="s">
        <v>15</v>
      </c>
      <c r="T26" s="7" t="s">
        <v>16</v>
      </c>
      <c r="U26" s="7" t="s">
        <v>74</v>
      </c>
      <c r="V26" s="7" t="s">
        <v>15</v>
      </c>
      <c r="W26" s="7" t="s">
        <v>16</v>
      </c>
      <c r="AB26" s="151" t="s">
        <v>74</v>
      </c>
      <c r="AC26" s="7" t="s">
        <v>15</v>
      </c>
      <c r="AD26" s="7" t="s">
        <v>16</v>
      </c>
      <c r="AE26" s="151" t="s">
        <v>74</v>
      </c>
      <c r="AF26" s="7" t="s">
        <v>15</v>
      </c>
      <c r="AG26" s="7" t="s">
        <v>16</v>
      </c>
      <c r="AH26" s="151" t="s">
        <v>74</v>
      </c>
      <c r="AI26" s="7" t="s">
        <v>15</v>
      </c>
      <c r="AJ26" s="7" t="s">
        <v>16</v>
      </c>
      <c r="AK26" s="151" t="s">
        <v>74</v>
      </c>
      <c r="AL26" s="7" t="s">
        <v>15</v>
      </c>
      <c r="AM26" s="7" t="s">
        <v>16</v>
      </c>
      <c r="AN26" s="6" t="s">
        <v>74</v>
      </c>
      <c r="AO26" s="7" t="s">
        <v>15</v>
      </c>
      <c r="AP26" s="7" t="s">
        <v>16</v>
      </c>
      <c r="AQ26" s="63"/>
      <c r="AR26" s="63"/>
      <c r="AS26" s="63"/>
      <c r="AT26" s="63"/>
      <c r="AU26" s="63"/>
    </row>
    <row r="27" spans="1:60" ht="14.95" customHeight="1" thickBot="1" x14ac:dyDescent="0.3">
      <c r="A27" s="43" t="s">
        <v>1013</v>
      </c>
      <c r="B27" s="78">
        <v>0</v>
      </c>
      <c r="C27" s="285">
        <v>0</v>
      </c>
      <c r="D27" s="252">
        <v>0</v>
      </c>
      <c r="E27" s="5">
        <f t="shared" si="2"/>
        <v>0</v>
      </c>
      <c r="F27" s="288" t="s">
        <v>1013</v>
      </c>
      <c r="G27" s="322">
        <v>0</v>
      </c>
      <c r="H27" s="283">
        <v>0</v>
      </c>
      <c r="I27" s="289">
        <v>0</v>
      </c>
      <c r="J27" s="77">
        <f t="shared" si="3"/>
        <v>0</v>
      </c>
      <c r="K27" s="121" t="s">
        <v>756</v>
      </c>
      <c r="L27" s="41" t="s">
        <v>21</v>
      </c>
      <c r="M27" s="41" t="s">
        <v>21</v>
      </c>
      <c r="N27" s="42" t="s">
        <v>21</v>
      </c>
      <c r="O27" s="7">
        <v>4</v>
      </c>
      <c r="P27" s="7">
        <v>4</v>
      </c>
      <c r="Q27" s="156">
        <v>100</v>
      </c>
      <c r="R27" s="7" t="s">
        <v>21</v>
      </c>
      <c r="S27" s="7" t="s">
        <v>21</v>
      </c>
      <c r="T27" s="156" t="s">
        <v>21</v>
      </c>
      <c r="U27" s="7" t="s">
        <v>21</v>
      </c>
      <c r="V27" s="7" t="s">
        <v>21</v>
      </c>
      <c r="W27" s="156" t="s">
        <v>21</v>
      </c>
      <c r="AB27" s="6" t="s">
        <v>21</v>
      </c>
      <c r="AC27" s="7" t="s">
        <v>21</v>
      </c>
      <c r="AD27" s="156" t="s">
        <v>21</v>
      </c>
      <c r="AE27" s="6" t="s">
        <v>21</v>
      </c>
      <c r="AF27" s="7" t="s">
        <v>21</v>
      </c>
      <c r="AG27" s="156" t="s">
        <v>21</v>
      </c>
      <c r="AH27" s="7" t="s">
        <v>21</v>
      </c>
      <c r="AI27" s="7" t="s">
        <v>21</v>
      </c>
      <c r="AJ27" s="156" t="s">
        <v>21</v>
      </c>
      <c r="AK27" s="7" t="s">
        <v>21</v>
      </c>
      <c r="AL27" s="7" t="s">
        <v>21</v>
      </c>
      <c r="AM27" s="156" t="s">
        <v>21</v>
      </c>
      <c r="AN27" s="7" t="s">
        <v>21</v>
      </c>
      <c r="AO27" s="7" t="s">
        <v>21</v>
      </c>
      <c r="AP27" s="156" t="s">
        <v>21</v>
      </c>
      <c r="AQ27" s="63"/>
      <c r="AR27" s="63"/>
      <c r="AS27" s="63"/>
      <c r="AT27" s="63"/>
      <c r="AU27" s="63"/>
    </row>
    <row r="28" spans="1:60" ht="14.95" customHeight="1" thickBot="1" x14ac:dyDescent="0.3">
      <c r="A28" s="43" t="s">
        <v>663</v>
      </c>
      <c r="B28" s="78">
        <v>0</v>
      </c>
      <c r="C28" s="285">
        <v>1</v>
      </c>
      <c r="D28" s="252">
        <v>0</v>
      </c>
      <c r="E28" s="5">
        <f t="shared" si="2"/>
        <v>1</v>
      </c>
      <c r="F28" s="288" t="s">
        <v>663</v>
      </c>
      <c r="G28" s="322">
        <v>0</v>
      </c>
      <c r="H28" s="283">
        <v>5</v>
      </c>
      <c r="I28" s="289">
        <v>0</v>
      </c>
      <c r="J28" s="77">
        <f t="shared" si="3"/>
        <v>5</v>
      </c>
      <c r="K28" s="121" t="s">
        <v>880</v>
      </c>
      <c r="L28" s="41">
        <v>9</v>
      </c>
      <c r="M28" s="41">
        <v>11</v>
      </c>
      <c r="N28" s="42">
        <f t="shared" ref="N28" si="20">SUM(L28/M28)*100</f>
        <v>81.818181818181827</v>
      </c>
      <c r="O28" s="7"/>
      <c r="P28" s="7"/>
      <c r="Q28" s="156"/>
      <c r="R28" s="7"/>
      <c r="S28" s="7"/>
      <c r="T28" s="156"/>
      <c r="U28" s="7"/>
      <c r="V28" s="7"/>
      <c r="W28" s="156"/>
      <c r="AB28" s="6"/>
      <c r="AC28" s="7"/>
      <c r="AD28" s="156"/>
      <c r="AE28" s="6"/>
      <c r="AF28" s="7"/>
      <c r="AG28" s="156"/>
      <c r="AH28" s="7"/>
      <c r="AI28" s="7"/>
      <c r="AJ28" s="156"/>
      <c r="AK28" s="7"/>
      <c r="AL28" s="7"/>
      <c r="AM28" s="156"/>
      <c r="AN28" s="7"/>
      <c r="AO28" s="7"/>
      <c r="AP28" s="156"/>
      <c r="AQ28" s="63"/>
      <c r="AR28" s="63"/>
      <c r="AS28" s="63"/>
      <c r="AT28" s="63"/>
      <c r="AU28" s="63"/>
    </row>
    <row r="29" spans="1:60" ht="14.95" customHeight="1" thickBot="1" x14ac:dyDescent="0.3">
      <c r="A29" s="43" t="s">
        <v>240</v>
      </c>
      <c r="B29" s="78">
        <v>3</v>
      </c>
      <c r="C29" s="285">
        <v>0</v>
      </c>
      <c r="D29" s="252">
        <v>0</v>
      </c>
      <c r="E29" s="5">
        <f t="shared" si="2"/>
        <v>3</v>
      </c>
      <c r="F29" s="288" t="s">
        <v>240</v>
      </c>
      <c r="G29" s="322">
        <v>15</v>
      </c>
      <c r="H29" s="283">
        <v>0</v>
      </c>
      <c r="I29" s="289">
        <v>0</v>
      </c>
      <c r="J29" s="77">
        <f t="shared" si="3"/>
        <v>15</v>
      </c>
      <c r="K29" s="15" t="s">
        <v>345</v>
      </c>
      <c r="L29" s="41" t="s">
        <v>21</v>
      </c>
      <c r="M29" s="41" t="s">
        <v>21</v>
      </c>
      <c r="N29" s="42" t="s">
        <v>21</v>
      </c>
      <c r="O29" s="7" t="s">
        <v>21</v>
      </c>
      <c r="P29" s="7" t="s">
        <v>21</v>
      </c>
      <c r="Q29" s="156" t="s">
        <v>21</v>
      </c>
      <c r="R29" s="7">
        <v>6</v>
      </c>
      <c r="S29" s="7">
        <v>7</v>
      </c>
      <c r="T29" s="156">
        <f t="shared" ref="T29" si="21">SUM(R29/S29)*100</f>
        <v>85.714285714285708</v>
      </c>
      <c r="U29" s="7" t="s">
        <v>21</v>
      </c>
      <c r="V29" s="7" t="s">
        <v>21</v>
      </c>
      <c r="W29" s="7" t="s">
        <v>21</v>
      </c>
      <c r="AB29" s="6" t="s">
        <v>21</v>
      </c>
      <c r="AC29" s="7" t="s">
        <v>21</v>
      </c>
      <c r="AD29" s="7" t="s">
        <v>21</v>
      </c>
      <c r="AE29" s="6" t="s">
        <v>21</v>
      </c>
      <c r="AF29" s="7" t="s">
        <v>21</v>
      </c>
      <c r="AG29" s="7" t="s">
        <v>21</v>
      </c>
      <c r="AH29" s="7" t="s">
        <v>21</v>
      </c>
      <c r="AI29" s="7" t="s">
        <v>21</v>
      </c>
      <c r="AJ29" s="7" t="s">
        <v>21</v>
      </c>
      <c r="AK29" s="6" t="s">
        <v>21</v>
      </c>
      <c r="AL29" s="6" t="s">
        <v>21</v>
      </c>
      <c r="AM29" s="6" t="s">
        <v>21</v>
      </c>
      <c r="AN29" s="6" t="s">
        <v>21</v>
      </c>
      <c r="AO29" s="6" t="s">
        <v>21</v>
      </c>
      <c r="AP29" s="6" t="s">
        <v>21</v>
      </c>
      <c r="AQ29" s="63"/>
      <c r="AR29" s="63"/>
      <c r="AS29" s="63"/>
      <c r="AT29" s="63"/>
      <c r="AU29" s="63"/>
    </row>
    <row r="30" spans="1:60" ht="14.95" customHeight="1" thickBot="1" x14ac:dyDescent="0.3">
      <c r="A30" s="43" t="s">
        <v>654</v>
      </c>
      <c r="B30" s="78">
        <v>0</v>
      </c>
      <c r="C30" s="285">
        <v>0</v>
      </c>
      <c r="D30" s="252">
        <v>0</v>
      </c>
      <c r="E30" s="5">
        <f t="shared" si="2"/>
        <v>0</v>
      </c>
      <c r="F30" s="288" t="s">
        <v>654</v>
      </c>
      <c r="G30" s="322">
        <v>0</v>
      </c>
      <c r="H30" s="283">
        <v>0</v>
      </c>
      <c r="I30" s="289">
        <v>0</v>
      </c>
      <c r="J30" s="77">
        <f t="shared" si="3"/>
        <v>0</v>
      </c>
      <c r="K30" s="121" t="s">
        <v>803</v>
      </c>
      <c r="L30" s="41">
        <v>0</v>
      </c>
      <c r="M30" s="41">
        <v>1</v>
      </c>
      <c r="N30" s="42">
        <f t="shared" ref="N30:N32" si="22">SUM(L30/M30)*100</f>
        <v>0</v>
      </c>
      <c r="O30" s="7">
        <v>21</v>
      </c>
      <c r="P30" s="7">
        <v>23</v>
      </c>
      <c r="Q30" s="156">
        <v>91.304347826086953</v>
      </c>
      <c r="R30" s="7" t="s">
        <v>21</v>
      </c>
      <c r="S30" s="7" t="s">
        <v>21</v>
      </c>
      <c r="T30" s="156" t="s">
        <v>21</v>
      </c>
      <c r="U30" s="7" t="s">
        <v>21</v>
      </c>
      <c r="V30" s="7" t="s">
        <v>21</v>
      </c>
      <c r="W30" s="156" t="s">
        <v>21</v>
      </c>
      <c r="AB30" s="6" t="s">
        <v>21</v>
      </c>
      <c r="AC30" s="7" t="s">
        <v>21</v>
      </c>
      <c r="AD30" s="156" t="s">
        <v>21</v>
      </c>
      <c r="AE30" s="6" t="s">
        <v>21</v>
      </c>
      <c r="AF30" s="7" t="s">
        <v>21</v>
      </c>
      <c r="AG30" s="156" t="s">
        <v>21</v>
      </c>
      <c r="AH30" s="7" t="s">
        <v>21</v>
      </c>
      <c r="AI30" s="7" t="s">
        <v>21</v>
      </c>
      <c r="AJ30" s="156" t="s">
        <v>21</v>
      </c>
      <c r="AK30" s="7" t="s">
        <v>21</v>
      </c>
      <c r="AL30" s="7" t="s">
        <v>21</v>
      </c>
      <c r="AM30" s="156" t="s">
        <v>21</v>
      </c>
      <c r="AN30" s="7" t="s">
        <v>21</v>
      </c>
      <c r="AO30" s="7" t="s">
        <v>21</v>
      </c>
      <c r="AP30" s="156" t="s">
        <v>21</v>
      </c>
      <c r="AQ30" s="63"/>
      <c r="AR30" s="63"/>
      <c r="AS30" s="63"/>
      <c r="AT30" s="63"/>
      <c r="AU30" s="63"/>
    </row>
    <row r="31" spans="1:60" ht="14.95" customHeight="1" thickBot="1" x14ac:dyDescent="0.3">
      <c r="A31" s="43" t="s">
        <v>5</v>
      </c>
      <c r="B31" s="78">
        <v>2</v>
      </c>
      <c r="C31" s="285">
        <v>0</v>
      </c>
      <c r="D31" s="252">
        <v>0</v>
      </c>
      <c r="E31" s="5">
        <f t="shared" si="2"/>
        <v>2</v>
      </c>
      <c r="F31" s="288" t="s">
        <v>5</v>
      </c>
      <c r="G31" s="322">
        <v>14</v>
      </c>
      <c r="H31" s="283">
        <v>0</v>
      </c>
      <c r="I31" s="289">
        <v>0</v>
      </c>
      <c r="J31" s="77">
        <f t="shared" si="3"/>
        <v>14</v>
      </c>
      <c r="K31" s="15" t="s">
        <v>831</v>
      </c>
      <c r="L31" s="41">
        <v>5</v>
      </c>
      <c r="M31" s="41">
        <v>6</v>
      </c>
      <c r="N31" s="42">
        <f t="shared" si="22"/>
        <v>83.333333333333343</v>
      </c>
      <c r="O31" s="7" t="s">
        <v>21</v>
      </c>
      <c r="P31" s="7" t="s">
        <v>21</v>
      </c>
      <c r="Q31" s="156" t="s">
        <v>21</v>
      </c>
      <c r="R31" s="7" t="s">
        <v>21</v>
      </c>
      <c r="S31" s="7" t="s">
        <v>21</v>
      </c>
      <c r="T31" s="156" t="s">
        <v>21</v>
      </c>
      <c r="U31" s="7">
        <v>1</v>
      </c>
      <c r="V31" s="7">
        <v>2</v>
      </c>
      <c r="W31" s="7">
        <f>(U31/V31)*100</f>
        <v>50</v>
      </c>
      <c r="AB31" s="151">
        <v>4</v>
      </c>
      <c r="AC31" s="7">
        <v>6</v>
      </c>
      <c r="AD31" s="156">
        <f>SUM(AB31/AC31)*100</f>
        <v>66.666666666666657</v>
      </c>
      <c r="AE31" s="151" t="s">
        <v>21</v>
      </c>
      <c r="AF31" s="7" t="s">
        <v>21</v>
      </c>
      <c r="AG31" s="7" t="s">
        <v>21</v>
      </c>
      <c r="AH31" s="151" t="s">
        <v>21</v>
      </c>
      <c r="AI31" s="7" t="s">
        <v>21</v>
      </c>
      <c r="AJ31" s="7" t="s">
        <v>21</v>
      </c>
      <c r="AK31" s="151" t="s">
        <v>21</v>
      </c>
      <c r="AL31" s="7" t="s">
        <v>21</v>
      </c>
      <c r="AM31" s="7" t="s">
        <v>21</v>
      </c>
      <c r="AN31" s="6" t="s">
        <v>21</v>
      </c>
      <c r="AO31" s="7" t="s">
        <v>21</v>
      </c>
      <c r="AP31" s="7" t="s">
        <v>21</v>
      </c>
      <c r="AQ31" s="63"/>
      <c r="AR31" s="63"/>
      <c r="AS31" s="63"/>
      <c r="AT31" s="63"/>
      <c r="AU31" s="63"/>
    </row>
    <row r="32" spans="1:60" ht="14.95" customHeight="1" thickBot="1" x14ac:dyDescent="0.3">
      <c r="A32" s="43" t="s">
        <v>271</v>
      </c>
      <c r="B32" s="78">
        <v>0</v>
      </c>
      <c r="C32" s="285">
        <v>0</v>
      </c>
      <c r="D32" s="252">
        <v>1</v>
      </c>
      <c r="E32" s="5">
        <f t="shared" ref="E32" si="23">SUM(B32:D32)</f>
        <v>1</v>
      </c>
      <c r="F32" s="290" t="s">
        <v>271</v>
      </c>
      <c r="G32" s="322">
        <v>0</v>
      </c>
      <c r="H32" s="283">
        <v>0</v>
      </c>
      <c r="I32" s="289">
        <v>5</v>
      </c>
      <c r="J32" s="77">
        <f t="shared" ref="J32" si="24">SUM(G32:I32)</f>
        <v>5</v>
      </c>
      <c r="K32" s="15" t="s">
        <v>22</v>
      </c>
      <c r="L32" s="41">
        <v>14</v>
      </c>
      <c r="M32" s="41">
        <v>18</v>
      </c>
      <c r="N32" s="42">
        <f t="shared" si="22"/>
        <v>77.777777777777786</v>
      </c>
      <c r="O32" s="7" t="s">
        <v>21</v>
      </c>
      <c r="P32" s="7" t="s">
        <v>21</v>
      </c>
      <c r="Q32" s="156" t="s">
        <v>21</v>
      </c>
      <c r="R32" s="7" t="s">
        <v>21</v>
      </c>
      <c r="S32" s="7" t="s">
        <v>21</v>
      </c>
      <c r="T32" s="156" t="s">
        <v>21</v>
      </c>
      <c r="U32" s="7" t="s">
        <v>21</v>
      </c>
      <c r="V32" s="7" t="s">
        <v>21</v>
      </c>
      <c r="W32" s="7" t="s">
        <v>21</v>
      </c>
      <c r="AB32" s="151" t="s">
        <v>21</v>
      </c>
      <c r="AC32" s="7" t="s">
        <v>21</v>
      </c>
      <c r="AD32" s="7" t="s">
        <v>21</v>
      </c>
      <c r="AE32" s="151" t="s">
        <v>21</v>
      </c>
      <c r="AF32" s="7" t="s">
        <v>21</v>
      </c>
      <c r="AG32" s="7" t="s">
        <v>21</v>
      </c>
      <c r="AH32" s="151" t="s">
        <v>21</v>
      </c>
      <c r="AI32" s="7" t="s">
        <v>21</v>
      </c>
      <c r="AJ32" s="7" t="s">
        <v>21</v>
      </c>
      <c r="AK32" s="151" t="s">
        <v>21</v>
      </c>
      <c r="AL32" s="7" t="s">
        <v>21</v>
      </c>
      <c r="AM32" s="7" t="s">
        <v>21</v>
      </c>
      <c r="AN32" s="6">
        <v>6</v>
      </c>
      <c r="AO32" s="7">
        <v>14</v>
      </c>
      <c r="AP32" s="156">
        <f>SUM(AN32/AO32)*100</f>
        <v>42.857142857142854</v>
      </c>
      <c r="AQ32" s="63"/>
      <c r="AR32" s="63"/>
      <c r="AS32" s="63"/>
      <c r="AT32" s="4"/>
      <c r="AU32" s="4"/>
    </row>
    <row r="33" spans="1:44" ht="14.95" customHeight="1" thickBot="1" x14ac:dyDescent="0.3">
      <c r="A33" s="43" t="s">
        <v>634</v>
      </c>
      <c r="B33" s="78">
        <v>0</v>
      </c>
      <c r="C33" s="285">
        <v>0</v>
      </c>
      <c r="D33" s="252">
        <v>2</v>
      </c>
      <c r="E33" s="5">
        <f t="shared" si="2"/>
        <v>2</v>
      </c>
      <c r="F33" s="288" t="s">
        <v>634</v>
      </c>
      <c r="G33" s="322">
        <v>0</v>
      </c>
      <c r="H33" s="283">
        <v>0</v>
      </c>
      <c r="I33" s="289">
        <v>10</v>
      </c>
      <c r="J33" s="77">
        <f t="shared" si="3"/>
        <v>10</v>
      </c>
      <c r="K33" s="483" t="s">
        <v>865</v>
      </c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4"/>
      <c r="W33" s="484"/>
      <c r="X33" s="421"/>
      <c r="Y33" s="421"/>
      <c r="AN33" s="4"/>
      <c r="AO33" s="4"/>
      <c r="AP33" s="4"/>
      <c r="AQ33" s="4"/>
      <c r="AR33" s="4"/>
    </row>
    <row r="34" spans="1:44" ht="14.95" customHeight="1" thickBot="1" x14ac:dyDescent="0.3">
      <c r="A34" s="43" t="s">
        <v>883</v>
      </c>
      <c r="B34" s="78">
        <v>2</v>
      </c>
      <c r="C34" s="285">
        <v>2</v>
      </c>
      <c r="D34" s="252">
        <v>1</v>
      </c>
      <c r="E34" s="5">
        <f t="shared" si="2"/>
        <v>5</v>
      </c>
      <c r="F34" s="288" t="s">
        <v>883</v>
      </c>
      <c r="G34" s="322">
        <v>10</v>
      </c>
      <c r="H34" s="283">
        <v>10</v>
      </c>
      <c r="I34" s="289">
        <v>5</v>
      </c>
      <c r="J34" s="77">
        <f t="shared" si="3"/>
        <v>25</v>
      </c>
      <c r="K34" s="451" t="s">
        <v>1041</v>
      </c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N34" s="4"/>
      <c r="AO34" s="4"/>
      <c r="AP34" s="4"/>
    </row>
    <row r="35" spans="1:44" ht="14.95" customHeight="1" thickBot="1" x14ac:dyDescent="0.3">
      <c r="A35" s="43" t="s">
        <v>792</v>
      </c>
      <c r="B35" s="78">
        <v>2</v>
      </c>
      <c r="C35" s="285">
        <v>0</v>
      </c>
      <c r="D35" s="252">
        <v>0</v>
      </c>
      <c r="E35" s="5">
        <f t="shared" si="2"/>
        <v>2</v>
      </c>
      <c r="F35" s="288" t="s">
        <v>792</v>
      </c>
      <c r="G35" s="322">
        <v>10</v>
      </c>
      <c r="H35" s="283">
        <v>0</v>
      </c>
      <c r="I35" s="289">
        <v>0</v>
      </c>
      <c r="J35" s="77">
        <f t="shared" si="3"/>
        <v>10</v>
      </c>
      <c r="K35" s="45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AN35" s="4"/>
      <c r="AO35" s="4"/>
      <c r="AP35" s="4"/>
    </row>
    <row r="36" spans="1:44" ht="14.95" customHeight="1" thickBot="1" x14ac:dyDescent="0.3">
      <c r="A36" s="43" t="s">
        <v>831</v>
      </c>
      <c r="B36" s="78">
        <v>2</v>
      </c>
      <c r="C36" s="285">
        <v>1</v>
      </c>
      <c r="D36" s="252">
        <v>0</v>
      </c>
      <c r="E36" s="5">
        <f t="shared" si="2"/>
        <v>3</v>
      </c>
      <c r="F36" s="288" t="s">
        <v>831</v>
      </c>
      <c r="G36" s="322">
        <v>14</v>
      </c>
      <c r="H36" s="283">
        <v>5</v>
      </c>
      <c r="I36" s="289">
        <v>10</v>
      </c>
      <c r="J36" s="77">
        <f t="shared" si="3"/>
        <v>29</v>
      </c>
      <c r="Z36" t="s">
        <v>30</v>
      </c>
      <c r="AB36" t="s">
        <v>30</v>
      </c>
    </row>
    <row r="37" spans="1:44" ht="14.95" customHeight="1" thickBot="1" x14ac:dyDescent="0.3">
      <c r="A37" s="43" t="s">
        <v>22</v>
      </c>
      <c r="B37" s="78">
        <v>5</v>
      </c>
      <c r="C37" s="285">
        <v>1</v>
      </c>
      <c r="D37" s="252">
        <v>1</v>
      </c>
      <c r="E37" s="5">
        <f t="shared" si="2"/>
        <v>7</v>
      </c>
      <c r="F37" s="288" t="s">
        <v>22</v>
      </c>
      <c r="G37" s="322">
        <v>152</v>
      </c>
      <c r="H37" s="283">
        <v>49</v>
      </c>
      <c r="I37" s="289">
        <v>33</v>
      </c>
      <c r="J37" s="77">
        <f t="shared" si="3"/>
        <v>234</v>
      </c>
    </row>
    <row r="38" spans="1:44" ht="14.95" customHeight="1" thickBot="1" x14ac:dyDescent="0.3">
      <c r="A38" s="43" t="s">
        <v>882</v>
      </c>
      <c r="B38" s="78">
        <v>0</v>
      </c>
      <c r="C38" s="285">
        <v>0</v>
      </c>
      <c r="D38" s="252">
        <v>1</v>
      </c>
      <c r="E38" s="5">
        <f t="shared" si="2"/>
        <v>1</v>
      </c>
      <c r="F38" s="288" t="s">
        <v>882</v>
      </c>
      <c r="G38" s="322">
        <v>0</v>
      </c>
      <c r="H38" s="283">
        <v>0</v>
      </c>
      <c r="I38" s="289">
        <v>5</v>
      </c>
      <c r="J38" s="77">
        <f t="shared" si="3"/>
        <v>5</v>
      </c>
      <c r="AQ38" s="4"/>
      <c r="AR38" s="4"/>
    </row>
    <row r="39" spans="1:44" ht="14.95" customHeight="1" thickBot="1" x14ac:dyDescent="0.3">
      <c r="A39" s="43" t="s">
        <v>294</v>
      </c>
      <c r="B39" s="78">
        <v>0</v>
      </c>
      <c r="C39" s="285">
        <v>0</v>
      </c>
      <c r="D39" s="252">
        <v>0</v>
      </c>
      <c r="E39" s="5">
        <f t="shared" si="2"/>
        <v>0</v>
      </c>
      <c r="F39" s="288" t="s">
        <v>294</v>
      </c>
      <c r="G39" s="322">
        <v>0</v>
      </c>
      <c r="H39" s="283">
        <v>0</v>
      </c>
      <c r="I39" s="289">
        <v>0</v>
      </c>
      <c r="J39" s="77">
        <f t="shared" si="3"/>
        <v>0</v>
      </c>
    </row>
    <row r="40" spans="1:44" ht="14.95" customHeight="1" thickBot="1" x14ac:dyDescent="0.3">
      <c r="A40" s="43" t="s">
        <v>47</v>
      </c>
      <c r="B40" s="78">
        <v>5</v>
      </c>
      <c r="C40" s="285">
        <v>0</v>
      </c>
      <c r="D40" s="252">
        <v>0</v>
      </c>
      <c r="E40" s="5">
        <f t="shared" si="2"/>
        <v>5</v>
      </c>
      <c r="F40" s="288" t="s">
        <v>47</v>
      </c>
      <c r="G40" s="322">
        <v>25</v>
      </c>
      <c r="H40" s="283">
        <v>0</v>
      </c>
      <c r="I40" s="289">
        <v>0</v>
      </c>
      <c r="J40" s="77">
        <f t="shared" si="3"/>
        <v>25</v>
      </c>
      <c r="AN40" s="4"/>
      <c r="AO40" s="4"/>
      <c r="AP40" s="4"/>
    </row>
    <row r="41" spans="1:44" ht="14.95" customHeight="1" thickBot="1" x14ac:dyDescent="0.3">
      <c r="A41" s="43" t="s">
        <v>721</v>
      </c>
      <c r="B41" s="78">
        <v>0</v>
      </c>
      <c r="C41" s="285">
        <v>0</v>
      </c>
      <c r="D41" s="252">
        <v>0</v>
      </c>
      <c r="E41" s="5">
        <f t="shared" si="2"/>
        <v>0</v>
      </c>
      <c r="F41" s="288" t="s">
        <v>721</v>
      </c>
      <c r="G41" s="322">
        <v>0</v>
      </c>
      <c r="H41" s="283">
        <v>0</v>
      </c>
      <c r="I41" s="289">
        <v>0</v>
      </c>
      <c r="J41" s="77">
        <f t="shared" si="3"/>
        <v>0</v>
      </c>
    </row>
    <row r="42" spans="1:44" ht="14.95" customHeight="1" thickBot="1" x14ac:dyDescent="0.3">
      <c r="A42" s="43" t="s">
        <v>603</v>
      </c>
      <c r="B42" s="78">
        <v>7</v>
      </c>
      <c r="C42" s="285">
        <v>1</v>
      </c>
      <c r="D42" s="252">
        <v>0</v>
      </c>
      <c r="E42" s="5">
        <f t="shared" si="2"/>
        <v>8</v>
      </c>
      <c r="F42" s="288" t="s">
        <v>603</v>
      </c>
      <c r="G42" s="322">
        <v>35</v>
      </c>
      <c r="H42" s="283">
        <v>5</v>
      </c>
      <c r="I42" s="289">
        <v>0</v>
      </c>
      <c r="J42" s="77">
        <f t="shared" si="3"/>
        <v>40</v>
      </c>
      <c r="AQ42" s="4"/>
      <c r="AR42" s="4"/>
    </row>
    <row r="43" spans="1:44" ht="14.95" customHeight="1" thickBot="1" x14ac:dyDescent="0.3">
      <c r="A43" s="43" t="s">
        <v>284</v>
      </c>
      <c r="B43" s="78">
        <v>7</v>
      </c>
      <c r="C43" s="285">
        <v>2</v>
      </c>
      <c r="D43" s="252">
        <v>4</v>
      </c>
      <c r="E43" s="5">
        <f t="shared" si="2"/>
        <v>13</v>
      </c>
      <c r="F43" s="288" t="s">
        <v>284</v>
      </c>
      <c r="G43" s="322">
        <v>35</v>
      </c>
      <c r="H43" s="283">
        <v>10</v>
      </c>
      <c r="I43" s="289">
        <v>20</v>
      </c>
      <c r="J43" s="77">
        <f t="shared" si="3"/>
        <v>65</v>
      </c>
      <c r="AQ43" s="4"/>
      <c r="AR43" s="4"/>
    </row>
    <row r="44" spans="1:44" ht="14.95" customHeight="1" thickBot="1" x14ac:dyDescent="0.3">
      <c r="A44" s="43" t="s">
        <v>881</v>
      </c>
      <c r="B44" s="78">
        <v>2</v>
      </c>
      <c r="C44" s="285">
        <v>2</v>
      </c>
      <c r="D44" s="252">
        <v>6</v>
      </c>
      <c r="E44" s="5">
        <f t="shared" si="2"/>
        <v>10</v>
      </c>
      <c r="F44" s="288" t="s">
        <v>881</v>
      </c>
      <c r="G44" s="322">
        <v>10</v>
      </c>
      <c r="H44" s="283">
        <v>10</v>
      </c>
      <c r="I44" s="289">
        <v>30</v>
      </c>
      <c r="J44" s="77">
        <f t="shared" si="3"/>
        <v>50</v>
      </c>
      <c r="AN44" s="4"/>
      <c r="AO44" s="4"/>
      <c r="AP44" s="4"/>
    </row>
    <row r="45" spans="1:44" ht="14.95" customHeight="1" thickBot="1" x14ac:dyDescent="0.3">
      <c r="A45" s="43" t="s">
        <v>984</v>
      </c>
      <c r="B45" s="78">
        <v>1</v>
      </c>
      <c r="C45" s="285">
        <v>2</v>
      </c>
      <c r="D45" s="252">
        <v>0</v>
      </c>
      <c r="E45" s="5">
        <f t="shared" si="2"/>
        <v>3</v>
      </c>
      <c r="F45" s="288" t="s">
        <v>984</v>
      </c>
      <c r="G45" s="322">
        <v>5</v>
      </c>
      <c r="H45" s="283">
        <v>10</v>
      </c>
      <c r="I45" s="289">
        <v>0</v>
      </c>
      <c r="J45" s="77">
        <f t="shared" si="3"/>
        <v>15</v>
      </c>
      <c r="AN45" s="4"/>
      <c r="AO45" s="4"/>
      <c r="AP45" s="4"/>
      <c r="AQ45" s="4"/>
      <c r="AR45" s="4"/>
    </row>
    <row r="46" spans="1:44" ht="14.95" customHeight="1" thickBot="1" x14ac:dyDescent="0.3">
      <c r="A46" s="43" t="s">
        <v>33</v>
      </c>
      <c r="B46" s="78">
        <v>3</v>
      </c>
      <c r="C46" s="285">
        <v>0</v>
      </c>
      <c r="D46" s="252">
        <v>0</v>
      </c>
      <c r="E46" s="5">
        <f t="shared" si="2"/>
        <v>3</v>
      </c>
      <c r="F46" s="288" t="s">
        <v>33</v>
      </c>
      <c r="G46" s="322">
        <v>15</v>
      </c>
      <c r="H46" s="283">
        <v>0</v>
      </c>
      <c r="I46" s="289">
        <v>0</v>
      </c>
      <c r="J46" s="77">
        <f t="shared" si="3"/>
        <v>15</v>
      </c>
      <c r="AQ46" s="4"/>
      <c r="AR46" s="4"/>
    </row>
    <row r="47" spans="1:44" ht="14.95" customHeight="1" thickBot="1" x14ac:dyDescent="0.3">
      <c r="A47" s="43" t="s">
        <v>279</v>
      </c>
      <c r="B47" s="78">
        <v>1</v>
      </c>
      <c r="C47" s="285">
        <v>0</v>
      </c>
      <c r="D47" s="252">
        <v>4</v>
      </c>
      <c r="E47" s="5">
        <f t="shared" si="2"/>
        <v>5</v>
      </c>
      <c r="F47" s="288" t="s">
        <v>279</v>
      </c>
      <c r="G47" s="322">
        <v>5</v>
      </c>
      <c r="H47" s="283">
        <v>0</v>
      </c>
      <c r="I47" s="289">
        <v>20</v>
      </c>
      <c r="J47" s="77">
        <f t="shared" si="3"/>
        <v>25</v>
      </c>
      <c r="AN47" s="4"/>
      <c r="AO47" s="4"/>
      <c r="AP47" s="4"/>
    </row>
    <row r="48" spans="1:44" ht="14.95" customHeight="1" thickBot="1" x14ac:dyDescent="0.3">
      <c r="A48" s="43" t="s">
        <v>40</v>
      </c>
      <c r="B48" s="78">
        <v>0</v>
      </c>
      <c r="C48" s="285">
        <v>0</v>
      </c>
      <c r="D48" s="252">
        <v>0</v>
      </c>
      <c r="E48" s="5">
        <f t="shared" si="2"/>
        <v>0</v>
      </c>
      <c r="F48" s="288" t="s">
        <v>40</v>
      </c>
      <c r="G48" s="322">
        <v>0</v>
      </c>
      <c r="H48" s="283">
        <v>0</v>
      </c>
      <c r="I48" s="289">
        <v>0</v>
      </c>
      <c r="J48" s="77">
        <f t="shared" si="3"/>
        <v>0</v>
      </c>
      <c r="AN48" s="4"/>
      <c r="AO48" s="4"/>
      <c r="AP48" s="4"/>
    </row>
    <row r="49" spans="1:10" ht="14.95" customHeight="1" thickBot="1" x14ac:dyDescent="0.3">
      <c r="A49" s="43" t="s">
        <v>3</v>
      </c>
      <c r="B49" s="78">
        <f>SUM(B3:B48)</f>
        <v>73</v>
      </c>
      <c r="C49" s="285">
        <f>SUM(C3:C48)</f>
        <v>18</v>
      </c>
      <c r="D49" s="252">
        <f>SUM(D3:D48)</f>
        <v>35</v>
      </c>
      <c r="E49" s="5">
        <f>SUM(E3:E48)</f>
        <v>126</v>
      </c>
      <c r="F49" s="288" t="s">
        <v>3</v>
      </c>
      <c r="G49" s="322">
        <f>SUM(G3:G48)</f>
        <v>512</v>
      </c>
      <c r="H49" s="283">
        <f>SUM(H3:H48)</f>
        <v>134</v>
      </c>
      <c r="I49" s="289">
        <f>SUM(I3:I48)</f>
        <v>231</v>
      </c>
      <c r="J49" s="77">
        <f>SUM(J3:J48)</f>
        <v>877</v>
      </c>
    </row>
    <row r="50" spans="1:10" ht="14.95" customHeight="1" x14ac:dyDescent="0.25">
      <c r="A50" s="444"/>
      <c r="B50" s="445"/>
      <c r="C50" s="445"/>
      <c r="D50" s="445"/>
      <c r="E50" s="445"/>
      <c r="F50" s="445"/>
      <c r="G50" s="445"/>
      <c r="H50" s="445"/>
      <c r="I50" s="39"/>
      <c r="J50" s="40"/>
    </row>
    <row r="51" spans="1:10" ht="14.95" customHeight="1" thickBot="1" x14ac:dyDescent="0.3">
      <c r="A51" t="s">
        <v>18</v>
      </c>
      <c r="B51" s="135"/>
      <c r="F51" s="72"/>
      <c r="G51" s="136"/>
      <c r="H51" s="72"/>
      <c r="I51" s="72"/>
      <c r="J51" s="72"/>
    </row>
    <row r="52" spans="1:10" ht="14.95" thickBot="1" x14ac:dyDescent="0.3">
      <c r="A52" s="108" t="s">
        <v>0</v>
      </c>
      <c r="B52" s="116" t="s">
        <v>355</v>
      </c>
      <c r="C52" s="284" t="s">
        <v>42</v>
      </c>
      <c r="D52" s="251" t="s">
        <v>564</v>
      </c>
      <c r="E52" s="109" t="s">
        <v>1</v>
      </c>
      <c r="F52" s="286" t="s">
        <v>2</v>
      </c>
      <c r="G52" s="321" t="s">
        <v>355</v>
      </c>
      <c r="H52" s="282" t="s">
        <v>42</v>
      </c>
      <c r="I52" s="287" t="s">
        <v>564</v>
      </c>
      <c r="J52" s="107" t="s">
        <v>1</v>
      </c>
    </row>
    <row r="53" spans="1:10" ht="14.95" thickBot="1" x14ac:dyDescent="0.3">
      <c r="A53" s="43" t="s">
        <v>284</v>
      </c>
      <c r="B53" s="78">
        <v>7</v>
      </c>
      <c r="C53" s="285">
        <v>2</v>
      </c>
      <c r="D53" s="252">
        <v>4</v>
      </c>
      <c r="E53" s="5">
        <f t="shared" ref="E53:E98" si="25">SUM(B53:D53)</f>
        <v>13</v>
      </c>
      <c r="F53" s="288" t="s">
        <v>22</v>
      </c>
      <c r="G53" s="322">
        <v>152</v>
      </c>
      <c r="H53" s="283">
        <v>49</v>
      </c>
      <c r="I53" s="289">
        <v>33</v>
      </c>
      <c r="J53" s="77">
        <f t="shared" ref="J53:J98" si="26">SUM(G53:I53)</f>
        <v>234</v>
      </c>
    </row>
    <row r="54" spans="1:10" ht="14.95" thickBot="1" x14ac:dyDescent="0.3">
      <c r="A54" s="43" t="s">
        <v>816</v>
      </c>
      <c r="B54" s="78">
        <v>10</v>
      </c>
      <c r="C54" s="285">
        <v>0</v>
      </c>
      <c r="D54" s="252">
        <v>1</v>
      </c>
      <c r="E54" s="5">
        <f t="shared" si="25"/>
        <v>11</v>
      </c>
      <c r="F54" s="288" t="s">
        <v>284</v>
      </c>
      <c r="G54" s="322">
        <v>35</v>
      </c>
      <c r="H54" s="283">
        <v>10</v>
      </c>
      <c r="I54" s="289">
        <v>20</v>
      </c>
      <c r="J54" s="77">
        <f t="shared" si="26"/>
        <v>65</v>
      </c>
    </row>
    <row r="55" spans="1:10" ht="14.95" thickBot="1" x14ac:dyDescent="0.3">
      <c r="A55" s="43" t="s">
        <v>881</v>
      </c>
      <c r="B55" s="78">
        <v>2</v>
      </c>
      <c r="C55" s="285">
        <v>2</v>
      </c>
      <c r="D55" s="252">
        <v>6</v>
      </c>
      <c r="E55" s="5">
        <f t="shared" si="25"/>
        <v>10</v>
      </c>
      <c r="F55" s="288" t="s">
        <v>816</v>
      </c>
      <c r="G55" s="322">
        <v>50</v>
      </c>
      <c r="H55" s="283">
        <v>0</v>
      </c>
      <c r="I55" s="289">
        <v>5</v>
      </c>
      <c r="J55" s="77">
        <f t="shared" si="26"/>
        <v>55</v>
      </c>
    </row>
    <row r="56" spans="1:10" ht="14.95" thickBot="1" x14ac:dyDescent="0.3">
      <c r="A56" s="43" t="s">
        <v>606</v>
      </c>
      <c r="B56" s="78">
        <v>3</v>
      </c>
      <c r="C56" s="285">
        <v>3</v>
      </c>
      <c r="D56" s="252">
        <v>2</v>
      </c>
      <c r="E56" s="5">
        <f t="shared" si="25"/>
        <v>8</v>
      </c>
      <c r="F56" s="288" t="s">
        <v>881</v>
      </c>
      <c r="G56" s="322">
        <v>10</v>
      </c>
      <c r="H56" s="283">
        <v>10</v>
      </c>
      <c r="I56" s="289">
        <v>30</v>
      </c>
      <c r="J56" s="77">
        <f t="shared" si="26"/>
        <v>50</v>
      </c>
    </row>
    <row r="57" spans="1:10" ht="14.95" thickBot="1" x14ac:dyDescent="0.3">
      <c r="A57" s="43" t="s">
        <v>603</v>
      </c>
      <c r="B57" s="78">
        <v>7</v>
      </c>
      <c r="C57" s="285">
        <v>1</v>
      </c>
      <c r="D57" s="252">
        <v>0</v>
      </c>
      <c r="E57" s="5">
        <f t="shared" si="25"/>
        <v>8</v>
      </c>
      <c r="F57" s="288" t="s">
        <v>345</v>
      </c>
      <c r="G57" s="322">
        <v>27</v>
      </c>
      <c r="H57" s="283">
        <v>0</v>
      </c>
      <c r="I57" s="289">
        <v>15</v>
      </c>
      <c r="J57" s="77">
        <f t="shared" si="26"/>
        <v>42</v>
      </c>
    </row>
    <row r="58" spans="1:10" ht="14.95" thickBot="1" x14ac:dyDescent="0.3">
      <c r="A58" s="43" t="s">
        <v>22</v>
      </c>
      <c r="B58" s="78">
        <v>5</v>
      </c>
      <c r="C58" s="285">
        <v>1</v>
      </c>
      <c r="D58" s="252">
        <v>1</v>
      </c>
      <c r="E58" s="5">
        <f t="shared" si="25"/>
        <v>7</v>
      </c>
      <c r="F58" s="288" t="s">
        <v>606</v>
      </c>
      <c r="G58" s="322">
        <v>15</v>
      </c>
      <c r="H58" s="283">
        <v>15</v>
      </c>
      <c r="I58" s="289">
        <v>10</v>
      </c>
      <c r="J58" s="77">
        <f t="shared" si="26"/>
        <v>40</v>
      </c>
    </row>
    <row r="59" spans="1:10" ht="14.95" thickBot="1" x14ac:dyDescent="0.3">
      <c r="A59" s="43" t="s">
        <v>878</v>
      </c>
      <c r="B59" s="78">
        <v>4</v>
      </c>
      <c r="C59" s="285">
        <v>1</v>
      </c>
      <c r="D59" s="252">
        <v>1</v>
      </c>
      <c r="E59" s="5">
        <f t="shared" si="25"/>
        <v>6</v>
      </c>
      <c r="F59" s="288" t="s">
        <v>603</v>
      </c>
      <c r="G59" s="322">
        <v>35</v>
      </c>
      <c r="H59" s="283">
        <v>5</v>
      </c>
      <c r="I59" s="289">
        <v>0</v>
      </c>
      <c r="J59" s="77">
        <f t="shared" si="26"/>
        <v>40</v>
      </c>
    </row>
    <row r="60" spans="1:10" ht="14.95" thickBot="1" x14ac:dyDescent="0.3">
      <c r="A60" s="43" t="s">
        <v>345</v>
      </c>
      <c r="B60" s="78">
        <v>3</v>
      </c>
      <c r="C60" s="285">
        <v>0</v>
      </c>
      <c r="D60" s="252">
        <v>3</v>
      </c>
      <c r="E60" s="5">
        <f t="shared" si="25"/>
        <v>6</v>
      </c>
      <c r="F60" s="288" t="s">
        <v>878</v>
      </c>
      <c r="G60" s="322">
        <v>20</v>
      </c>
      <c r="H60" s="283">
        <v>5</v>
      </c>
      <c r="I60" s="289">
        <v>5</v>
      </c>
      <c r="J60" s="77">
        <f t="shared" si="26"/>
        <v>30</v>
      </c>
    </row>
    <row r="61" spans="1:10" ht="14.3" customHeight="1" thickBot="1" x14ac:dyDescent="0.3">
      <c r="A61" s="43" t="s">
        <v>565</v>
      </c>
      <c r="B61" s="78">
        <v>4</v>
      </c>
      <c r="C61" s="285">
        <v>0</v>
      </c>
      <c r="D61" s="252">
        <v>1</v>
      </c>
      <c r="E61" s="5">
        <f t="shared" si="25"/>
        <v>5</v>
      </c>
      <c r="F61" s="288" t="s">
        <v>831</v>
      </c>
      <c r="G61" s="322">
        <v>14</v>
      </c>
      <c r="H61" s="283">
        <v>5</v>
      </c>
      <c r="I61" s="289">
        <v>10</v>
      </c>
      <c r="J61" s="77">
        <f t="shared" si="26"/>
        <v>29</v>
      </c>
    </row>
    <row r="62" spans="1:10" ht="14.95" thickBot="1" x14ac:dyDescent="0.3">
      <c r="A62" s="43" t="s">
        <v>883</v>
      </c>
      <c r="B62" s="78">
        <v>2</v>
      </c>
      <c r="C62" s="285">
        <v>2</v>
      </c>
      <c r="D62" s="252">
        <v>1</v>
      </c>
      <c r="E62" s="5">
        <f t="shared" si="25"/>
        <v>5</v>
      </c>
      <c r="F62" s="288" t="s">
        <v>565</v>
      </c>
      <c r="G62" s="322">
        <v>20</v>
      </c>
      <c r="H62" s="283">
        <v>0</v>
      </c>
      <c r="I62" s="289">
        <v>5</v>
      </c>
      <c r="J62" s="77">
        <f t="shared" si="26"/>
        <v>25</v>
      </c>
    </row>
    <row r="63" spans="1:10" ht="14.3" customHeight="1" thickBot="1" x14ac:dyDescent="0.3">
      <c r="A63" s="43" t="s">
        <v>47</v>
      </c>
      <c r="B63" s="78">
        <v>5</v>
      </c>
      <c r="C63" s="285">
        <v>0</v>
      </c>
      <c r="D63" s="252">
        <v>0</v>
      </c>
      <c r="E63" s="5">
        <f t="shared" si="25"/>
        <v>5</v>
      </c>
      <c r="F63" s="288" t="s">
        <v>883</v>
      </c>
      <c r="G63" s="322">
        <v>10</v>
      </c>
      <c r="H63" s="283">
        <v>10</v>
      </c>
      <c r="I63" s="289">
        <v>5</v>
      </c>
      <c r="J63" s="77">
        <f t="shared" si="26"/>
        <v>25</v>
      </c>
    </row>
    <row r="64" spans="1:10" ht="14.95" thickBot="1" x14ac:dyDescent="0.3">
      <c r="A64" s="43" t="s">
        <v>279</v>
      </c>
      <c r="B64" s="78">
        <v>1</v>
      </c>
      <c r="C64" s="285">
        <v>0</v>
      </c>
      <c r="D64" s="252">
        <v>4</v>
      </c>
      <c r="E64" s="5">
        <f t="shared" si="25"/>
        <v>5</v>
      </c>
      <c r="F64" s="288" t="s">
        <v>47</v>
      </c>
      <c r="G64" s="322">
        <v>25</v>
      </c>
      <c r="H64" s="283">
        <v>0</v>
      </c>
      <c r="I64" s="289">
        <v>0</v>
      </c>
      <c r="J64" s="77">
        <f t="shared" si="26"/>
        <v>25</v>
      </c>
    </row>
    <row r="65" spans="1:10" ht="14.95" thickBot="1" x14ac:dyDescent="0.3">
      <c r="A65" s="43" t="s">
        <v>366</v>
      </c>
      <c r="B65" s="78">
        <v>2</v>
      </c>
      <c r="C65" s="285">
        <v>0</v>
      </c>
      <c r="D65" s="252">
        <v>1</v>
      </c>
      <c r="E65" s="5">
        <f t="shared" si="25"/>
        <v>3</v>
      </c>
      <c r="F65" s="288" t="s">
        <v>279</v>
      </c>
      <c r="G65" s="322">
        <v>5</v>
      </c>
      <c r="H65" s="283">
        <v>0</v>
      </c>
      <c r="I65" s="289">
        <v>20</v>
      </c>
      <c r="J65" s="77">
        <f t="shared" si="26"/>
        <v>25</v>
      </c>
    </row>
    <row r="66" spans="1:10" ht="14.95" thickBot="1" x14ac:dyDescent="0.3">
      <c r="A66" s="43" t="s">
        <v>804</v>
      </c>
      <c r="B66" s="78">
        <v>2</v>
      </c>
      <c r="C66" s="285">
        <v>1</v>
      </c>
      <c r="D66" s="252">
        <v>0</v>
      </c>
      <c r="E66" s="5">
        <f t="shared" si="25"/>
        <v>3</v>
      </c>
      <c r="F66" s="288" t="s">
        <v>880</v>
      </c>
      <c r="G66" s="322">
        <v>0</v>
      </c>
      <c r="H66" s="283">
        <v>0</v>
      </c>
      <c r="I66" s="289">
        <v>18</v>
      </c>
      <c r="J66" s="77">
        <f t="shared" si="26"/>
        <v>18</v>
      </c>
    </row>
    <row r="67" spans="1:10" ht="14.95" thickBot="1" x14ac:dyDescent="0.3">
      <c r="A67" s="43" t="s">
        <v>240</v>
      </c>
      <c r="B67" s="78">
        <v>3</v>
      </c>
      <c r="C67" s="285">
        <v>0</v>
      </c>
      <c r="D67" s="252">
        <v>0</v>
      </c>
      <c r="E67" s="5">
        <f t="shared" si="25"/>
        <v>3</v>
      </c>
      <c r="F67" s="288" t="s">
        <v>366</v>
      </c>
      <c r="G67" s="322">
        <v>10</v>
      </c>
      <c r="H67" s="283">
        <v>0</v>
      </c>
      <c r="I67" s="289">
        <v>5</v>
      </c>
      <c r="J67" s="77">
        <f t="shared" si="26"/>
        <v>15</v>
      </c>
    </row>
    <row r="68" spans="1:10" ht="14.95" thickBot="1" x14ac:dyDescent="0.3">
      <c r="A68" s="43" t="s">
        <v>831</v>
      </c>
      <c r="B68" s="78">
        <v>2</v>
      </c>
      <c r="C68" s="285">
        <v>1</v>
      </c>
      <c r="D68" s="252">
        <v>0</v>
      </c>
      <c r="E68" s="5">
        <f t="shared" si="25"/>
        <v>3</v>
      </c>
      <c r="F68" s="288" t="s">
        <v>804</v>
      </c>
      <c r="G68" s="322">
        <v>10</v>
      </c>
      <c r="H68" s="283">
        <v>5</v>
      </c>
      <c r="I68" s="289">
        <v>0</v>
      </c>
      <c r="J68" s="77">
        <f t="shared" si="26"/>
        <v>15</v>
      </c>
    </row>
    <row r="69" spans="1:10" ht="14.95" thickBot="1" x14ac:dyDescent="0.3">
      <c r="A69" s="43" t="s">
        <v>984</v>
      </c>
      <c r="B69" s="78">
        <v>1</v>
      </c>
      <c r="C69" s="285">
        <v>2</v>
      </c>
      <c r="D69" s="252">
        <v>0</v>
      </c>
      <c r="E69" s="5">
        <f t="shared" si="25"/>
        <v>3</v>
      </c>
      <c r="F69" s="288" t="s">
        <v>240</v>
      </c>
      <c r="G69" s="322">
        <v>15</v>
      </c>
      <c r="H69" s="283">
        <v>0</v>
      </c>
      <c r="I69" s="289">
        <v>0</v>
      </c>
      <c r="J69" s="77">
        <f t="shared" si="26"/>
        <v>15</v>
      </c>
    </row>
    <row r="70" spans="1:10" ht="14.95" thickBot="1" x14ac:dyDescent="0.3">
      <c r="A70" s="43" t="s">
        <v>33</v>
      </c>
      <c r="B70" s="78">
        <v>3</v>
      </c>
      <c r="C70" s="285">
        <v>0</v>
      </c>
      <c r="D70" s="252">
        <v>0</v>
      </c>
      <c r="E70" s="5">
        <f t="shared" si="25"/>
        <v>3</v>
      </c>
      <c r="F70" s="288" t="s">
        <v>984</v>
      </c>
      <c r="G70" s="322">
        <v>5</v>
      </c>
      <c r="H70" s="283">
        <v>10</v>
      </c>
      <c r="I70" s="289">
        <v>0</v>
      </c>
      <c r="J70" s="77">
        <f t="shared" si="26"/>
        <v>15</v>
      </c>
    </row>
    <row r="71" spans="1:10" ht="14.95" thickBot="1" x14ac:dyDescent="0.3">
      <c r="A71" s="43" t="s">
        <v>843</v>
      </c>
      <c r="B71" s="78">
        <v>0</v>
      </c>
      <c r="C71" s="285">
        <v>0</v>
      </c>
      <c r="D71" s="252">
        <v>2</v>
      </c>
      <c r="E71" s="5">
        <f t="shared" si="25"/>
        <v>2</v>
      </c>
      <c r="F71" s="288" t="s">
        <v>33</v>
      </c>
      <c r="G71" s="322">
        <v>15</v>
      </c>
      <c r="H71" s="283">
        <v>0</v>
      </c>
      <c r="I71" s="289">
        <v>0</v>
      </c>
      <c r="J71" s="77">
        <f t="shared" si="26"/>
        <v>15</v>
      </c>
    </row>
    <row r="72" spans="1:10" ht="14.95" thickBot="1" x14ac:dyDescent="0.3">
      <c r="A72" s="43" t="s">
        <v>879</v>
      </c>
      <c r="B72" s="78">
        <v>0</v>
      </c>
      <c r="C72" s="285">
        <v>0</v>
      </c>
      <c r="D72" s="252">
        <v>2</v>
      </c>
      <c r="E72" s="5">
        <f t="shared" si="25"/>
        <v>2</v>
      </c>
      <c r="F72" s="288" t="s">
        <v>5</v>
      </c>
      <c r="G72" s="322">
        <v>14</v>
      </c>
      <c r="H72" s="283">
        <v>0</v>
      </c>
      <c r="I72" s="289">
        <v>0</v>
      </c>
      <c r="J72" s="77">
        <f t="shared" si="26"/>
        <v>14</v>
      </c>
    </row>
    <row r="73" spans="1:10" ht="14.95" thickBot="1" x14ac:dyDescent="0.3">
      <c r="A73" s="43" t="s">
        <v>1028</v>
      </c>
      <c r="B73" s="78">
        <v>2</v>
      </c>
      <c r="C73" s="285">
        <v>0</v>
      </c>
      <c r="D73" s="252">
        <v>0</v>
      </c>
      <c r="E73" s="5">
        <f t="shared" si="25"/>
        <v>2</v>
      </c>
      <c r="F73" s="288" t="s">
        <v>843</v>
      </c>
      <c r="G73" s="322">
        <v>0</v>
      </c>
      <c r="H73" s="283">
        <v>0</v>
      </c>
      <c r="I73" s="289">
        <v>10</v>
      </c>
      <c r="J73" s="77">
        <f t="shared" si="26"/>
        <v>10</v>
      </c>
    </row>
    <row r="74" spans="1:10" ht="14.95" thickBot="1" x14ac:dyDescent="0.3">
      <c r="A74" s="43" t="s">
        <v>5</v>
      </c>
      <c r="B74" s="78">
        <v>2</v>
      </c>
      <c r="C74" s="285">
        <v>0</v>
      </c>
      <c r="D74" s="252">
        <v>0</v>
      </c>
      <c r="E74" s="5">
        <f t="shared" si="25"/>
        <v>2</v>
      </c>
      <c r="F74" s="288" t="s">
        <v>879</v>
      </c>
      <c r="G74" s="322">
        <v>0</v>
      </c>
      <c r="H74" s="283">
        <v>0</v>
      </c>
      <c r="I74" s="289">
        <v>10</v>
      </c>
      <c r="J74" s="77">
        <f t="shared" si="26"/>
        <v>10</v>
      </c>
    </row>
    <row r="75" spans="1:10" ht="14.95" thickBot="1" x14ac:dyDescent="0.3">
      <c r="A75" s="43" t="s">
        <v>634</v>
      </c>
      <c r="B75" s="78">
        <v>0</v>
      </c>
      <c r="C75" s="285">
        <v>0</v>
      </c>
      <c r="D75" s="252">
        <v>2</v>
      </c>
      <c r="E75" s="5">
        <f t="shared" si="25"/>
        <v>2</v>
      </c>
      <c r="F75" s="288" t="s">
        <v>1028</v>
      </c>
      <c r="G75" s="322">
        <v>10</v>
      </c>
      <c r="H75" s="283">
        <v>0</v>
      </c>
      <c r="I75" s="289">
        <v>0</v>
      </c>
      <c r="J75" s="77">
        <f t="shared" si="26"/>
        <v>10</v>
      </c>
    </row>
    <row r="76" spans="1:10" ht="14.95" thickBot="1" x14ac:dyDescent="0.3">
      <c r="A76" s="43" t="s">
        <v>792</v>
      </c>
      <c r="B76" s="78">
        <v>2</v>
      </c>
      <c r="C76" s="285">
        <v>0</v>
      </c>
      <c r="D76" s="252">
        <v>0</v>
      </c>
      <c r="E76" s="5">
        <f t="shared" si="25"/>
        <v>2</v>
      </c>
      <c r="F76" s="288" t="s">
        <v>634</v>
      </c>
      <c r="G76" s="322">
        <v>0</v>
      </c>
      <c r="H76" s="283">
        <v>0</v>
      </c>
      <c r="I76" s="289">
        <v>10</v>
      </c>
      <c r="J76" s="77">
        <f t="shared" si="26"/>
        <v>10</v>
      </c>
    </row>
    <row r="77" spans="1:10" ht="14.95" thickBot="1" x14ac:dyDescent="0.3">
      <c r="A77" s="43" t="s">
        <v>877</v>
      </c>
      <c r="B77" s="78">
        <v>0</v>
      </c>
      <c r="C77" s="285">
        <v>0</v>
      </c>
      <c r="D77" s="252">
        <v>1</v>
      </c>
      <c r="E77" s="5">
        <f t="shared" si="25"/>
        <v>1</v>
      </c>
      <c r="F77" s="288" t="s">
        <v>792</v>
      </c>
      <c r="G77" s="322">
        <v>10</v>
      </c>
      <c r="H77" s="283">
        <v>0</v>
      </c>
      <c r="I77" s="289">
        <v>0</v>
      </c>
      <c r="J77" s="77">
        <f t="shared" si="26"/>
        <v>10</v>
      </c>
    </row>
    <row r="78" spans="1:10" ht="14.95" thickBot="1" x14ac:dyDescent="0.3">
      <c r="A78" s="43" t="s">
        <v>801</v>
      </c>
      <c r="B78" s="78">
        <v>0</v>
      </c>
      <c r="C78" s="285">
        <v>0</v>
      </c>
      <c r="D78" s="252">
        <v>1</v>
      </c>
      <c r="E78" s="5">
        <f t="shared" si="25"/>
        <v>1</v>
      </c>
      <c r="F78" s="288" t="s">
        <v>877</v>
      </c>
      <c r="G78" s="322">
        <v>0</v>
      </c>
      <c r="H78" s="283">
        <v>0</v>
      </c>
      <c r="I78" s="289">
        <v>5</v>
      </c>
      <c r="J78" s="77">
        <f t="shared" si="26"/>
        <v>5</v>
      </c>
    </row>
    <row r="79" spans="1:10" ht="14.95" thickBot="1" x14ac:dyDescent="0.3">
      <c r="A79" s="43" t="s">
        <v>973</v>
      </c>
      <c r="B79" s="78">
        <v>0</v>
      </c>
      <c r="C79" s="285">
        <v>1</v>
      </c>
      <c r="D79" s="252">
        <v>0</v>
      </c>
      <c r="E79" s="5">
        <f t="shared" si="25"/>
        <v>1</v>
      </c>
      <c r="F79" s="288" t="s">
        <v>801</v>
      </c>
      <c r="G79" s="322">
        <v>0</v>
      </c>
      <c r="H79" s="283">
        <v>0</v>
      </c>
      <c r="I79" s="289">
        <v>5</v>
      </c>
      <c r="J79" s="77">
        <f t="shared" si="26"/>
        <v>5</v>
      </c>
    </row>
    <row r="80" spans="1:10" ht="14.95" thickBot="1" x14ac:dyDescent="0.3">
      <c r="A80" s="43" t="s">
        <v>62</v>
      </c>
      <c r="B80" s="78">
        <v>1</v>
      </c>
      <c r="C80" s="285">
        <v>0</v>
      </c>
      <c r="D80" s="252">
        <v>0</v>
      </c>
      <c r="E80" s="5">
        <f t="shared" si="25"/>
        <v>1</v>
      </c>
      <c r="F80" s="288" t="s">
        <v>973</v>
      </c>
      <c r="G80" s="322">
        <v>0</v>
      </c>
      <c r="H80" s="283">
        <v>5</v>
      </c>
      <c r="I80" s="289">
        <v>0</v>
      </c>
      <c r="J80" s="77">
        <f t="shared" si="26"/>
        <v>5</v>
      </c>
    </row>
    <row r="81" spans="1:10" ht="14.95" thickBot="1" x14ac:dyDescent="0.3">
      <c r="A81" s="43" t="s">
        <v>663</v>
      </c>
      <c r="B81" s="78">
        <v>0</v>
      </c>
      <c r="C81" s="285">
        <v>1</v>
      </c>
      <c r="D81" s="252">
        <v>0</v>
      </c>
      <c r="E81" s="5">
        <f t="shared" si="25"/>
        <v>1</v>
      </c>
      <c r="F81" s="288" t="s">
        <v>62</v>
      </c>
      <c r="G81" s="322">
        <v>5</v>
      </c>
      <c r="H81" s="283">
        <v>0</v>
      </c>
      <c r="I81" s="289">
        <v>0</v>
      </c>
      <c r="J81" s="77">
        <f t="shared" si="26"/>
        <v>5</v>
      </c>
    </row>
    <row r="82" spans="1:10" ht="14.95" thickBot="1" x14ac:dyDescent="0.3">
      <c r="A82" s="43" t="s">
        <v>271</v>
      </c>
      <c r="B82" s="78">
        <v>0</v>
      </c>
      <c r="C82" s="285">
        <v>0</v>
      </c>
      <c r="D82" s="252">
        <v>1</v>
      </c>
      <c r="E82" s="5">
        <f t="shared" si="25"/>
        <v>1</v>
      </c>
      <c r="F82" s="290" t="s">
        <v>663</v>
      </c>
      <c r="G82" s="322">
        <v>0</v>
      </c>
      <c r="H82" s="283">
        <v>5</v>
      </c>
      <c r="I82" s="289">
        <v>0</v>
      </c>
      <c r="J82" s="77">
        <f t="shared" si="26"/>
        <v>5</v>
      </c>
    </row>
    <row r="83" spans="1:10" ht="14.95" thickBot="1" x14ac:dyDescent="0.3">
      <c r="A83" s="43" t="s">
        <v>882</v>
      </c>
      <c r="B83" s="78">
        <v>0</v>
      </c>
      <c r="C83" s="285">
        <v>0</v>
      </c>
      <c r="D83" s="252">
        <v>1</v>
      </c>
      <c r="E83" s="5">
        <f t="shared" si="25"/>
        <v>1</v>
      </c>
      <c r="F83" s="288" t="s">
        <v>271</v>
      </c>
      <c r="G83" s="322">
        <v>0</v>
      </c>
      <c r="H83" s="283">
        <v>0</v>
      </c>
      <c r="I83" s="289">
        <v>5</v>
      </c>
      <c r="J83" s="77">
        <f t="shared" si="26"/>
        <v>5</v>
      </c>
    </row>
    <row r="84" spans="1:10" ht="14.95" thickBot="1" x14ac:dyDescent="0.3">
      <c r="A84" s="43" t="s">
        <v>756</v>
      </c>
      <c r="B84" s="78">
        <v>0</v>
      </c>
      <c r="C84" s="285">
        <v>0</v>
      </c>
      <c r="D84" s="252">
        <v>0</v>
      </c>
      <c r="E84" s="5">
        <f t="shared" si="25"/>
        <v>0</v>
      </c>
      <c r="F84" s="288" t="s">
        <v>882</v>
      </c>
      <c r="G84" s="322">
        <v>0</v>
      </c>
      <c r="H84" s="283">
        <v>0</v>
      </c>
      <c r="I84" s="289">
        <v>5</v>
      </c>
      <c r="J84" s="77">
        <f t="shared" si="26"/>
        <v>5</v>
      </c>
    </row>
    <row r="85" spans="1:10" ht="14.95" thickBot="1" x14ac:dyDescent="0.3">
      <c r="A85" s="43" t="s">
        <v>254</v>
      </c>
      <c r="B85" s="78">
        <v>0</v>
      </c>
      <c r="C85" s="285">
        <v>0</v>
      </c>
      <c r="D85" s="252">
        <v>0</v>
      </c>
      <c r="E85" s="5">
        <f t="shared" si="25"/>
        <v>0</v>
      </c>
      <c r="F85" s="288" t="s">
        <v>756</v>
      </c>
      <c r="G85" s="322">
        <v>0</v>
      </c>
      <c r="H85" s="283">
        <v>0</v>
      </c>
      <c r="I85" s="289">
        <v>0</v>
      </c>
      <c r="J85" s="77">
        <f t="shared" si="26"/>
        <v>0</v>
      </c>
    </row>
    <row r="86" spans="1:10" ht="14.95" thickBot="1" x14ac:dyDescent="0.3">
      <c r="A86" s="43" t="s">
        <v>80</v>
      </c>
      <c r="B86" s="78">
        <v>0</v>
      </c>
      <c r="C86" s="285">
        <v>0</v>
      </c>
      <c r="D86" s="252">
        <v>0</v>
      </c>
      <c r="E86" s="5">
        <f t="shared" si="25"/>
        <v>0</v>
      </c>
      <c r="F86" s="288" t="s">
        <v>254</v>
      </c>
      <c r="G86" s="322">
        <v>0</v>
      </c>
      <c r="H86" s="283">
        <v>0</v>
      </c>
      <c r="I86" s="289">
        <v>0</v>
      </c>
      <c r="J86" s="77">
        <f t="shared" si="26"/>
        <v>0</v>
      </c>
    </row>
    <row r="87" spans="1:10" ht="14.95" thickBot="1" x14ac:dyDescent="0.3">
      <c r="A87" s="43" t="s">
        <v>343</v>
      </c>
      <c r="B87" s="78">
        <v>0</v>
      </c>
      <c r="C87" s="285">
        <v>0</v>
      </c>
      <c r="D87" s="252">
        <v>0</v>
      </c>
      <c r="E87" s="5">
        <f t="shared" si="25"/>
        <v>0</v>
      </c>
      <c r="F87" s="288" t="s">
        <v>80</v>
      </c>
      <c r="G87" s="322">
        <v>0</v>
      </c>
      <c r="H87" s="283">
        <v>0</v>
      </c>
      <c r="I87" s="289">
        <v>0</v>
      </c>
      <c r="J87" s="77">
        <f t="shared" si="26"/>
        <v>0</v>
      </c>
    </row>
    <row r="88" spans="1:10" ht="14.95" thickBot="1" x14ac:dyDescent="0.3">
      <c r="A88" s="43" t="s">
        <v>880</v>
      </c>
      <c r="B88" s="78">
        <v>0</v>
      </c>
      <c r="C88" s="285">
        <v>0</v>
      </c>
      <c r="D88" s="252">
        <v>0</v>
      </c>
      <c r="E88" s="5">
        <f t="shared" si="25"/>
        <v>0</v>
      </c>
      <c r="F88" s="288" t="s">
        <v>343</v>
      </c>
      <c r="G88" s="322">
        <v>0</v>
      </c>
      <c r="H88" s="283">
        <v>0</v>
      </c>
      <c r="I88" s="289">
        <v>0</v>
      </c>
      <c r="J88" s="77">
        <f t="shared" si="26"/>
        <v>0</v>
      </c>
    </row>
    <row r="89" spans="1:10" ht="14.95" thickBot="1" x14ac:dyDescent="0.3">
      <c r="A89" s="43" t="s">
        <v>54</v>
      </c>
      <c r="B89" s="78">
        <v>0</v>
      </c>
      <c r="C89" s="285">
        <v>0</v>
      </c>
      <c r="D89" s="252">
        <v>0</v>
      </c>
      <c r="E89" s="5">
        <f t="shared" si="25"/>
        <v>0</v>
      </c>
      <c r="F89" s="288" t="s">
        <v>54</v>
      </c>
      <c r="G89" s="322">
        <v>0</v>
      </c>
      <c r="H89" s="283">
        <v>0</v>
      </c>
      <c r="I89" s="289">
        <v>0</v>
      </c>
      <c r="J89" s="77">
        <f t="shared" si="26"/>
        <v>0</v>
      </c>
    </row>
    <row r="90" spans="1:10" ht="14.95" thickBot="1" x14ac:dyDescent="0.3">
      <c r="A90" s="43" t="s">
        <v>374</v>
      </c>
      <c r="B90" s="78">
        <v>0</v>
      </c>
      <c r="C90" s="285">
        <v>0</v>
      </c>
      <c r="D90" s="252">
        <v>0</v>
      </c>
      <c r="E90" s="5">
        <f t="shared" si="25"/>
        <v>0</v>
      </c>
      <c r="F90" s="288" t="s">
        <v>374</v>
      </c>
      <c r="G90" s="322">
        <v>0</v>
      </c>
      <c r="H90" s="283">
        <v>0</v>
      </c>
      <c r="I90" s="289">
        <v>0</v>
      </c>
      <c r="J90" s="77">
        <f t="shared" si="26"/>
        <v>0</v>
      </c>
    </row>
    <row r="91" spans="1:10" ht="14.95" thickBot="1" x14ac:dyDescent="0.3">
      <c r="A91" s="43" t="s">
        <v>803</v>
      </c>
      <c r="B91" s="78">
        <v>0</v>
      </c>
      <c r="C91" s="285">
        <v>0</v>
      </c>
      <c r="D91" s="252">
        <v>0</v>
      </c>
      <c r="E91" s="5">
        <f t="shared" si="25"/>
        <v>0</v>
      </c>
      <c r="F91" s="288" t="s">
        <v>803</v>
      </c>
      <c r="G91" s="322">
        <v>0</v>
      </c>
      <c r="H91" s="283">
        <v>0</v>
      </c>
      <c r="I91" s="289">
        <v>0</v>
      </c>
      <c r="J91" s="77">
        <f t="shared" si="26"/>
        <v>0</v>
      </c>
    </row>
    <row r="92" spans="1:10" ht="14.95" thickBot="1" x14ac:dyDescent="0.3">
      <c r="A92" s="43" t="s">
        <v>256</v>
      </c>
      <c r="B92" s="78">
        <v>0</v>
      </c>
      <c r="C92" s="285">
        <v>0</v>
      </c>
      <c r="D92" s="252">
        <v>0</v>
      </c>
      <c r="E92" s="5">
        <f t="shared" si="25"/>
        <v>0</v>
      </c>
      <c r="F92" s="288" t="s">
        <v>256</v>
      </c>
      <c r="G92" s="322">
        <v>0</v>
      </c>
      <c r="H92" s="283">
        <v>0</v>
      </c>
      <c r="I92" s="289">
        <v>0</v>
      </c>
      <c r="J92" s="77">
        <f t="shared" si="26"/>
        <v>0</v>
      </c>
    </row>
    <row r="93" spans="1:10" ht="14.95" thickBot="1" x14ac:dyDescent="0.3">
      <c r="A93" s="43" t="s">
        <v>586</v>
      </c>
      <c r="B93" s="78">
        <v>0</v>
      </c>
      <c r="C93" s="285">
        <v>0</v>
      </c>
      <c r="D93" s="252">
        <v>0</v>
      </c>
      <c r="E93" s="5">
        <f t="shared" si="25"/>
        <v>0</v>
      </c>
      <c r="F93" s="288" t="s">
        <v>586</v>
      </c>
      <c r="G93" s="322">
        <v>0</v>
      </c>
      <c r="H93" s="283">
        <v>0</v>
      </c>
      <c r="I93" s="289">
        <v>0</v>
      </c>
      <c r="J93" s="77">
        <f t="shared" si="26"/>
        <v>0</v>
      </c>
    </row>
    <row r="94" spans="1:10" ht="14.95" thickBot="1" x14ac:dyDescent="0.3">
      <c r="A94" s="43" t="s">
        <v>1013</v>
      </c>
      <c r="B94" s="78">
        <v>0</v>
      </c>
      <c r="C94" s="285">
        <v>0</v>
      </c>
      <c r="D94" s="252">
        <v>0</v>
      </c>
      <c r="E94" s="5">
        <f t="shared" si="25"/>
        <v>0</v>
      </c>
      <c r="F94" s="288" t="s">
        <v>1013</v>
      </c>
      <c r="G94" s="322">
        <v>0</v>
      </c>
      <c r="H94" s="283">
        <v>0</v>
      </c>
      <c r="I94" s="289">
        <v>0</v>
      </c>
      <c r="J94" s="77">
        <f t="shared" si="26"/>
        <v>0</v>
      </c>
    </row>
    <row r="95" spans="1:10" ht="14.95" thickBot="1" x14ac:dyDescent="0.3">
      <c r="A95" s="43" t="s">
        <v>654</v>
      </c>
      <c r="B95" s="78">
        <v>0</v>
      </c>
      <c r="C95" s="285">
        <v>0</v>
      </c>
      <c r="D95" s="252">
        <v>0</v>
      </c>
      <c r="E95" s="5">
        <f t="shared" si="25"/>
        <v>0</v>
      </c>
      <c r="F95" s="288" t="s">
        <v>654</v>
      </c>
      <c r="G95" s="322">
        <v>0</v>
      </c>
      <c r="H95" s="283">
        <v>0</v>
      </c>
      <c r="I95" s="289">
        <v>0</v>
      </c>
      <c r="J95" s="77">
        <f t="shared" si="26"/>
        <v>0</v>
      </c>
    </row>
    <row r="96" spans="1:10" ht="14.95" thickBot="1" x14ac:dyDescent="0.3">
      <c r="A96" s="43" t="s">
        <v>294</v>
      </c>
      <c r="B96" s="78">
        <v>0</v>
      </c>
      <c r="C96" s="285">
        <v>0</v>
      </c>
      <c r="D96" s="252">
        <v>0</v>
      </c>
      <c r="E96" s="5">
        <f t="shared" si="25"/>
        <v>0</v>
      </c>
      <c r="F96" s="288" t="s">
        <v>294</v>
      </c>
      <c r="G96" s="322">
        <v>0</v>
      </c>
      <c r="H96" s="283">
        <v>0</v>
      </c>
      <c r="I96" s="289">
        <v>0</v>
      </c>
      <c r="J96" s="77">
        <f t="shared" si="26"/>
        <v>0</v>
      </c>
    </row>
    <row r="97" spans="1:10" ht="14.95" thickBot="1" x14ac:dyDescent="0.3">
      <c r="A97" s="43" t="s">
        <v>721</v>
      </c>
      <c r="B97" s="78">
        <v>0</v>
      </c>
      <c r="C97" s="285">
        <v>0</v>
      </c>
      <c r="D97" s="252">
        <v>0</v>
      </c>
      <c r="E97" s="5">
        <f t="shared" si="25"/>
        <v>0</v>
      </c>
      <c r="F97" s="288" t="s">
        <v>721</v>
      </c>
      <c r="G97" s="322">
        <v>0</v>
      </c>
      <c r="H97" s="283">
        <v>0</v>
      </c>
      <c r="I97" s="289">
        <v>0</v>
      </c>
      <c r="J97" s="77">
        <f t="shared" si="26"/>
        <v>0</v>
      </c>
    </row>
    <row r="98" spans="1:10" ht="14.95" thickBot="1" x14ac:dyDescent="0.3">
      <c r="A98" s="43" t="s">
        <v>40</v>
      </c>
      <c r="B98" s="78">
        <v>0</v>
      </c>
      <c r="C98" s="285">
        <v>0</v>
      </c>
      <c r="D98" s="252">
        <v>0</v>
      </c>
      <c r="E98" s="5">
        <f t="shared" si="25"/>
        <v>0</v>
      </c>
      <c r="F98" s="288" t="s">
        <v>40</v>
      </c>
      <c r="G98" s="322">
        <v>0</v>
      </c>
      <c r="H98" s="283">
        <v>0</v>
      </c>
      <c r="I98" s="289">
        <v>0</v>
      </c>
      <c r="J98" s="77">
        <f t="shared" si="26"/>
        <v>0</v>
      </c>
    </row>
    <row r="99" spans="1:10" ht="14.45" customHeight="1" thickBot="1" x14ac:dyDescent="0.3">
      <c r="A99" s="43" t="s">
        <v>3</v>
      </c>
      <c r="B99" s="78">
        <f>SUM(B53:B98)</f>
        <v>73</v>
      </c>
      <c r="C99" s="285">
        <f>SUM(C53:C98)</f>
        <v>18</v>
      </c>
      <c r="D99" s="252">
        <f>SUM(D53:D98)</f>
        <v>35</v>
      </c>
      <c r="E99" s="5">
        <f>SUM(E53:E98)</f>
        <v>126</v>
      </c>
      <c r="F99" s="288" t="s">
        <v>3</v>
      </c>
      <c r="G99" s="322">
        <f>SUM(G53:G98)</f>
        <v>512</v>
      </c>
      <c r="H99" s="283">
        <f>SUM(H53:H98)</f>
        <v>134</v>
      </c>
      <c r="I99" s="289">
        <f>SUM(I53:I98)</f>
        <v>231</v>
      </c>
      <c r="J99" s="77">
        <f>SUM(J53:J98)</f>
        <v>877</v>
      </c>
    </row>
    <row r="100" spans="1:10" x14ac:dyDescent="0.25">
      <c r="A100" s="420" t="s">
        <v>57</v>
      </c>
      <c r="B100" s="421"/>
      <c r="C100" s="421"/>
      <c r="D100" s="421"/>
      <c r="E100" s="421"/>
      <c r="F100" s="421"/>
      <c r="G100" s="421"/>
      <c r="H100" s="421"/>
      <c r="I100" s="421"/>
      <c r="J100" s="421"/>
    </row>
  </sheetData>
  <sortState xmlns:xlrd2="http://schemas.microsoft.com/office/spreadsheetml/2017/richdata2" ref="F53:J98">
    <sortCondition descending="1" ref="J53:J98"/>
  </sortState>
  <mergeCells count="54">
    <mergeCell ref="AB1:AD2"/>
    <mergeCell ref="AB10:AD11"/>
    <mergeCell ref="AB17:AD18"/>
    <mergeCell ref="AB24:AD25"/>
    <mergeCell ref="K34:Z34"/>
    <mergeCell ref="K33:Y33"/>
    <mergeCell ref="R24:T25"/>
    <mergeCell ref="O24:Q25"/>
    <mergeCell ref="K24:K25"/>
    <mergeCell ref="K1:K2"/>
    <mergeCell ref="L1:N2"/>
    <mergeCell ref="O1:Q2"/>
    <mergeCell ref="K17:K18"/>
    <mergeCell ref="L17:N18"/>
    <mergeCell ref="K10:K11"/>
    <mergeCell ref="AE10:AG11"/>
    <mergeCell ref="AT10:AV11"/>
    <mergeCell ref="AQ10:AS11"/>
    <mergeCell ref="O17:Q18"/>
    <mergeCell ref="AE17:AG18"/>
    <mergeCell ref="R17:T18"/>
    <mergeCell ref="AT17:AV18"/>
    <mergeCell ref="U17:W18"/>
    <mergeCell ref="AH17:AJ18"/>
    <mergeCell ref="AK17:AM18"/>
    <mergeCell ref="AN17:AP18"/>
    <mergeCell ref="AN1:AP2"/>
    <mergeCell ref="AZ1:BB2"/>
    <mergeCell ref="AW1:AY2"/>
    <mergeCell ref="AT1:AV2"/>
    <mergeCell ref="AQ1:AS2"/>
    <mergeCell ref="AH1:AJ2"/>
    <mergeCell ref="AH10:AJ11"/>
    <mergeCell ref="AN24:AP25"/>
    <mergeCell ref="U24:W25"/>
    <mergeCell ref="AQ17:AS18"/>
    <mergeCell ref="AN10:AP11"/>
    <mergeCell ref="AK24:AM25"/>
    <mergeCell ref="AH24:AJ25"/>
    <mergeCell ref="AE24:AG25"/>
    <mergeCell ref="AK1:AM2"/>
    <mergeCell ref="AK10:AM11"/>
    <mergeCell ref="T1:V2"/>
    <mergeCell ref="AE1:AG2"/>
    <mergeCell ref="R10:T11"/>
    <mergeCell ref="W1:Y2"/>
    <mergeCell ref="R1:S2"/>
    <mergeCell ref="A100:J100"/>
    <mergeCell ref="L10:N11"/>
    <mergeCell ref="O10:Q11"/>
    <mergeCell ref="A50:H50"/>
    <mergeCell ref="K35:Y35"/>
    <mergeCell ref="U10:W11"/>
    <mergeCell ref="L24:N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112"/>
  <sheetViews>
    <sheetView zoomScaleNormal="100" workbookViewId="0">
      <selection activeCell="Y23" sqref="Y23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8" width="5.375" customWidth="1"/>
    <col min="19" max="19" width="5.75" customWidth="1"/>
    <col min="20" max="31" width="5.375" customWidth="1"/>
    <col min="32" max="52" width="5.75" customWidth="1"/>
    <col min="53" max="55" width="5.625" customWidth="1"/>
  </cols>
  <sheetData>
    <row r="1" spans="1:62" ht="14.95" customHeight="1" thickBot="1" x14ac:dyDescent="0.3">
      <c r="A1" s="487" t="s">
        <v>857</v>
      </c>
      <c r="B1" s="488"/>
      <c r="C1" s="488"/>
      <c r="D1" s="488"/>
      <c r="E1" s="488"/>
      <c r="F1" s="488"/>
      <c r="G1" s="488"/>
      <c r="H1" s="488"/>
      <c r="I1" s="488"/>
      <c r="J1" s="489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163"/>
      <c r="AA1" s="329"/>
      <c r="AB1" s="330"/>
      <c r="AC1" s="422" t="s">
        <v>700</v>
      </c>
      <c r="AD1" s="423"/>
      <c r="AE1" s="424"/>
      <c r="AF1" s="422" t="s">
        <v>518</v>
      </c>
      <c r="AG1" s="423"/>
      <c r="AH1" s="424"/>
      <c r="AI1" s="422" t="s">
        <v>356</v>
      </c>
      <c r="AJ1" s="423"/>
      <c r="AK1" s="424"/>
      <c r="AL1" s="422" t="s">
        <v>272</v>
      </c>
      <c r="AM1" s="423"/>
      <c r="AN1" s="424"/>
      <c r="AO1" s="422" t="s">
        <v>115</v>
      </c>
      <c r="AP1" s="423"/>
      <c r="AQ1" s="424"/>
      <c r="AR1" s="422" t="s">
        <v>83</v>
      </c>
      <c r="AS1" s="423"/>
      <c r="AT1" s="424"/>
      <c r="AU1" s="422" t="s">
        <v>78</v>
      </c>
      <c r="AV1" s="423"/>
      <c r="AW1" s="424"/>
      <c r="AX1" s="422" t="s">
        <v>67</v>
      </c>
      <c r="AY1" s="423"/>
      <c r="AZ1" s="424"/>
      <c r="BA1" s="422" t="s">
        <v>73</v>
      </c>
      <c r="BB1" s="423"/>
      <c r="BC1" s="424"/>
      <c r="BE1" s="4"/>
      <c r="BF1" s="4"/>
      <c r="BG1" s="4"/>
      <c r="BJ1" s="4"/>
    </row>
    <row r="2" spans="1:62" ht="14.95" customHeight="1" thickBot="1" x14ac:dyDescent="0.3">
      <c r="A2" s="113" t="s">
        <v>0</v>
      </c>
      <c r="B2" s="184" t="s">
        <v>355</v>
      </c>
      <c r="C2" s="368" t="s">
        <v>43</v>
      </c>
      <c r="D2" s="256" t="s">
        <v>564</v>
      </c>
      <c r="E2" s="114" t="s">
        <v>1</v>
      </c>
      <c r="F2" s="115" t="s">
        <v>2</v>
      </c>
      <c r="G2" s="182" t="s">
        <v>355</v>
      </c>
      <c r="H2" s="366" t="s">
        <v>43</v>
      </c>
      <c r="I2" s="257" t="s">
        <v>564</v>
      </c>
      <c r="J2" s="107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329"/>
      <c r="AA2" s="329"/>
      <c r="AB2" s="330"/>
      <c r="AC2" s="425"/>
      <c r="AD2" s="426"/>
      <c r="AE2" s="427"/>
      <c r="AF2" s="425"/>
      <c r="AG2" s="426"/>
      <c r="AH2" s="427"/>
      <c r="AI2" s="425"/>
      <c r="AJ2" s="426"/>
      <c r="AK2" s="427"/>
      <c r="AL2" s="425"/>
      <c r="AM2" s="426"/>
      <c r="AN2" s="427"/>
      <c r="AO2" s="425"/>
      <c r="AP2" s="426"/>
      <c r="AQ2" s="427"/>
      <c r="AR2" s="425"/>
      <c r="AS2" s="426"/>
      <c r="AT2" s="427"/>
      <c r="AU2" s="425"/>
      <c r="AV2" s="426"/>
      <c r="AW2" s="427"/>
      <c r="AX2" s="425"/>
      <c r="AY2" s="426"/>
      <c r="AZ2" s="427"/>
      <c r="BA2" s="425"/>
      <c r="BB2" s="426"/>
      <c r="BC2" s="427"/>
    </row>
    <row r="3" spans="1:62" ht="14.95" customHeight="1" thickBot="1" x14ac:dyDescent="0.3">
      <c r="A3" s="44" t="s">
        <v>99</v>
      </c>
      <c r="B3" s="185">
        <v>2</v>
      </c>
      <c r="C3" s="365">
        <v>0</v>
      </c>
      <c r="D3" s="258">
        <v>0</v>
      </c>
      <c r="E3" s="61">
        <f>SUM(B3:D3)</f>
        <v>2</v>
      </c>
      <c r="F3" s="75" t="s">
        <v>99</v>
      </c>
      <c r="G3" s="183">
        <v>10</v>
      </c>
      <c r="H3" s="367">
        <v>0</v>
      </c>
      <c r="I3" s="259">
        <v>0</v>
      </c>
      <c r="J3" s="77">
        <f>SUM(G3:I3)</f>
        <v>10</v>
      </c>
      <c r="K3" s="233" t="s">
        <v>30</v>
      </c>
      <c r="L3" s="3" t="s">
        <v>74</v>
      </c>
      <c r="M3" s="3" t="s">
        <v>15</v>
      </c>
      <c r="N3" s="3" t="s">
        <v>16</v>
      </c>
      <c r="O3" s="166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151" t="s">
        <v>74</v>
      </c>
      <c r="U3" s="7" t="s">
        <v>15</v>
      </c>
      <c r="V3" s="7" t="s">
        <v>16</v>
      </c>
      <c r="W3" s="151" t="s">
        <v>74</v>
      </c>
      <c r="X3" s="7" t="s">
        <v>15</v>
      </c>
      <c r="Y3" s="7" t="s">
        <v>16</v>
      </c>
      <c r="Z3" s="95"/>
      <c r="AA3" s="95"/>
      <c r="AB3" s="206"/>
      <c r="AC3" s="85" t="s">
        <v>74</v>
      </c>
      <c r="AD3" s="80" t="s">
        <v>15</v>
      </c>
      <c r="AE3" s="80" t="s">
        <v>16</v>
      </c>
      <c r="AF3" s="151" t="s">
        <v>74</v>
      </c>
      <c r="AG3" s="7" t="s">
        <v>15</v>
      </c>
      <c r="AH3" s="7" t="s">
        <v>16</v>
      </c>
      <c r="AI3" s="151" t="s">
        <v>74</v>
      </c>
      <c r="AJ3" s="7" t="s">
        <v>15</v>
      </c>
      <c r="AK3" s="7" t="s">
        <v>16</v>
      </c>
      <c r="AL3" s="151" t="s">
        <v>74</v>
      </c>
      <c r="AM3" s="7" t="s">
        <v>15</v>
      </c>
      <c r="AN3" s="7" t="s">
        <v>16</v>
      </c>
      <c r="AO3" s="151" t="s">
        <v>74</v>
      </c>
      <c r="AP3" s="7" t="s">
        <v>15</v>
      </c>
      <c r="AQ3" s="7" t="s">
        <v>16</v>
      </c>
      <c r="AR3" s="151" t="s">
        <v>74</v>
      </c>
      <c r="AS3" s="7" t="s">
        <v>15</v>
      </c>
      <c r="AT3" s="7" t="s">
        <v>16</v>
      </c>
      <c r="AU3" s="7" t="s">
        <v>74</v>
      </c>
      <c r="AV3" s="7" t="s">
        <v>15</v>
      </c>
      <c r="AW3" s="7" t="s">
        <v>16</v>
      </c>
      <c r="AX3" s="7" t="s">
        <v>74</v>
      </c>
      <c r="AY3" s="7" t="s">
        <v>15</v>
      </c>
      <c r="AZ3" s="7" t="s">
        <v>16</v>
      </c>
      <c r="BA3" s="7" t="s">
        <v>74</v>
      </c>
      <c r="BB3" s="7" t="s">
        <v>15</v>
      </c>
      <c r="BC3" s="7" t="s">
        <v>16</v>
      </c>
    </row>
    <row r="4" spans="1:62" ht="14.95" customHeight="1" thickBot="1" x14ac:dyDescent="0.3">
      <c r="A4" s="44" t="s">
        <v>347</v>
      </c>
      <c r="B4" s="185">
        <v>2</v>
      </c>
      <c r="C4" s="365">
        <v>0</v>
      </c>
      <c r="D4" s="258">
        <v>0</v>
      </c>
      <c r="E4" s="61">
        <f t="shared" ref="E4:E55" si="0">SUM(B4:D4)</f>
        <v>2</v>
      </c>
      <c r="F4" s="75" t="s">
        <v>347</v>
      </c>
      <c r="G4" s="183">
        <v>10</v>
      </c>
      <c r="H4" s="367">
        <v>0</v>
      </c>
      <c r="I4" s="259">
        <v>0</v>
      </c>
      <c r="J4" s="77">
        <f t="shared" ref="J4:J55" si="1">SUM(G4:I4)</f>
        <v>10</v>
      </c>
      <c r="K4" s="51" t="s">
        <v>977</v>
      </c>
      <c r="L4" s="14">
        <v>5</v>
      </c>
      <c r="M4" s="14">
        <v>10</v>
      </c>
      <c r="N4" s="150">
        <f t="shared" ref="N4:N6" si="2">SUM(L4/M4)*100</f>
        <v>50</v>
      </c>
      <c r="O4" s="14" t="s">
        <v>21</v>
      </c>
      <c r="P4" s="14" t="s">
        <v>21</v>
      </c>
      <c r="Q4" s="150" t="s">
        <v>21</v>
      </c>
      <c r="R4" s="14">
        <v>-1</v>
      </c>
      <c r="S4" s="14">
        <v>-1</v>
      </c>
      <c r="T4" s="7">
        <v>4</v>
      </c>
      <c r="U4" s="7">
        <v>7</v>
      </c>
      <c r="V4" s="156">
        <v>57.142857142857139</v>
      </c>
      <c r="W4" s="7">
        <v>1</v>
      </c>
      <c r="X4" s="7">
        <v>1</v>
      </c>
      <c r="Y4" s="156">
        <f>SUM(W4/X4)*100</f>
        <v>100</v>
      </c>
      <c r="Z4" s="95"/>
      <c r="AA4" s="95"/>
      <c r="AB4" s="159"/>
      <c r="AC4" s="7">
        <v>2</v>
      </c>
      <c r="AD4" s="156">
        <v>2</v>
      </c>
      <c r="AE4" s="80">
        <v>100</v>
      </c>
      <c r="AF4" s="151" t="s">
        <v>21</v>
      </c>
      <c r="AG4" s="7" t="s">
        <v>21</v>
      </c>
      <c r="AH4" s="7" t="s">
        <v>21</v>
      </c>
      <c r="AI4" s="151" t="s">
        <v>21</v>
      </c>
      <c r="AJ4" s="7" t="s">
        <v>21</v>
      </c>
      <c r="AK4" s="7" t="s">
        <v>21</v>
      </c>
      <c r="AL4" s="151" t="s">
        <v>21</v>
      </c>
      <c r="AM4" s="7" t="s">
        <v>21</v>
      </c>
      <c r="AN4" s="7" t="s">
        <v>21</v>
      </c>
      <c r="AO4" s="151" t="s">
        <v>21</v>
      </c>
      <c r="AP4" s="7" t="s">
        <v>21</v>
      </c>
      <c r="AQ4" s="7" t="s">
        <v>21</v>
      </c>
      <c r="AR4" s="6" t="s">
        <v>21</v>
      </c>
      <c r="AS4" s="7" t="s">
        <v>21</v>
      </c>
      <c r="AT4" s="7" t="s">
        <v>21</v>
      </c>
      <c r="AU4" s="7" t="s">
        <v>21</v>
      </c>
      <c r="AV4" s="7" t="s">
        <v>21</v>
      </c>
      <c r="AW4" s="7" t="s">
        <v>21</v>
      </c>
      <c r="AX4" s="7" t="s">
        <v>21</v>
      </c>
      <c r="AY4" s="7" t="s">
        <v>21</v>
      </c>
      <c r="AZ4" s="7" t="s">
        <v>21</v>
      </c>
      <c r="BA4" s="7" t="s">
        <v>21</v>
      </c>
      <c r="BB4" s="7" t="s">
        <v>21</v>
      </c>
      <c r="BC4" s="7" t="s">
        <v>21</v>
      </c>
    </row>
    <row r="5" spans="1:62" ht="14.95" customHeight="1" thickBot="1" x14ac:dyDescent="0.3">
      <c r="A5" s="44" t="s">
        <v>440</v>
      </c>
      <c r="B5" s="185">
        <v>2</v>
      </c>
      <c r="C5" s="365">
        <v>0</v>
      </c>
      <c r="D5" s="258">
        <v>0</v>
      </c>
      <c r="E5" s="61">
        <f t="shared" si="0"/>
        <v>2</v>
      </c>
      <c r="F5" s="75" t="s">
        <v>440</v>
      </c>
      <c r="G5" s="183">
        <v>16</v>
      </c>
      <c r="H5" s="367">
        <v>0</v>
      </c>
      <c r="I5" s="259">
        <v>0</v>
      </c>
      <c r="J5" s="77">
        <f t="shared" si="1"/>
        <v>16</v>
      </c>
      <c r="K5" s="51" t="s">
        <v>278</v>
      </c>
      <c r="L5" s="14">
        <v>20</v>
      </c>
      <c r="M5" s="14">
        <v>29</v>
      </c>
      <c r="N5" s="150">
        <f t="shared" si="2"/>
        <v>68.965517241379317</v>
      </c>
      <c r="O5" s="14" t="s">
        <v>21</v>
      </c>
      <c r="P5" s="14" t="s">
        <v>21</v>
      </c>
      <c r="Q5" s="150" t="s">
        <v>21</v>
      </c>
      <c r="R5" s="14">
        <v>-1</v>
      </c>
      <c r="S5" s="14">
        <v>-2</v>
      </c>
      <c r="T5" s="151">
        <v>2</v>
      </c>
      <c r="U5" s="7">
        <v>2</v>
      </c>
      <c r="V5" s="156">
        <v>100</v>
      </c>
      <c r="W5" s="151">
        <v>3</v>
      </c>
      <c r="X5" s="7">
        <v>5</v>
      </c>
      <c r="Y5" s="156">
        <f t="shared" ref="Y5" si="3">(W5/X5)*100</f>
        <v>60</v>
      </c>
      <c r="Z5" s="95"/>
      <c r="AA5" s="95"/>
      <c r="AB5" s="206"/>
      <c r="AC5" s="85">
        <v>16</v>
      </c>
      <c r="AD5" s="80">
        <v>17</v>
      </c>
      <c r="AE5" s="179">
        <f t="shared" ref="AE5" si="4">(AC5/AD5)*100</f>
        <v>94.117647058823522</v>
      </c>
      <c r="AF5" s="151" t="s">
        <v>21</v>
      </c>
      <c r="AG5" s="7" t="s">
        <v>21</v>
      </c>
      <c r="AH5" s="7" t="s">
        <v>21</v>
      </c>
      <c r="AI5" s="151" t="s">
        <v>21</v>
      </c>
      <c r="AJ5" s="7" t="s">
        <v>21</v>
      </c>
      <c r="AK5" s="7" t="s">
        <v>21</v>
      </c>
      <c r="AL5" s="151" t="s">
        <v>21</v>
      </c>
      <c r="AM5" s="7" t="s">
        <v>21</v>
      </c>
      <c r="AN5" s="7" t="s">
        <v>21</v>
      </c>
      <c r="AO5" s="151" t="s">
        <v>21</v>
      </c>
      <c r="AP5" s="7" t="s">
        <v>21</v>
      </c>
      <c r="AQ5" s="7" t="s">
        <v>21</v>
      </c>
      <c r="AR5" s="6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  <c r="BC5" s="7" t="s">
        <v>21</v>
      </c>
    </row>
    <row r="6" spans="1:62" ht="14.95" customHeight="1" thickBot="1" x14ac:dyDescent="0.3">
      <c r="A6" s="44" t="s">
        <v>658</v>
      </c>
      <c r="B6" s="185">
        <v>1</v>
      </c>
      <c r="C6" s="365">
        <v>1</v>
      </c>
      <c r="D6" s="258">
        <v>1</v>
      </c>
      <c r="E6" s="61">
        <f t="shared" si="0"/>
        <v>3</v>
      </c>
      <c r="F6" s="74" t="s">
        <v>658</v>
      </c>
      <c r="G6" s="183">
        <v>5</v>
      </c>
      <c r="H6" s="367">
        <v>5</v>
      </c>
      <c r="I6" s="259">
        <v>5</v>
      </c>
      <c r="J6" s="77">
        <f t="shared" si="1"/>
        <v>15</v>
      </c>
      <c r="K6" s="51" t="s">
        <v>459</v>
      </c>
      <c r="L6" s="14">
        <v>19</v>
      </c>
      <c r="M6" s="14">
        <v>22</v>
      </c>
      <c r="N6" s="150">
        <f t="shared" si="2"/>
        <v>86.36363636363636</v>
      </c>
      <c r="O6" s="14">
        <v>0</v>
      </c>
      <c r="P6" s="14">
        <v>1</v>
      </c>
      <c r="Q6" s="150">
        <f t="shared" ref="Q6" si="5">SUM(O6/P6)*100</f>
        <v>0</v>
      </c>
      <c r="R6" s="14">
        <v>4</v>
      </c>
      <c r="S6" s="14">
        <v>-1</v>
      </c>
      <c r="T6" s="85">
        <v>22</v>
      </c>
      <c r="U6" s="80">
        <v>32</v>
      </c>
      <c r="V6" s="179">
        <v>68.75</v>
      </c>
      <c r="W6" s="85" t="s">
        <v>21</v>
      </c>
      <c r="X6" s="80" t="s">
        <v>21</v>
      </c>
      <c r="Y6" s="179" t="s">
        <v>21</v>
      </c>
      <c r="Z6" s="95"/>
      <c r="AA6" s="95"/>
      <c r="AB6" s="206"/>
      <c r="AC6" s="85" t="s">
        <v>21</v>
      </c>
      <c r="AD6" s="80" t="s">
        <v>21</v>
      </c>
      <c r="AE6" s="179" t="s">
        <v>21</v>
      </c>
      <c r="AF6" s="85" t="s">
        <v>21</v>
      </c>
      <c r="AG6" s="80" t="s">
        <v>21</v>
      </c>
      <c r="AH6" s="179" t="s">
        <v>21</v>
      </c>
      <c r="AI6" s="85" t="s">
        <v>21</v>
      </c>
      <c r="AJ6" s="80" t="s">
        <v>21</v>
      </c>
      <c r="AK6" s="179" t="s">
        <v>21</v>
      </c>
      <c r="AL6" s="85" t="s">
        <v>21</v>
      </c>
      <c r="AM6" s="80" t="s">
        <v>21</v>
      </c>
      <c r="AN6" s="179" t="s">
        <v>21</v>
      </c>
      <c r="AO6" s="85" t="s">
        <v>21</v>
      </c>
      <c r="AP6" s="80" t="s">
        <v>21</v>
      </c>
      <c r="AQ6" s="179" t="s">
        <v>21</v>
      </c>
      <c r="AR6" s="85" t="s">
        <v>21</v>
      </c>
      <c r="AS6" s="80" t="s">
        <v>21</v>
      </c>
      <c r="AT6" s="179" t="s">
        <v>21</v>
      </c>
      <c r="AU6" s="85" t="s">
        <v>21</v>
      </c>
      <c r="AV6" s="80" t="s">
        <v>21</v>
      </c>
      <c r="AW6" s="179" t="s">
        <v>21</v>
      </c>
      <c r="AX6" s="85" t="s">
        <v>21</v>
      </c>
      <c r="AY6" s="80" t="s">
        <v>21</v>
      </c>
      <c r="AZ6" s="179" t="s">
        <v>21</v>
      </c>
      <c r="BA6" s="85" t="s">
        <v>21</v>
      </c>
      <c r="BB6" s="80" t="s">
        <v>21</v>
      </c>
      <c r="BC6" s="179" t="s">
        <v>21</v>
      </c>
    </row>
    <row r="7" spans="1:62" ht="14.95" customHeight="1" thickBot="1" x14ac:dyDescent="0.3">
      <c r="A7" s="44" t="s">
        <v>53</v>
      </c>
      <c r="B7" s="185">
        <v>0</v>
      </c>
      <c r="C7" s="365">
        <v>0</v>
      </c>
      <c r="D7" s="258">
        <v>0</v>
      </c>
      <c r="E7" s="61">
        <f t="shared" si="0"/>
        <v>0</v>
      </c>
      <c r="F7" s="74" t="s">
        <v>53</v>
      </c>
      <c r="G7" s="183">
        <v>0</v>
      </c>
      <c r="H7" s="367">
        <v>0</v>
      </c>
      <c r="I7" s="259">
        <v>0</v>
      </c>
      <c r="J7" s="77">
        <f t="shared" si="1"/>
        <v>0</v>
      </c>
      <c r="K7" s="51" t="s">
        <v>245</v>
      </c>
      <c r="L7" s="14" t="s">
        <v>21</v>
      </c>
      <c r="M7" s="14" t="s">
        <v>21</v>
      </c>
      <c r="N7" s="150" t="s">
        <v>21</v>
      </c>
      <c r="O7" s="14" t="s">
        <v>21</v>
      </c>
      <c r="P7" s="14" t="s">
        <v>21</v>
      </c>
      <c r="Q7" s="150" t="s">
        <v>21</v>
      </c>
      <c r="R7" s="14">
        <v>-1</v>
      </c>
      <c r="S7" s="14">
        <v>-1</v>
      </c>
      <c r="T7" s="151" t="s">
        <v>21</v>
      </c>
      <c r="U7" s="7" t="s">
        <v>21</v>
      </c>
      <c r="V7" s="156" t="s">
        <v>21</v>
      </c>
      <c r="W7" s="151">
        <v>0</v>
      </c>
      <c r="X7" s="7">
        <v>1</v>
      </c>
      <c r="Y7" s="156">
        <f t="shared" ref="Y7:Y10" si="6">(W7/X7)*100</f>
        <v>0</v>
      </c>
      <c r="Z7" s="95"/>
      <c r="AA7" s="95"/>
      <c r="AB7" s="206"/>
      <c r="AC7" s="85" t="s">
        <v>21</v>
      </c>
      <c r="AD7" s="80" t="s">
        <v>21</v>
      </c>
      <c r="AE7" s="179" t="s">
        <v>21</v>
      </c>
      <c r="AF7" s="151" t="s">
        <v>21</v>
      </c>
      <c r="AG7" s="7" t="s">
        <v>21</v>
      </c>
      <c r="AH7" s="7" t="s">
        <v>21</v>
      </c>
      <c r="AI7" s="151" t="s">
        <v>21</v>
      </c>
      <c r="AJ7" s="7" t="s">
        <v>21</v>
      </c>
      <c r="AK7" s="7" t="s">
        <v>21</v>
      </c>
      <c r="AL7" s="151" t="s">
        <v>21</v>
      </c>
      <c r="AM7" s="7" t="s">
        <v>21</v>
      </c>
      <c r="AN7" s="7" t="s">
        <v>21</v>
      </c>
      <c r="AO7" s="151" t="s">
        <v>21</v>
      </c>
      <c r="AP7" s="7" t="s">
        <v>21</v>
      </c>
      <c r="AQ7" s="7" t="s">
        <v>21</v>
      </c>
      <c r="AR7" s="6" t="s">
        <v>21</v>
      </c>
      <c r="AS7" s="7" t="s">
        <v>21</v>
      </c>
      <c r="AT7" s="7" t="s">
        <v>21</v>
      </c>
      <c r="AU7" s="7" t="s">
        <v>21</v>
      </c>
      <c r="AV7" s="7" t="s">
        <v>21</v>
      </c>
      <c r="AW7" s="7" t="s">
        <v>21</v>
      </c>
      <c r="AX7" s="7" t="s">
        <v>21</v>
      </c>
      <c r="AY7" s="7" t="s">
        <v>21</v>
      </c>
      <c r="AZ7" s="7" t="s">
        <v>21</v>
      </c>
      <c r="BA7" s="7" t="s">
        <v>21</v>
      </c>
      <c r="BB7" s="7" t="s">
        <v>21</v>
      </c>
      <c r="BC7" s="7" t="s">
        <v>21</v>
      </c>
    </row>
    <row r="8" spans="1:62" ht="14.95" customHeight="1" thickBot="1" x14ac:dyDescent="0.3">
      <c r="A8" s="44" t="s">
        <v>690</v>
      </c>
      <c r="B8" s="185">
        <v>0</v>
      </c>
      <c r="C8" s="365">
        <v>0</v>
      </c>
      <c r="D8" s="258">
        <v>0</v>
      </c>
      <c r="E8" s="61">
        <f t="shared" si="0"/>
        <v>0</v>
      </c>
      <c r="F8" s="74" t="s">
        <v>690</v>
      </c>
      <c r="G8" s="183">
        <v>0</v>
      </c>
      <c r="H8" s="367">
        <v>0</v>
      </c>
      <c r="I8" s="259">
        <v>0</v>
      </c>
      <c r="J8" s="77">
        <f t="shared" si="1"/>
        <v>0</v>
      </c>
      <c r="K8" s="51" t="s">
        <v>1032</v>
      </c>
      <c r="L8" s="14">
        <v>5</v>
      </c>
      <c r="M8" s="14">
        <v>6</v>
      </c>
      <c r="N8" s="150">
        <f t="shared" ref="N8" si="7">SUM(L8/M8)*100</f>
        <v>83.333333333333343</v>
      </c>
      <c r="O8" s="14">
        <v>1</v>
      </c>
      <c r="P8" s="14">
        <v>1</v>
      </c>
      <c r="Q8" s="150">
        <f t="shared" ref="Q8" si="8">SUM(O8/P8)*100</f>
        <v>100</v>
      </c>
      <c r="R8" s="14">
        <v>2</v>
      </c>
      <c r="S8" s="14">
        <v>3</v>
      </c>
      <c r="T8" s="151">
        <v>3</v>
      </c>
      <c r="U8" s="7">
        <v>4</v>
      </c>
      <c r="V8" s="156">
        <v>75</v>
      </c>
      <c r="W8" s="85" t="s">
        <v>21</v>
      </c>
      <c r="X8" s="80" t="s">
        <v>21</v>
      </c>
      <c r="Y8" s="179" t="s">
        <v>21</v>
      </c>
      <c r="Z8" s="95"/>
      <c r="AA8" s="95"/>
      <c r="AB8" s="206"/>
      <c r="AC8" s="85" t="s">
        <v>21</v>
      </c>
      <c r="AD8" s="80" t="s">
        <v>21</v>
      </c>
      <c r="AE8" s="179" t="s">
        <v>21</v>
      </c>
      <c r="AF8" s="85" t="s">
        <v>21</v>
      </c>
      <c r="AG8" s="80" t="s">
        <v>21</v>
      </c>
      <c r="AH8" s="179" t="s">
        <v>21</v>
      </c>
      <c r="AI8" s="85" t="s">
        <v>21</v>
      </c>
      <c r="AJ8" s="80" t="s">
        <v>21</v>
      </c>
      <c r="AK8" s="179" t="s">
        <v>21</v>
      </c>
      <c r="AL8" s="85" t="s">
        <v>21</v>
      </c>
      <c r="AM8" s="80" t="s">
        <v>21</v>
      </c>
      <c r="AN8" s="179" t="s">
        <v>21</v>
      </c>
      <c r="AO8" s="85" t="s">
        <v>21</v>
      </c>
      <c r="AP8" s="80" t="s">
        <v>21</v>
      </c>
      <c r="AQ8" s="179" t="s">
        <v>21</v>
      </c>
      <c r="AR8" s="85" t="s">
        <v>21</v>
      </c>
      <c r="AS8" s="80" t="s">
        <v>21</v>
      </c>
      <c r="AT8" s="179" t="s">
        <v>21</v>
      </c>
      <c r="AU8" s="85" t="s">
        <v>21</v>
      </c>
      <c r="AV8" s="80" t="s">
        <v>21</v>
      </c>
      <c r="AW8" s="179" t="s">
        <v>21</v>
      </c>
      <c r="AX8" s="85" t="s">
        <v>21</v>
      </c>
      <c r="AY8" s="80" t="s">
        <v>21</v>
      </c>
      <c r="AZ8" s="179" t="s">
        <v>21</v>
      </c>
      <c r="BA8" s="85" t="s">
        <v>21</v>
      </c>
      <c r="BB8" s="80" t="s">
        <v>21</v>
      </c>
      <c r="BC8" s="179" t="s">
        <v>21</v>
      </c>
    </row>
    <row r="9" spans="1:62" ht="14.95" customHeight="1" thickBot="1" x14ac:dyDescent="0.3">
      <c r="A9" s="44" t="s">
        <v>278</v>
      </c>
      <c r="B9" s="185">
        <v>0</v>
      </c>
      <c r="C9" s="365">
        <v>0</v>
      </c>
      <c r="D9" s="258">
        <v>1</v>
      </c>
      <c r="E9" s="61">
        <f t="shared" si="0"/>
        <v>1</v>
      </c>
      <c r="F9" s="74" t="s">
        <v>278</v>
      </c>
      <c r="G9" s="183">
        <v>49</v>
      </c>
      <c r="H9" s="367">
        <v>15</v>
      </c>
      <c r="I9" s="259">
        <v>46</v>
      </c>
      <c r="J9" s="77">
        <f t="shared" si="1"/>
        <v>110</v>
      </c>
      <c r="K9" s="51" t="s">
        <v>4</v>
      </c>
      <c r="L9" s="14" t="s">
        <v>21</v>
      </c>
      <c r="M9" s="14" t="s">
        <v>21</v>
      </c>
      <c r="N9" s="150" t="s">
        <v>21</v>
      </c>
      <c r="O9" s="14" t="s">
        <v>21</v>
      </c>
      <c r="P9" s="14" t="s">
        <v>21</v>
      </c>
      <c r="Q9" s="150" t="s">
        <v>21</v>
      </c>
      <c r="R9" s="14">
        <v>-1</v>
      </c>
      <c r="S9" s="14">
        <v>5</v>
      </c>
      <c r="T9" s="151">
        <v>1</v>
      </c>
      <c r="U9" s="7">
        <v>4</v>
      </c>
      <c r="V9" s="156">
        <v>25</v>
      </c>
      <c r="W9" s="151">
        <v>15</v>
      </c>
      <c r="X9" s="7">
        <v>19</v>
      </c>
      <c r="Y9" s="156">
        <f t="shared" si="6"/>
        <v>78.94736842105263</v>
      </c>
      <c r="Z9" s="95"/>
      <c r="AA9" s="95"/>
      <c r="AB9" s="206"/>
      <c r="AC9" s="85">
        <v>13</v>
      </c>
      <c r="AD9" s="80">
        <v>18</v>
      </c>
      <c r="AE9" s="179">
        <f t="shared" ref="AE9" si="9">(AC9/AD9)*100</f>
        <v>72.222222222222214</v>
      </c>
      <c r="AF9" s="151">
        <v>5</v>
      </c>
      <c r="AG9" s="7">
        <v>8</v>
      </c>
      <c r="AH9" s="156">
        <f t="shared" ref="AH9" si="10">(AF9/AG9)*100</f>
        <v>62.5</v>
      </c>
      <c r="AI9" s="151">
        <v>5</v>
      </c>
      <c r="AJ9" s="7">
        <v>7</v>
      </c>
      <c r="AK9" s="156">
        <v>71.428571428571431</v>
      </c>
      <c r="AL9" s="151" t="s">
        <v>21</v>
      </c>
      <c r="AM9" s="7" t="s">
        <v>21</v>
      </c>
      <c r="AN9" s="7" t="s">
        <v>21</v>
      </c>
      <c r="AO9" s="151" t="s">
        <v>21</v>
      </c>
      <c r="AP9" s="7" t="s">
        <v>21</v>
      </c>
      <c r="AQ9" s="7" t="s">
        <v>21</v>
      </c>
      <c r="AR9" s="151" t="s">
        <v>21</v>
      </c>
      <c r="AS9" s="7" t="s">
        <v>21</v>
      </c>
      <c r="AT9" s="7" t="s">
        <v>21</v>
      </c>
      <c r="AU9" s="7" t="s">
        <v>21</v>
      </c>
      <c r="AV9" s="7" t="s">
        <v>21</v>
      </c>
      <c r="AW9" s="7" t="s">
        <v>21</v>
      </c>
      <c r="AX9" s="7" t="s">
        <v>21</v>
      </c>
      <c r="AY9" s="7" t="s">
        <v>21</v>
      </c>
      <c r="AZ9" s="7" t="s">
        <v>21</v>
      </c>
      <c r="BA9" s="7" t="s">
        <v>21</v>
      </c>
      <c r="BB9" s="7" t="s">
        <v>21</v>
      </c>
      <c r="BC9" s="7" t="s">
        <v>21</v>
      </c>
    </row>
    <row r="10" spans="1:62" ht="14.95" customHeight="1" thickBot="1" x14ac:dyDescent="0.3">
      <c r="A10" s="44" t="s">
        <v>646</v>
      </c>
      <c r="B10" s="185">
        <v>2</v>
      </c>
      <c r="C10" s="365">
        <v>2</v>
      </c>
      <c r="D10" s="258">
        <v>2</v>
      </c>
      <c r="E10" s="61">
        <f t="shared" si="0"/>
        <v>6</v>
      </c>
      <c r="F10" s="75" t="s">
        <v>646</v>
      </c>
      <c r="G10" s="183">
        <v>10</v>
      </c>
      <c r="H10" s="367">
        <v>10</v>
      </c>
      <c r="I10" s="259">
        <v>10</v>
      </c>
      <c r="J10" s="77">
        <f t="shared" si="1"/>
        <v>30</v>
      </c>
      <c r="K10" s="51" t="s">
        <v>600</v>
      </c>
      <c r="L10" s="14">
        <v>8</v>
      </c>
      <c r="M10" s="14">
        <v>11</v>
      </c>
      <c r="N10" s="150">
        <f t="shared" ref="N10" si="11">SUM(L10/M10)*100</f>
        <v>72.727272727272734</v>
      </c>
      <c r="O10" s="14">
        <v>2</v>
      </c>
      <c r="P10" s="14">
        <v>3</v>
      </c>
      <c r="Q10" s="150">
        <f t="shared" ref="Q10" si="12">SUM(O10/P10)*100</f>
        <v>66.666666666666657</v>
      </c>
      <c r="R10" s="14">
        <v>2</v>
      </c>
      <c r="S10" s="14">
        <v>-1</v>
      </c>
      <c r="T10" s="151">
        <v>27</v>
      </c>
      <c r="U10" s="7">
        <v>36</v>
      </c>
      <c r="V10" s="156">
        <v>75</v>
      </c>
      <c r="W10" s="151">
        <v>72</v>
      </c>
      <c r="X10" s="7">
        <v>93</v>
      </c>
      <c r="Y10" s="156">
        <f t="shared" si="6"/>
        <v>77.41935483870968</v>
      </c>
      <c r="Z10" s="95"/>
      <c r="AA10" s="95"/>
      <c r="AB10" s="206"/>
      <c r="AC10" s="85">
        <v>14</v>
      </c>
      <c r="AD10" s="80">
        <v>17</v>
      </c>
      <c r="AE10" s="179">
        <v>82.35294117647058</v>
      </c>
      <c r="AF10" s="151">
        <v>16</v>
      </c>
      <c r="AG10" s="7">
        <v>25</v>
      </c>
      <c r="AH10" s="156">
        <v>64</v>
      </c>
      <c r="AI10" s="151">
        <v>55</v>
      </c>
      <c r="AJ10" s="7">
        <v>64</v>
      </c>
      <c r="AK10" s="156">
        <v>85.9375</v>
      </c>
      <c r="AL10" s="151">
        <v>25</v>
      </c>
      <c r="AM10" s="7">
        <v>33</v>
      </c>
      <c r="AN10" s="7">
        <v>76</v>
      </c>
      <c r="AO10" s="151" t="s">
        <v>21</v>
      </c>
      <c r="AP10" s="7" t="s">
        <v>21</v>
      </c>
      <c r="AQ10" s="7" t="s">
        <v>21</v>
      </c>
      <c r="AR10" s="151" t="s">
        <v>21</v>
      </c>
      <c r="AS10" s="7" t="s">
        <v>21</v>
      </c>
      <c r="AT10" s="7" t="s">
        <v>21</v>
      </c>
      <c r="AU10" s="7" t="s">
        <v>21</v>
      </c>
      <c r="AV10" s="7" t="s">
        <v>21</v>
      </c>
      <c r="AW10" s="7" t="s">
        <v>21</v>
      </c>
      <c r="AX10" s="7" t="s">
        <v>21</v>
      </c>
      <c r="AY10" s="7" t="s">
        <v>21</v>
      </c>
      <c r="AZ10" s="7" t="s">
        <v>21</v>
      </c>
      <c r="BA10" s="7" t="s">
        <v>21</v>
      </c>
      <c r="BB10" s="7" t="s">
        <v>21</v>
      </c>
      <c r="BC10" s="7" t="s">
        <v>21</v>
      </c>
    </row>
    <row r="11" spans="1:62" ht="14.95" customHeight="1" thickBot="1" x14ac:dyDescent="0.3">
      <c r="A11" s="44" t="s">
        <v>459</v>
      </c>
      <c r="B11" s="185">
        <v>3</v>
      </c>
      <c r="C11" s="365">
        <v>0</v>
      </c>
      <c r="D11" s="258">
        <v>0</v>
      </c>
      <c r="E11" s="61">
        <f t="shared" si="0"/>
        <v>3</v>
      </c>
      <c r="F11" s="75" t="s">
        <v>459</v>
      </c>
      <c r="G11" s="183">
        <v>56</v>
      </c>
      <c r="H11" s="367">
        <v>51</v>
      </c>
      <c r="I11" s="259">
        <v>0</v>
      </c>
      <c r="J11" s="77">
        <f t="shared" si="1"/>
        <v>107</v>
      </c>
      <c r="K11" s="51" t="s">
        <v>36</v>
      </c>
      <c r="L11" s="14" t="s">
        <v>21</v>
      </c>
      <c r="M11" s="14" t="s">
        <v>21</v>
      </c>
      <c r="N11" s="150" t="s">
        <v>21</v>
      </c>
      <c r="O11" s="14" t="s">
        <v>21</v>
      </c>
      <c r="P11" s="14" t="s">
        <v>21</v>
      </c>
      <c r="Q11" s="150" t="s">
        <v>21</v>
      </c>
      <c r="R11" s="61">
        <v>2</v>
      </c>
      <c r="S11" s="61">
        <v>-1</v>
      </c>
      <c r="T11" s="151" t="s">
        <v>21</v>
      </c>
      <c r="U11" s="7" t="s">
        <v>21</v>
      </c>
      <c r="V11" s="156" t="s">
        <v>21</v>
      </c>
      <c r="W11" s="151" t="s">
        <v>21</v>
      </c>
      <c r="X11" s="7" t="s">
        <v>21</v>
      </c>
      <c r="Y11" s="156" t="s">
        <v>21</v>
      </c>
      <c r="Z11" s="95"/>
      <c r="AA11" s="95"/>
      <c r="AB11" s="206"/>
      <c r="AC11" s="85">
        <v>2</v>
      </c>
      <c r="AD11" s="80">
        <v>2</v>
      </c>
      <c r="AE11" s="179">
        <f t="shared" ref="AE11" si="13">(AC11/AD11)*100</f>
        <v>100</v>
      </c>
      <c r="AF11" s="151" t="s">
        <v>21</v>
      </c>
      <c r="AG11" s="7" t="s">
        <v>21</v>
      </c>
      <c r="AH11" s="7" t="s">
        <v>21</v>
      </c>
      <c r="AI11" s="151" t="s">
        <v>21</v>
      </c>
      <c r="AJ11" s="7" t="s">
        <v>21</v>
      </c>
      <c r="AK11" s="7" t="s">
        <v>21</v>
      </c>
      <c r="AL11" s="151" t="s">
        <v>21</v>
      </c>
      <c r="AM11" s="7" t="s">
        <v>21</v>
      </c>
      <c r="AN11" s="7" t="s">
        <v>21</v>
      </c>
      <c r="AO11" s="151" t="s">
        <v>21</v>
      </c>
      <c r="AP11" s="7" t="s">
        <v>21</v>
      </c>
      <c r="AQ11" s="7" t="s">
        <v>21</v>
      </c>
      <c r="AR11" s="6" t="s">
        <v>21</v>
      </c>
      <c r="AS11" s="7" t="s">
        <v>21</v>
      </c>
      <c r="AT11" s="7" t="s">
        <v>21</v>
      </c>
      <c r="AU11" s="7" t="s">
        <v>21</v>
      </c>
      <c r="AV11" s="7" t="s">
        <v>21</v>
      </c>
      <c r="AW11" s="7" t="s">
        <v>21</v>
      </c>
      <c r="AX11" s="7" t="s">
        <v>21</v>
      </c>
      <c r="AY11" s="7" t="s">
        <v>21</v>
      </c>
      <c r="AZ11" s="7" t="s">
        <v>21</v>
      </c>
      <c r="BA11" s="7" t="s">
        <v>21</v>
      </c>
      <c r="BB11" s="7" t="s">
        <v>21</v>
      </c>
      <c r="BC11" s="7" t="s">
        <v>21</v>
      </c>
    </row>
    <row r="12" spans="1:62" ht="14.95" customHeight="1" thickBot="1" x14ac:dyDescent="0.3">
      <c r="A12" s="44" t="s">
        <v>245</v>
      </c>
      <c r="B12" s="185">
        <v>0</v>
      </c>
      <c r="C12" s="365">
        <v>0</v>
      </c>
      <c r="D12" s="258">
        <v>0</v>
      </c>
      <c r="E12" s="61">
        <f t="shared" si="0"/>
        <v>0</v>
      </c>
      <c r="F12" s="75" t="s">
        <v>245</v>
      </c>
      <c r="G12" s="183">
        <v>0</v>
      </c>
      <c r="H12" s="367">
        <v>0</v>
      </c>
      <c r="I12" s="259">
        <v>0</v>
      </c>
      <c r="J12" s="77">
        <f t="shared" si="1"/>
        <v>0</v>
      </c>
      <c r="K12" s="51" t="s">
        <v>473</v>
      </c>
      <c r="L12" s="14">
        <v>1</v>
      </c>
      <c r="M12" s="14">
        <v>1</v>
      </c>
      <c r="N12" s="150">
        <f t="shared" ref="N12:N13" si="14">SUM(L12/M12)*100</f>
        <v>100</v>
      </c>
      <c r="O12" s="14" t="s">
        <v>21</v>
      </c>
      <c r="P12" s="14" t="s">
        <v>21</v>
      </c>
      <c r="Q12" s="150" t="s">
        <v>21</v>
      </c>
      <c r="R12" s="61">
        <v>1</v>
      </c>
      <c r="S12" s="61">
        <v>1</v>
      </c>
      <c r="T12" s="151" t="s">
        <v>21</v>
      </c>
      <c r="U12" s="7" t="s">
        <v>21</v>
      </c>
      <c r="V12" s="156" t="s">
        <v>21</v>
      </c>
      <c r="W12" s="151" t="s">
        <v>21</v>
      </c>
      <c r="X12" s="7" t="s">
        <v>21</v>
      </c>
      <c r="Y12" s="156" t="s">
        <v>21</v>
      </c>
      <c r="Z12" s="95"/>
      <c r="AA12" s="95"/>
      <c r="AB12" s="206"/>
      <c r="AC12" s="151" t="s">
        <v>21</v>
      </c>
      <c r="AD12" s="7" t="s">
        <v>21</v>
      </c>
      <c r="AE12" s="7" t="s">
        <v>21</v>
      </c>
      <c r="AF12" s="151" t="s">
        <v>21</v>
      </c>
      <c r="AG12" s="7" t="s">
        <v>21</v>
      </c>
      <c r="AH12" s="7" t="s">
        <v>21</v>
      </c>
      <c r="AI12" s="151" t="s">
        <v>21</v>
      </c>
      <c r="AJ12" s="7" t="s">
        <v>21</v>
      </c>
      <c r="AK12" s="7" t="s">
        <v>21</v>
      </c>
      <c r="AL12" s="151" t="s">
        <v>21</v>
      </c>
      <c r="AM12" s="7" t="s">
        <v>21</v>
      </c>
      <c r="AN12" s="7" t="s">
        <v>21</v>
      </c>
      <c r="AO12" s="151" t="s">
        <v>21</v>
      </c>
      <c r="AP12" s="7" t="s">
        <v>21</v>
      </c>
      <c r="AQ12" s="7" t="s">
        <v>21</v>
      </c>
      <c r="AR12" s="6" t="s">
        <v>21</v>
      </c>
      <c r="AS12" s="7" t="s">
        <v>21</v>
      </c>
      <c r="AT12" s="7" t="s">
        <v>21</v>
      </c>
      <c r="AU12" s="7" t="s">
        <v>21</v>
      </c>
      <c r="AV12" s="7" t="s">
        <v>21</v>
      </c>
      <c r="AW12" s="7" t="s">
        <v>21</v>
      </c>
      <c r="AX12" s="7" t="s">
        <v>21</v>
      </c>
      <c r="AY12" s="7" t="s">
        <v>21</v>
      </c>
      <c r="AZ12" s="7" t="s">
        <v>21</v>
      </c>
      <c r="BA12" s="7" t="s">
        <v>21</v>
      </c>
      <c r="BB12" s="7" t="s">
        <v>21</v>
      </c>
      <c r="BC12" s="7" t="s">
        <v>21</v>
      </c>
    </row>
    <row r="13" spans="1:62" ht="14.95" customHeight="1" thickBot="1" x14ac:dyDescent="0.3">
      <c r="A13" s="44" t="s">
        <v>37</v>
      </c>
      <c r="B13" s="185">
        <v>2</v>
      </c>
      <c r="C13" s="365">
        <v>0</v>
      </c>
      <c r="D13" s="258">
        <v>0</v>
      </c>
      <c r="E13" s="61">
        <f t="shared" si="0"/>
        <v>2</v>
      </c>
      <c r="F13" s="75" t="s">
        <v>37</v>
      </c>
      <c r="G13" s="183">
        <v>10</v>
      </c>
      <c r="H13" s="367">
        <v>0</v>
      </c>
      <c r="I13" s="259">
        <v>0</v>
      </c>
      <c r="J13" s="77">
        <f t="shared" si="1"/>
        <v>10</v>
      </c>
      <c r="K13" s="51" t="s">
        <v>326</v>
      </c>
      <c r="L13" s="14">
        <v>1</v>
      </c>
      <c r="M13" s="14">
        <v>1</v>
      </c>
      <c r="N13" s="150">
        <f t="shared" si="14"/>
        <v>100</v>
      </c>
      <c r="O13" s="14" t="s">
        <v>21</v>
      </c>
      <c r="P13" s="14" t="s">
        <v>21</v>
      </c>
      <c r="Q13" s="150" t="s">
        <v>21</v>
      </c>
      <c r="R13" s="61">
        <v>1</v>
      </c>
      <c r="S13" s="61">
        <v>1</v>
      </c>
      <c r="T13" s="151" t="s">
        <v>21</v>
      </c>
      <c r="U13" s="7" t="s">
        <v>21</v>
      </c>
      <c r="V13" s="156" t="s">
        <v>21</v>
      </c>
      <c r="W13" s="151" t="s">
        <v>21</v>
      </c>
      <c r="X13" s="7" t="s">
        <v>21</v>
      </c>
      <c r="Y13" s="156" t="s">
        <v>21</v>
      </c>
      <c r="Z13" s="95"/>
      <c r="AA13" s="95"/>
      <c r="AB13" s="206"/>
      <c r="AC13" s="151" t="s">
        <v>21</v>
      </c>
      <c r="AD13" s="7" t="s">
        <v>21</v>
      </c>
      <c r="AE13" s="7" t="s">
        <v>21</v>
      </c>
      <c r="AF13" s="151" t="s">
        <v>21</v>
      </c>
      <c r="AG13" s="7" t="s">
        <v>21</v>
      </c>
      <c r="AH13" s="7" t="s">
        <v>21</v>
      </c>
      <c r="AI13" s="151" t="s">
        <v>21</v>
      </c>
      <c r="AJ13" s="7" t="s">
        <v>21</v>
      </c>
      <c r="AK13" s="7" t="s">
        <v>21</v>
      </c>
      <c r="AL13" s="151" t="s">
        <v>21</v>
      </c>
      <c r="AM13" s="7" t="s">
        <v>21</v>
      </c>
      <c r="AN13" s="7" t="s">
        <v>21</v>
      </c>
      <c r="AO13" s="151" t="s">
        <v>21</v>
      </c>
      <c r="AP13" s="7" t="s">
        <v>21</v>
      </c>
      <c r="AQ13" s="7" t="s">
        <v>21</v>
      </c>
      <c r="AR13" s="6" t="s">
        <v>21</v>
      </c>
      <c r="AS13" s="7" t="s">
        <v>21</v>
      </c>
      <c r="AT13" s="7" t="s">
        <v>21</v>
      </c>
      <c r="AU13" s="7" t="s">
        <v>21</v>
      </c>
      <c r="AV13" s="7" t="s">
        <v>21</v>
      </c>
      <c r="AW13" s="7" t="s">
        <v>21</v>
      </c>
      <c r="AX13" s="7" t="s">
        <v>21</v>
      </c>
      <c r="AY13" s="7" t="s">
        <v>21</v>
      </c>
      <c r="AZ13" s="7" t="s">
        <v>21</v>
      </c>
      <c r="BA13" s="7" t="s">
        <v>21</v>
      </c>
      <c r="BB13" s="7" t="s">
        <v>21</v>
      </c>
      <c r="BC13" s="7" t="s">
        <v>21</v>
      </c>
    </row>
    <row r="14" spans="1:62" ht="14.95" customHeight="1" thickBot="1" x14ac:dyDescent="0.3">
      <c r="A14" s="44" t="s">
        <v>90</v>
      </c>
      <c r="B14" s="185">
        <v>1</v>
      </c>
      <c r="C14" s="365">
        <v>3</v>
      </c>
      <c r="D14" s="258">
        <v>0</v>
      </c>
      <c r="E14" s="61">
        <f t="shared" si="0"/>
        <v>4</v>
      </c>
      <c r="F14" s="75" t="s">
        <v>90</v>
      </c>
      <c r="G14" s="183">
        <v>5</v>
      </c>
      <c r="H14" s="367">
        <v>15</v>
      </c>
      <c r="I14" s="259">
        <v>0</v>
      </c>
      <c r="J14" s="77">
        <f t="shared" si="1"/>
        <v>20</v>
      </c>
      <c r="K14" s="48"/>
      <c r="L14" s="57"/>
    </row>
    <row r="15" spans="1:62" ht="14.95" customHeight="1" thickBot="1" x14ac:dyDescent="0.3">
      <c r="A15" s="44" t="s">
        <v>596</v>
      </c>
      <c r="B15" s="185">
        <v>2</v>
      </c>
      <c r="C15" s="365">
        <v>0</v>
      </c>
      <c r="D15" s="258">
        <v>8</v>
      </c>
      <c r="E15" s="61">
        <f t="shared" si="0"/>
        <v>10</v>
      </c>
      <c r="F15" s="75" t="s">
        <v>596</v>
      </c>
      <c r="G15" s="183">
        <v>10</v>
      </c>
      <c r="H15" s="367">
        <v>0</v>
      </c>
      <c r="I15" s="259">
        <v>40</v>
      </c>
      <c r="J15" s="77">
        <f t="shared" si="1"/>
        <v>50</v>
      </c>
      <c r="K15" s="455" t="s">
        <v>302</v>
      </c>
      <c r="L15" s="422" t="s">
        <v>20</v>
      </c>
      <c r="M15" s="423"/>
      <c r="N15" s="424"/>
      <c r="O15" s="428" t="s">
        <v>365</v>
      </c>
      <c r="P15" s="429"/>
      <c r="Q15" s="430"/>
      <c r="R15" s="428" t="s">
        <v>854</v>
      </c>
      <c r="S15" s="429"/>
      <c r="T15" s="430"/>
      <c r="U15" s="428" t="s">
        <v>700</v>
      </c>
      <c r="V15" s="429"/>
      <c r="W15" s="430"/>
      <c r="X15" s="163"/>
      <c r="Y15" s="163"/>
      <c r="Z15" s="163"/>
      <c r="AC15" s="422" t="s">
        <v>518</v>
      </c>
      <c r="AD15" s="423"/>
      <c r="AE15" s="424"/>
      <c r="AF15" s="422" t="s">
        <v>356</v>
      </c>
      <c r="AG15" s="423"/>
      <c r="AH15" s="424"/>
      <c r="AI15" s="422" t="s">
        <v>272</v>
      </c>
      <c r="AJ15" s="423"/>
      <c r="AK15" s="424"/>
      <c r="AL15" s="422" t="s">
        <v>115</v>
      </c>
      <c r="AM15" s="423"/>
      <c r="AN15" s="424"/>
      <c r="AO15" s="422" t="s">
        <v>83</v>
      </c>
      <c r="AP15" s="423"/>
      <c r="AQ15" s="424"/>
      <c r="AR15" s="422" t="s">
        <v>78</v>
      </c>
      <c r="AS15" s="423"/>
      <c r="AT15" s="424"/>
      <c r="AU15" s="422" t="s">
        <v>60</v>
      </c>
      <c r="AV15" s="423"/>
      <c r="AW15" s="424"/>
    </row>
    <row r="16" spans="1:62" ht="14.95" customHeight="1" thickBot="1" x14ac:dyDescent="0.3">
      <c r="A16" s="44" t="s">
        <v>378</v>
      </c>
      <c r="B16" s="185">
        <v>0</v>
      </c>
      <c r="C16" s="365">
        <v>0</v>
      </c>
      <c r="D16" s="258">
        <v>0</v>
      </c>
      <c r="E16" s="61">
        <f t="shared" si="0"/>
        <v>0</v>
      </c>
      <c r="F16" s="75" t="s">
        <v>378</v>
      </c>
      <c r="G16" s="183">
        <v>0</v>
      </c>
      <c r="H16" s="367">
        <v>0</v>
      </c>
      <c r="I16" s="259">
        <v>0</v>
      </c>
      <c r="J16" s="77">
        <f t="shared" si="1"/>
        <v>0</v>
      </c>
      <c r="K16" s="456"/>
      <c r="L16" s="425"/>
      <c r="M16" s="426"/>
      <c r="N16" s="427"/>
      <c r="O16" s="431"/>
      <c r="P16" s="432"/>
      <c r="Q16" s="433"/>
      <c r="R16" s="431"/>
      <c r="S16" s="432"/>
      <c r="T16" s="433"/>
      <c r="U16" s="431"/>
      <c r="V16" s="432"/>
      <c r="W16" s="433"/>
      <c r="X16" s="163"/>
      <c r="Y16" s="163"/>
      <c r="Z16" s="163"/>
      <c r="AC16" s="425"/>
      <c r="AD16" s="426"/>
      <c r="AE16" s="427"/>
      <c r="AF16" s="425"/>
      <c r="AG16" s="426"/>
      <c r="AH16" s="427"/>
      <c r="AI16" s="425"/>
      <c r="AJ16" s="426"/>
      <c r="AK16" s="427"/>
      <c r="AL16" s="425"/>
      <c r="AM16" s="426"/>
      <c r="AN16" s="427"/>
      <c r="AO16" s="425"/>
      <c r="AP16" s="426"/>
      <c r="AQ16" s="427"/>
      <c r="AR16" s="425"/>
      <c r="AS16" s="426"/>
      <c r="AT16" s="427"/>
      <c r="AU16" s="425"/>
      <c r="AV16" s="426"/>
      <c r="AW16" s="427"/>
    </row>
    <row r="17" spans="1:49" ht="14.95" customHeight="1" thickBot="1" x14ac:dyDescent="0.3">
      <c r="A17" s="44" t="s">
        <v>611</v>
      </c>
      <c r="B17" s="185">
        <v>0</v>
      </c>
      <c r="C17" s="365">
        <v>0</v>
      </c>
      <c r="D17" s="258">
        <v>0</v>
      </c>
      <c r="E17" s="61">
        <f t="shared" si="0"/>
        <v>0</v>
      </c>
      <c r="F17" s="75" t="s">
        <v>611</v>
      </c>
      <c r="G17" s="183">
        <v>0</v>
      </c>
      <c r="H17" s="367">
        <v>0</v>
      </c>
      <c r="I17" s="259">
        <v>0</v>
      </c>
      <c r="J17" s="77">
        <f t="shared" si="1"/>
        <v>0</v>
      </c>
      <c r="K17" s="278" t="s">
        <v>30</v>
      </c>
      <c r="L17" s="7" t="s">
        <v>74</v>
      </c>
      <c r="M17" s="7" t="s">
        <v>15</v>
      </c>
      <c r="N17" s="7" t="s">
        <v>16</v>
      </c>
      <c r="O17" s="80" t="s">
        <v>74</v>
      </c>
      <c r="P17" s="80" t="s">
        <v>15</v>
      </c>
      <c r="Q17" s="80" t="s">
        <v>16</v>
      </c>
      <c r="R17" s="80" t="s">
        <v>74</v>
      </c>
      <c r="S17" s="80" t="s">
        <v>15</v>
      </c>
      <c r="T17" s="80" t="s">
        <v>16</v>
      </c>
      <c r="U17" s="80" t="s">
        <v>74</v>
      </c>
      <c r="V17" s="80" t="s">
        <v>15</v>
      </c>
      <c r="W17" s="80" t="s">
        <v>16</v>
      </c>
      <c r="AC17" s="151" t="s">
        <v>74</v>
      </c>
      <c r="AD17" s="7" t="s">
        <v>15</v>
      </c>
      <c r="AE17" s="7" t="s">
        <v>16</v>
      </c>
      <c r="AF17" s="151" t="s">
        <v>74</v>
      </c>
      <c r="AG17" s="7" t="s">
        <v>15</v>
      </c>
      <c r="AH17" s="7" t="s">
        <v>16</v>
      </c>
      <c r="AI17" s="151" t="s">
        <v>74</v>
      </c>
      <c r="AJ17" s="7" t="s">
        <v>15</v>
      </c>
      <c r="AK17" s="7" t="s">
        <v>16</v>
      </c>
      <c r="AL17" s="151" t="s">
        <v>74</v>
      </c>
      <c r="AM17" s="7" t="s">
        <v>15</v>
      </c>
      <c r="AN17" s="7" t="s">
        <v>16</v>
      </c>
      <c r="AO17" s="151" t="s">
        <v>74</v>
      </c>
      <c r="AP17" s="7" t="s">
        <v>15</v>
      </c>
      <c r="AQ17" s="7" t="s">
        <v>16</v>
      </c>
      <c r="AR17" s="151" t="s">
        <v>74</v>
      </c>
      <c r="AS17" s="7" t="s">
        <v>15</v>
      </c>
      <c r="AT17" s="7" t="s">
        <v>16</v>
      </c>
      <c r="AU17" s="151" t="s">
        <v>17</v>
      </c>
      <c r="AV17" s="7" t="s">
        <v>15</v>
      </c>
      <c r="AW17" s="7" t="s">
        <v>16</v>
      </c>
    </row>
    <row r="18" spans="1:49" ht="14.95" customHeight="1" thickBot="1" x14ac:dyDescent="0.3">
      <c r="A18" s="44" t="s">
        <v>44</v>
      </c>
      <c r="B18" s="185">
        <v>0</v>
      </c>
      <c r="C18" s="365">
        <v>0</v>
      </c>
      <c r="D18" s="258">
        <v>1</v>
      </c>
      <c r="E18" s="61">
        <f t="shared" ref="E18" si="15">SUM(B18:D18)</f>
        <v>1</v>
      </c>
      <c r="F18" s="75" t="s">
        <v>44</v>
      </c>
      <c r="G18" s="183">
        <v>0</v>
      </c>
      <c r="H18" s="367">
        <v>0</v>
      </c>
      <c r="I18" s="259">
        <v>5</v>
      </c>
      <c r="J18" s="77">
        <f t="shared" ref="J18" si="16">SUM(G18:I18)</f>
        <v>5</v>
      </c>
      <c r="K18" s="51" t="s">
        <v>977</v>
      </c>
      <c r="L18" s="7" t="s">
        <v>21</v>
      </c>
      <c r="M18" s="7" t="s">
        <v>21</v>
      </c>
      <c r="N18" s="156" t="s">
        <v>21</v>
      </c>
      <c r="O18" s="7">
        <v>10</v>
      </c>
      <c r="P18" s="7">
        <v>10</v>
      </c>
      <c r="Q18" s="156">
        <v>100</v>
      </c>
      <c r="R18" s="7">
        <v>1</v>
      </c>
      <c r="S18" s="7">
        <v>1</v>
      </c>
      <c r="T18" s="156">
        <f>SUM(R18/S18)*100</f>
        <v>100</v>
      </c>
      <c r="U18" s="7">
        <v>1</v>
      </c>
      <c r="V18" s="7">
        <v>1</v>
      </c>
      <c r="W18" s="156">
        <f>SUM(U18/V18)*100</f>
        <v>100</v>
      </c>
      <c r="AC18" s="151" t="s">
        <v>21</v>
      </c>
      <c r="AD18" s="7" t="s">
        <v>21</v>
      </c>
      <c r="AE18" s="156" t="s">
        <v>21</v>
      </c>
      <c r="AF18" s="151" t="s">
        <v>21</v>
      </c>
      <c r="AG18" s="7" t="s">
        <v>21</v>
      </c>
      <c r="AH18" s="156" t="s">
        <v>21</v>
      </c>
      <c r="AI18" s="151" t="s">
        <v>21</v>
      </c>
      <c r="AJ18" s="7" t="s">
        <v>21</v>
      </c>
      <c r="AK18" s="156" t="s">
        <v>21</v>
      </c>
      <c r="AL18" s="151" t="s">
        <v>21</v>
      </c>
      <c r="AM18" s="7" t="s">
        <v>21</v>
      </c>
      <c r="AN18" s="156" t="s">
        <v>21</v>
      </c>
      <c r="AO18" s="151" t="s">
        <v>21</v>
      </c>
      <c r="AP18" s="7" t="s">
        <v>21</v>
      </c>
      <c r="AQ18" s="156" t="s">
        <v>21</v>
      </c>
      <c r="AR18" s="151" t="s">
        <v>21</v>
      </c>
      <c r="AS18" s="7" t="s">
        <v>21</v>
      </c>
      <c r="AT18" s="156" t="s">
        <v>21</v>
      </c>
      <c r="AU18" s="151" t="s">
        <v>21</v>
      </c>
      <c r="AV18" s="7" t="s">
        <v>21</v>
      </c>
      <c r="AW18" s="156" t="s">
        <v>21</v>
      </c>
    </row>
    <row r="19" spans="1:49" ht="14.95" customHeight="1" thickBot="1" x14ac:dyDescent="0.3">
      <c r="A19" s="44" t="s">
        <v>659</v>
      </c>
      <c r="B19" s="185">
        <v>0</v>
      </c>
      <c r="C19" s="365">
        <v>0</v>
      </c>
      <c r="D19" s="258">
        <v>0</v>
      </c>
      <c r="E19" s="61">
        <f t="shared" si="0"/>
        <v>0</v>
      </c>
      <c r="F19" s="75" t="s">
        <v>659</v>
      </c>
      <c r="G19" s="183">
        <v>0</v>
      </c>
      <c r="H19" s="367">
        <v>0</v>
      </c>
      <c r="I19" s="259">
        <v>0</v>
      </c>
      <c r="J19" s="77">
        <f t="shared" si="1"/>
        <v>0</v>
      </c>
      <c r="K19" s="51" t="s">
        <v>278</v>
      </c>
      <c r="L19" s="7" t="s">
        <v>21</v>
      </c>
      <c r="M19" s="7" t="s">
        <v>21</v>
      </c>
      <c r="N19" s="156" t="s">
        <v>21</v>
      </c>
      <c r="O19" s="80">
        <v>4</v>
      </c>
      <c r="P19" s="80">
        <v>6</v>
      </c>
      <c r="Q19" s="179">
        <v>66.666666666666657</v>
      </c>
      <c r="R19" s="80" t="s">
        <v>21</v>
      </c>
      <c r="S19" s="80" t="s">
        <v>21</v>
      </c>
      <c r="T19" s="179" t="s">
        <v>21</v>
      </c>
      <c r="U19" s="80">
        <v>6</v>
      </c>
      <c r="V19" s="80">
        <v>6</v>
      </c>
      <c r="W19" s="179">
        <f t="shared" ref="W19" si="17">(U19/V19)*100</f>
        <v>100</v>
      </c>
      <c r="AC19" s="151" t="s">
        <v>21</v>
      </c>
      <c r="AD19" s="7" t="s">
        <v>21</v>
      </c>
      <c r="AE19" s="156" t="s">
        <v>21</v>
      </c>
      <c r="AF19" s="151">
        <v>3</v>
      </c>
      <c r="AG19" s="7">
        <v>5</v>
      </c>
      <c r="AH19" s="156">
        <f>SUM(AF19/AG19)*100</f>
        <v>60</v>
      </c>
      <c r="AI19" s="151" t="s">
        <v>21</v>
      </c>
      <c r="AJ19" s="7" t="s">
        <v>21</v>
      </c>
      <c r="AK19" s="7" t="s">
        <v>21</v>
      </c>
      <c r="AL19" s="151" t="s">
        <v>21</v>
      </c>
      <c r="AM19" s="7" t="s">
        <v>21</v>
      </c>
      <c r="AN19" s="7" t="s">
        <v>21</v>
      </c>
      <c r="AO19" s="151" t="s">
        <v>21</v>
      </c>
      <c r="AP19" s="7" t="s">
        <v>21</v>
      </c>
      <c r="AQ19" s="7" t="s">
        <v>21</v>
      </c>
      <c r="AR19" s="151" t="s">
        <v>21</v>
      </c>
      <c r="AS19" s="7" t="s">
        <v>21</v>
      </c>
      <c r="AT19" s="7" t="s">
        <v>21</v>
      </c>
      <c r="AU19" s="151">
        <v>6</v>
      </c>
      <c r="AV19" s="7">
        <v>9</v>
      </c>
      <c r="AW19" s="156">
        <f>SUM(AU19/AV19)*100</f>
        <v>66.666666666666657</v>
      </c>
    </row>
    <row r="20" spans="1:49" ht="14.95" customHeight="1" thickBot="1" x14ac:dyDescent="0.3">
      <c r="A20" s="44" t="s">
        <v>1030</v>
      </c>
      <c r="B20" s="185">
        <v>0</v>
      </c>
      <c r="C20" s="365">
        <v>0</v>
      </c>
      <c r="D20" s="258">
        <v>0</v>
      </c>
      <c r="E20" s="61">
        <f t="shared" si="0"/>
        <v>0</v>
      </c>
      <c r="F20" s="75" t="s">
        <v>1030</v>
      </c>
      <c r="G20" s="183">
        <v>10</v>
      </c>
      <c r="H20" s="367">
        <v>3</v>
      </c>
      <c r="I20" s="259">
        <v>3</v>
      </c>
      <c r="J20" s="77">
        <f t="shared" si="1"/>
        <v>16</v>
      </c>
      <c r="K20" s="51" t="s">
        <v>459</v>
      </c>
      <c r="L20" s="7" t="s">
        <v>21</v>
      </c>
      <c r="M20" s="7" t="s">
        <v>21</v>
      </c>
      <c r="N20" s="156" t="s">
        <v>21</v>
      </c>
      <c r="O20" s="80">
        <v>1</v>
      </c>
      <c r="P20" s="80">
        <v>4</v>
      </c>
      <c r="Q20" s="179">
        <v>25</v>
      </c>
      <c r="R20" s="80" t="s">
        <v>21</v>
      </c>
      <c r="S20" s="80" t="s">
        <v>21</v>
      </c>
      <c r="T20" s="179" t="s">
        <v>21</v>
      </c>
      <c r="U20" s="80" t="s">
        <v>21</v>
      </c>
      <c r="V20" s="80" t="s">
        <v>21</v>
      </c>
      <c r="W20" s="179" t="s">
        <v>21</v>
      </c>
      <c r="AC20" s="98" t="s">
        <v>21</v>
      </c>
      <c r="AD20" s="80" t="s">
        <v>21</v>
      </c>
      <c r="AE20" s="179" t="s">
        <v>21</v>
      </c>
      <c r="AF20" s="98" t="s">
        <v>21</v>
      </c>
      <c r="AG20" s="80" t="s">
        <v>21</v>
      </c>
      <c r="AH20" s="179" t="s">
        <v>21</v>
      </c>
      <c r="AI20" s="80" t="s">
        <v>21</v>
      </c>
      <c r="AJ20" s="80" t="s">
        <v>21</v>
      </c>
      <c r="AK20" s="179" t="s">
        <v>21</v>
      </c>
      <c r="AL20" s="80" t="s">
        <v>21</v>
      </c>
      <c r="AM20" s="80" t="s">
        <v>21</v>
      </c>
      <c r="AN20" s="179" t="s">
        <v>21</v>
      </c>
      <c r="AO20" s="80" t="s">
        <v>21</v>
      </c>
      <c r="AP20" s="80" t="s">
        <v>21</v>
      </c>
      <c r="AQ20" s="179" t="s">
        <v>21</v>
      </c>
      <c r="AR20" s="80" t="s">
        <v>21</v>
      </c>
      <c r="AS20" s="80" t="s">
        <v>21</v>
      </c>
      <c r="AT20" s="179" t="s">
        <v>21</v>
      </c>
      <c r="AU20" s="80" t="s">
        <v>21</v>
      </c>
      <c r="AV20" s="80" t="s">
        <v>21</v>
      </c>
      <c r="AW20" s="179" t="s">
        <v>21</v>
      </c>
    </row>
    <row r="21" spans="1:49" ht="14.95" customHeight="1" thickBot="1" x14ac:dyDescent="0.3">
      <c r="A21" s="44" t="s">
        <v>4</v>
      </c>
      <c r="B21" s="185">
        <v>0</v>
      </c>
      <c r="C21" s="365">
        <v>0</v>
      </c>
      <c r="D21" s="258">
        <v>0</v>
      </c>
      <c r="E21" s="61">
        <f t="shared" si="0"/>
        <v>0</v>
      </c>
      <c r="F21" s="75" t="s">
        <v>4</v>
      </c>
      <c r="G21" s="183">
        <v>0</v>
      </c>
      <c r="H21" s="367">
        <v>0</v>
      </c>
      <c r="I21" s="259">
        <v>13</v>
      </c>
      <c r="J21" s="77">
        <f t="shared" si="1"/>
        <v>13</v>
      </c>
      <c r="K21" s="51" t="s">
        <v>4</v>
      </c>
      <c r="L21" s="7" t="s">
        <v>21</v>
      </c>
      <c r="M21" s="7" t="s">
        <v>21</v>
      </c>
      <c r="N21" s="156" t="s">
        <v>21</v>
      </c>
      <c r="O21" s="80" t="s">
        <v>21</v>
      </c>
      <c r="P21" s="80" t="s">
        <v>21</v>
      </c>
      <c r="Q21" s="179" t="s">
        <v>21</v>
      </c>
      <c r="R21" s="80" t="s">
        <v>21</v>
      </c>
      <c r="S21" s="80" t="s">
        <v>21</v>
      </c>
      <c r="T21" s="179" t="s">
        <v>21</v>
      </c>
      <c r="U21" s="80">
        <v>4</v>
      </c>
      <c r="V21" s="80">
        <v>4</v>
      </c>
      <c r="W21" s="80">
        <f t="shared" ref="W21" si="18">(U21/V21)*100</f>
        <v>100</v>
      </c>
      <c r="AC21" s="151">
        <v>1</v>
      </c>
      <c r="AD21" s="7">
        <v>1</v>
      </c>
      <c r="AE21" s="7">
        <f>SUM(AC21/AD21)*100</f>
        <v>100</v>
      </c>
      <c r="AF21" s="151" t="s">
        <v>21</v>
      </c>
      <c r="AG21" s="7" t="s">
        <v>21</v>
      </c>
      <c r="AH21" s="7" t="s">
        <v>21</v>
      </c>
      <c r="AI21" s="151" t="s">
        <v>21</v>
      </c>
      <c r="AJ21" s="7" t="s">
        <v>21</v>
      </c>
      <c r="AK21" s="7" t="s">
        <v>21</v>
      </c>
      <c r="AL21" s="151" t="s">
        <v>21</v>
      </c>
      <c r="AM21" s="7" t="s">
        <v>21</v>
      </c>
      <c r="AN21" s="7" t="s">
        <v>21</v>
      </c>
      <c r="AO21" s="151" t="s">
        <v>21</v>
      </c>
      <c r="AP21" s="7" t="s">
        <v>21</v>
      </c>
      <c r="AQ21" s="7" t="s">
        <v>21</v>
      </c>
      <c r="AR21" s="151" t="s">
        <v>21</v>
      </c>
      <c r="AS21" s="7" t="s">
        <v>21</v>
      </c>
      <c r="AT21" s="7" t="s">
        <v>21</v>
      </c>
      <c r="AU21" s="7" t="s">
        <v>21</v>
      </c>
      <c r="AV21" s="7" t="s">
        <v>21</v>
      </c>
      <c r="AW21" s="7" t="s">
        <v>21</v>
      </c>
    </row>
    <row r="22" spans="1:49" ht="14.95" customHeight="1" thickBot="1" x14ac:dyDescent="0.3">
      <c r="A22" s="44" t="s">
        <v>380</v>
      </c>
      <c r="B22" s="185">
        <v>4</v>
      </c>
      <c r="C22" s="365">
        <v>0</v>
      </c>
      <c r="D22" s="258">
        <v>0</v>
      </c>
      <c r="E22" s="61">
        <f t="shared" si="0"/>
        <v>4</v>
      </c>
      <c r="F22" s="75" t="s">
        <v>380</v>
      </c>
      <c r="G22" s="183">
        <v>20</v>
      </c>
      <c r="H22" s="367">
        <v>0</v>
      </c>
      <c r="I22" s="259">
        <v>0</v>
      </c>
      <c r="J22" s="77">
        <f t="shared" si="1"/>
        <v>20</v>
      </c>
      <c r="K22" s="51" t="s">
        <v>600</v>
      </c>
      <c r="L22" s="7" t="s">
        <v>21</v>
      </c>
      <c r="M22" s="7" t="s">
        <v>21</v>
      </c>
      <c r="N22" s="156" t="s">
        <v>21</v>
      </c>
      <c r="O22" s="80" t="s">
        <v>21</v>
      </c>
      <c r="P22" s="80" t="s">
        <v>21</v>
      </c>
      <c r="Q22" s="179" t="s">
        <v>21</v>
      </c>
      <c r="R22" s="80" t="s">
        <v>21</v>
      </c>
      <c r="S22" s="80" t="s">
        <v>21</v>
      </c>
      <c r="T22" s="179" t="s">
        <v>21</v>
      </c>
      <c r="U22" s="80" t="s">
        <v>21</v>
      </c>
      <c r="V22" s="80" t="s">
        <v>21</v>
      </c>
      <c r="W22" s="179" t="s">
        <v>21</v>
      </c>
      <c r="AC22" s="151">
        <v>24</v>
      </c>
      <c r="AD22" s="7">
        <v>26</v>
      </c>
      <c r="AE22" s="7">
        <v>92</v>
      </c>
      <c r="AF22" s="151">
        <v>23</v>
      </c>
      <c r="AG22" s="7">
        <v>28</v>
      </c>
      <c r="AH22" s="7">
        <v>82</v>
      </c>
      <c r="AI22" s="151" t="s">
        <v>21</v>
      </c>
      <c r="AJ22" s="7" t="s">
        <v>21</v>
      </c>
      <c r="AK22" s="7" t="s">
        <v>21</v>
      </c>
      <c r="AL22" s="151" t="s">
        <v>21</v>
      </c>
      <c r="AM22" s="7" t="s">
        <v>21</v>
      </c>
      <c r="AN22" s="7" t="s">
        <v>21</v>
      </c>
      <c r="AO22" s="151" t="s">
        <v>21</v>
      </c>
      <c r="AP22" s="7" t="s">
        <v>21</v>
      </c>
      <c r="AQ22" s="7" t="s">
        <v>21</v>
      </c>
      <c r="AR22" s="151" t="s">
        <v>21</v>
      </c>
      <c r="AS22" s="7" t="s">
        <v>21</v>
      </c>
      <c r="AT22" s="7" t="s">
        <v>21</v>
      </c>
      <c r="AU22" s="7" t="s">
        <v>21</v>
      </c>
      <c r="AV22" s="7" t="s">
        <v>21</v>
      </c>
      <c r="AW22" s="7" t="s">
        <v>21</v>
      </c>
    </row>
    <row r="23" spans="1:49" ht="14.95" customHeight="1" thickBot="1" x14ac:dyDescent="0.3">
      <c r="A23" s="44" t="s">
        <v>155</v>
      </c>
      <c r="B23" s="185">
        <v>0</v>
      </c>
      <c r="C23" s="365">
        <v>0</v>
      </c>
      <c r="D23" s="258">
        <v>0</v>
      </c>
      <c r="E23" s="61">
        <f t="shared" si="0"/>
        <v>0</v>
      </c>
      <c r="F23" s="75" t="s">
        <v>155</v>
      </c>
      <c r="G23" s="183">
        <v>0</v>
      </c>
      <c r="H23" s="367">
        <v>0</v>
      </c>
      <c r="I23" s="259">
        <v>0</v>
      </c>
      <c r="J23" s="77">
        <f t="shared" si="1"/>
        <v>0</v>
      </c>
      <c r="K23" s="51" t="s">
        <v>36</v>
      </c>
      <c r="L23" s="7" t="s">
        <v>21</v>
      </c>
      <c r="M23" s="7" t="s">
        <v>21</v>
      </c>
      <c r="N23" s="156" t="s">
        <v>21</v>
      </c>
      <c r="O23" s="80" t="s">
        <v>21</v>
      </c>
      <c r="P23" s="80" t="s">
        <v>21</v>
      </c>
      <c r="Q23" s="179" t="s">
        <v>21</v>
      </c>
      <c r="R23" s="80" t="s">
        <v>21</v>
      </c>
      <c r="S23" s="80" t="s">
        <v>21</v>
      </c>
      <c r="T23" s="179" t="s">
        <v>21</v>
      </c>
      <c r="U23" s="80">
        <v>0</v>
      </c>
      <c r="V23" s="80">
        <v>1</v>
      </c>
      <c r="W23" s="179">
        <f t="shared" ref="W23" si="19">(U23/V23)*100</f>
        <v>0</v>
      </c>
      <c r="AC23" s="151" t="s">
        <v>21</v>
      </c>
      <c r="AD23" s="7" t="s">
        <v>21</v>
      </c>
      <c r="AE23" s="7" t="s">
        <v>21</v>
      </c>
      <c r="AF23" s="151" t="s">
        <v>21</v>
      </c>
      <c r="AG23" s="7" t="s">
        <v>21</v>
      </c>
      <c r="AH23" s="7" t="s">
        <v>21</v>
      </c>
      <c r="AI23" s="151" t="s">
        <v>21</v>
      </c>
      <c r="AJ23" s="7" t="s">
        <v>21</v>
      </c>
      <c r="AK23" s="7" t="s">
        <v>21</v>
      </c>
      <c r="AL23" s="151" t="s">
        <v>21</v>
      </c>
      <c r="AM23" s="7" t="s">
        <v>21</v>
      </c>
      <c r="AN23" s="7" t="s">
        <v>21</v>
      </c>
      <c r="AO23" s="151" t="s">
        <v>21</v>
      </c>
      <c r="AP23" s="7" t="s">
        <v>21</v>
      </c>
      <c r="AQ23" s="7" t="s">
        <v>21</v>
      </c>
      <c r="AR23" s="151" t="s">
        <v>21</v>
      </c>
      <c r="AS23" s="7" t="s">
        <v>21</v>
      </c>
      <c r="AT23" s="7" t="s">
        <v>21</v>
      </c>
      <c r="AU23" s="7" t="s">
        <v>21</v>
      </c>
      <c r="AV23" s="7" t="s">
        <v>21</v>
      </c>
      <c r="AW23" s="7" t="s">
        <v>21</v>
      </c>
    </row>
    <row r="24" spans="1:49" ht="14.95" customHeight="1" thickBot="1" x14ac:dyDescent="0.3">
      <c r="A24" s="44" t="s">
        <v>306</v>
      </c>
      <c r="B24" s="185">
        <v>4</v>
      </c>
      <c r="C24" s="365">
        <v>0</v>
      </c>
      <c r="D24" s="258">
        <v>0</v>
      </c>
      <c r="E24" s="61">
        <f t="shared" si="0"/>
        <v>4</v>
      </c>
      <c r="F24" s="75" t="s">
        <v>306</v>
      </c>
      <c r="G24" s="183">
        <v>20</v>
      </c>
      <c r="H24" s="367">
        <v>0</v>
      </c>
      <c r="I24" s="259">
        <v>0</v>
      </c>
      <c r="J24" s="77">
        <f t="shared" si="1"/>
        <v>20</v>
      </c>
    </row>
    <row r="25" spans="1:49" ht="14.95" customHeight="1" thickBot="1" x14ac:dyDescent="0.3">
      <c r="A25" s="44" t="s">
        <v>598</v>
      </c>
      <c r="B25" s="185">
        <v>1</v>
      </c>
      <c r="C25" s="365">
        <v>2</v>
      </c>
      <c r="D25" s="258">
        <v>0</v>
      </c>
      <c r="E25" s="61">
        <f t="shared" si="0"/>
        <v>3</v>
      </c>
      <c r="F25" s="75" t="s">
        <v>598</v>
      </c>
      <c r="G25" s="183">
        <v>23</v>
      </c>
      <c r="H25" s="367">
        <v>47</v>
      </c>
      <c r="I25" s="259">
        <v>2</v>
      </c>
      <c r="J25" s="77">
        <f t="shared" si="1"/>
        <v>72</v>
      </c>
      <c r="K25" s="485" t="s">
        <v>303</v>
      </c>
      <c r="L25" s="436" t="s">
        <v>20</v>
      </c>
      <c r="M25" s="437"/>
      <c r="N25" s="438"/>
      <c r="O25" s="422" t="s">
        <v>365</v>
      </c>
      <c r="P25" s="423"/>
      <c r="Q25" s="424"/>
      <c r="R25" s="428" t="s">
        <v>854</v>
      </c>
      <c r="S25" s="429"/>
      <c r="T25" s="430"/>
      <c r="U25" s="428" t="s">
        <v>700</v>
      </c>
      <c r="V25" s="429"/>
      <c r="W25" s="430"/>
      <c r="AC25" s="422" t="s">
        <v>518</v>
      </c>
      <c r="AD25" s="423"/>
      <c r="AE25" s="424"/>
      <c r="AF25" s="422" t="s">
        <v>356</v>
      </c>
      <c r="AG25" s="423"/>
      <c r="AH25" s="424"/>
      <c r="AI25" s="422" t="s">
        <v>272</v>
      </c>
      <c r="AJ25" s="423"/>
      <c r="AK25" s="424"/>
      <c r="AL25" s="422" t="s">
        <v>115</v>
      </c>
      <c r="AM25" s="423"/>
      <c r="AN25" s="424"/>
      <c r="AO25" s="422" t="s">
        <v>83</v>
      </c>
      <c r="AP25" s="423"/>
      <c r="AQ25" s="424"/>
      <c r="AR25" s="422" t="s">
        <v>78</v>
      </c>
      <c r="AS25" s="423"/>
      <c r="AT25" s="424"/>
      <c r="AU25" s="422" t="s">
        <v>60</v>
      </c>
      <c r="AV25" s="423"/>
      <c r="AW25" s="424"/>
    </row>
    <row r="26" spans="1:49" ht="14.95" customHeight="1" thickBot="1" x14ac:dyDescent="0.3">
      <c r="A26" s="44" t="s">
        <v>886</v>
      </c>
      <c r="B26" s="185">
        <v>5</v>
      </c>
      <c r="C26" s="365">
        <v>1</v>
      </c>
      <c r="D26" s="258">
        <v>2</v>
      </c>
      <c r="E26" s="61">
        <v>0</v>
      </c>
      <c r="F26" s="75" t="s">
        <v>886</v>
      </c>
      <c r="G26" s="183">
        <v>25</v>
      </c>
      <c r="H26" s="367">
        <v>5</v>
      </c>
      <c r="I26" s="259">
        <v>10</v>
      </c>
      <c r="J26" s="77">
        <f t="shared" ref="J26:J27" si="20">SUM(G26:I26)</f>
        <v>40</v>
      </c>
      <c r="K26" s="486"/>
      <c r="L26" s="439"/>
      <c r="M26" s="440"/>
      <c r="N26" s="441"/>
      <c r="O26" s="425"/>
      <c r="P26" s="426"/>
      <c r="Q26" s="427"/>
      <c r="R26" s="431"/>
      <c r="S26" s="432"/>
      <c r="T26" s="433"/>
      <c r="U26" s="431"/>
      <c r="V26" s="432"/>
      <c r="W26" s="433"/>
      <c r="AC26" s="425"/>
      <c r="AD26" s="426"/>
      <c r="AE26" s="427"/>
      <c r="AF26" s="425"/>
      <c r="AG26" s="426"/>
      <c r="AH26" s="427"/>
      <c r="AI26" s="425"/>
      <c r="AJ26" s="426"/>
      <c r="AK26" s="427"/>
      <c r="AL26" s="425"/>
      <c r="AM26" s="426"/>
      <c r="AN26" s="427"/>
      <c r="AO26" s="425"/>
      <c r="AP26" s="426"/>
      <c r="AQ26" s="427"/>
      <c r="AR26" s="425"/>
      <c r="AS26" s="426"/>
      <c r="AT26" s="427"/>
      <c r="AU26" s="425"/>
      <c r="AV26" s="426"/>
      <c r="AW26" s="427"/>
    </row>
    <row r="27" spans="1:49" ht="14.95" customHeight="1" thickBot="1" x14ac:dyDescent="0.3">
      <c r="A27" s="44" t="s">
        <v>887</v>
      </c>
      <c r="B27" s="185">
        <v>1</v>
      </c>
      <c r="C27" s="365">
        <v>0</v>
      </c>
      <c r="D27" s="258">
        <v>1</v>
      </c>
      <c r="E27" s="61">
        <f t="shared" ref="E27" si="21">SUM(B27:D27)</f>
        <v>2</v>
      </c>
      <c r="F27" s="75" t="s">
        <v>887</v>
      </c>
      <c r="G27" s="183">
        <v>5</v>
      </c>
      <c r="H27" s="367">
        <v>0</v>
      </c>
      <c r="I27" s="259">
        <v>5</v>
      </c>
      <c r="J27" s="77">
        <f t="shared" si="20"/>
        <v>10</v>
      </c>
      <c r="K27" s="272" t="s">
        <v>30</v>
      </c>
      <c r="L27" s="3" t="s">
        <v>74</v>
      </c>
      <c r="M27" s="3" t="s">
        <v>15</v>
      </c>
      <c r="N27" s="3" t="s">
        <v>16</v>
      </c>
      <c r="O27" s="7" t="s">
        <v>74</v>
      </c>
      <c r="P27" s="7" t="s">
        <v>15</v>
      </c>
      <c r="Q27" s="7" t="s">
        <v>16</v>
      </c>
      <c r="R27" s="80" t="s">
        <v>74</v>
      </c>
      <c r="S27" s="80" t="s">
        <v>15</v>
      </c>
      <c r="T27" s="80" t="s">
        <v>16</v>
      </c>
      <c r="U27" s="80" t="s">
        <v>74</v>
      </c>
      <c r="V27" s="80" t="s">
        <v>15</v>
      </c>
      <c r="W27" s="80" t="s">
        <v>16</v>
      </c>
      <c r="AC27" s="151" t="s">
        <v>74</v>
      </c>
      <c r="AD27" s="7" t="s">
        <v>15</v>
      </c>
      <c r="AE27" s="7" t="s">
        <v>16</v>
      </c>
      <c r="AF27" s="151" t="s">
        <v>74</v>
      </c>
      <c r="AG27" s="7" t="s">
        <v>15</v>
      </c>
      <c r="AH27" s="7" t="s">
        <v>16</v>
      </c>
      <c r="AI27" s="151" t="s">
        <v>74</v>
      </c>
      <c r="AJ27" s="7" t="s">
        <v>15</v>
      </c>
      <c r="AK27" s="7" t="s">
        <v>16</v>
      </c>
      <c r="AL27" s="151" t="s">
        <v>74</v>
      </c>
      <c r="AM27" s="7" t="s">
        <v>15</v>
      </c>
      <c r="AN27" s="7" t="s">
        <v>16</v>
      </c>
      <c r="AO27" s="151" t="s">
        <v>74</v>
      </c>
      <c r="AP27" s="7" t="s">
        <v>15</v>
      </c>
      <c r="AQ27" s="7" t="s">
        <v>16</v>
      </c>
      <c r="AR27" s="151" t="s">
        <v>74</v>
      </c>
      <c r="AS27" s="7" t="s">
        <v>15</v>
      </c>
      <c r="AT27" s="7" t="s">
        <v>16</v>
      </c>
      <c r="AU27" s="151" t="s">
        <v>17</v>
      </c>
      <c r="AV27" s="7" t="s">
        <v>15</v>
      </c>
      <c r="AW27" s="7" t="s">
        <v>16</v>
      </c>
    </row>
    <row r="28" spans="1:49" ht="14.95" customHeight="1" thickBot="1" x14ac:dyDescent="0.3">
      <c r="A28" s="44" t="s">
        <v>665</v>
      </c>
      <c r="B28" s="185">
        <v>0</v>
      </c>
      <c r="C28" s="365">
        <v>0</v>
      </c>
      <c r="D28" s="258">
        <v>2</v>
      </c>
      <c r="E28" s="61">
        <f t="shared" si="0"/>
        <v>2</v>
      </c>
      <c r="F28" s="75" t="s">
        <v>665</v>
      </c>
      <c r="G28" s="183">
        <v>0</v>
      </c>
      <c r="H28" s="367">
        <v>0</v>
      </c>
      <c r="I28" s="259">
        <v>10</v>
      </c>
      <c r="J28" s="77">
        <f t="shared" si="1"/>
        <v>10</v>
      </c>
      <c r="K28" s="51" t="s">
        <v>977</v>
      </c>
      <c r="L28" s="14" t="s">
        <v>21</v>
      </c>
      <c r="M28" s="14" t="s">
        <v>21</v>
      </c>
      <c r="N28" s="150" t="s">
        <v>21</v>
      </c>
      <c r="O28" s="151" t="s">
        <v>21</v>
      </c>
      <c r="P28" s="7" t="s">
        <v>21</v>
      </c>
      <c r="Q28" s="7" t="s">
        <v>21</v>
      </c>
      <c r="R28" s="151" t="s">
        <v>21</v>
      </c>
      <c r="S28" s="7" t="s">
        <v>21</v>
      </c>
      <c r="T28" s="7" t="s">
        <v>21</v>
      </c>
      <c r="U28" s="151" t="s">
        <v>21</v>
      </c>
      <c r="V28" s="7" t="s">
        <v>21</v>
      </c>
      <c r="W28" s="7" t="s">
        <v>21</v>
      </c>
      <c r="AC28" s="151" t="s">
        <v>21</v>
      </c>
      <c r="AD28" s="7" t="s">
        <v>21</v>
      </c>
      <c r="AE28" s="156" t="s">
        <v>21</v>
      </c>
      <c r="AF28" s="151" t="s">
        <v>21</v>
      </c>
      <c r="AG28" s="7" t="s">
        <v>21</v>
      </c>
      <c r="AH28" s="156" t="s">
        <v>21</v>
      </c>
      <c r="AI28" s="151" t="s">
        <v>21</v>
      </c>
      <c r="AJ28" s="7" t="s">
        <v>21</v>
      </c>
      <c r="AK28" s="156" t="s">
        <v>21</v>
      </c>
      <c r="AL28" s="151" t="s">
        <v>21</v>
      </c>
      <c r="AM28" s="7" t="s">
        <v>21</v>
      </c>
      <c r="AN28" s="156" t="s">
        <v>21</v>
      </c>
      <c r="AO28" s="151" t="s">
        <v>21</v>
      </c>
      <c r="AP28" s="7" t="s">
        <v>21</v>
      </c>
      <c r="AQ28" s="156" t="s">
        <v>21</v>
      </c>
      <c r="AR28" s="151" t="s">
        <v>21</v>
      </c>
      <c r="AS28" s="7" t="s">
        <v>21</v>
      </c>
      <c r="AT28" s="156" t="s">
        <v>21</v>
      </c>
      <c r="AU28" s="151" t="s">
        <v>21</v>
      </c>
      <c r="AV28" s="7" t="s">
        <v>21</v>
      </c>
      <c r="AW28" s="156" t="s">
        <v>21</v>
      </c>
    </row>
    <row r="29" spans="1:49" ht="14.95" customHeight="1" thickBot="1" x14ac:dyDescent="0.3">
      <c r="A29" s="44" t="s">
        <v>888</v>
      </c>
      <c r="B29" s="185">
        <v>0</v>
      </c>
      <c r="C29" s="365">
        <v>0</v>
      </c>
      <c r="D29" s="258">
        <v>2</v>
      </c>
      <c r="E29" s="61">
        <f t="shared" ref="E29" si="22">SUM(B29:D29)</f>
        <v>2</v>
      </c>
      <c r="F29" s="75" t="s">
        <v>888</v>
      </c>
      <c r="G29" s="183">
        <v>0</v>
      </c>
      <c r="H29" s="367">
        <v>0</v>
      </c>
      <c r="I29" s="259">
        <v>10</v>
      </c>
      <c r="J29" s="77">
        <f t="shared" ref="J29" si="23">SUM(G29:I29)</f>
        <v>10</v>
      </c>
      <c r="K29" s="51" t="s">
        <v>278</v>
      </c>
      <c r="L29" s="14">
        <v>5</v>
      </c>
      <c r="M29" s="14">
        <v>5</v>
      </c>
      <c r="N29" s="25">
        <f t="shared" ref="N29:N30" si="24">SUM(L29/M29)*100</f>
        <v>100</v>
      </c>
      <c r="O29" s="7" t="s">
        <v>21</v>
      </c>
      <c r="P29" s="7" t="s">
        <v>21</v>
      </c>
      <c r="Q29" s="156" t="s">
        <v>21</v>
      </c>
      <c r="R29" s="7">
        <v>1</v>
      </c>
      <c r="S29" s="7">
        <v>2</v>
      </c>
      <c r="T29" s="156">
        <f t="shared" ref="T29:T33" si="25">(R29/S29)*100</f>
        <v>50</v>
      </c>
      <c r="U29" s="80" t="s">
        <v>21</v>
      </c>
      <c r="V29" s="80" t="s">
        <v>21</v>
      </c>
      <c r="W29" s="179" t="s">
        <v>21</v>
      </c>
      <c r="AC29" s="151" t="s">
        <v>21</v>
      </c>
      <c r="AD29" s="7" t="s">
        <v>21</v>
      </c>
      <c r="AE29" s="156" t="s">
        <v>21</v>
      </c>
      <c r="AF29" s="151" t="s">
        <v>21</v>
      </c>
      <c r="AG29" s="7" t="s">
        <v>21</v>
      </c>
      <c r="AH29" s="156" t="s">
        <v>21</v>
      </c>
      <c r="AI29" s="151">
        <v>21</v>
      </c>
      <c r="AJ29" s="7">
        <v>25</v>
      </c>
      <c r="AK29" s="156">
        <f>SUM(AI29/AJ29)*100</f>
        <v>84</v>
      </c>
      <c r="AL29" s="151">
        <v>11</v>
      </c>
      <c r="AM29" s="7">
        <v>13</v>
      </c>
      <c r="AN29" s="156">
        <f>SUM(AL29/AM29)*100</f>
        <v>84.615384615384613</v>
      </c>
      <c r="AO29" s="151">
        <v>11</v>
      </c>
      <c r="AP29" s="7">
        <v>18</v>
      </c>
      <c r="AQ29" s="156">
        <f>SUM(AO29/AP29)*100</f>
        <v>61.111111111111114</v>
      </c>
      <c r="AR29" s="151">
        <v>13</v>
      </c>
      <c r="AS29" s="7">
        <v>18</v>
      </c>
      <c r="AT29" s="156">
        <f>SUM(AR29/AS29)*100</f>
        <v>72.222222222222214</v>
      </c>
      <c r="AU29" s="7" t="s">
        <v>21</v>
      </c>
      <c r="AV29" s="7" t="s">
        <v>21</v>
      </c>
      <c r="AW29" s="7" t="s">
        <v>21</v>
      </c>
    </row>
    <row r="30" spans="1:49" ht="14.95" customHeight="1" thickBot="1" x14ac:dyDescent="0.3">
      <c r="A30" s="44" t="s">
        <v>642</v>
      </c>
      <c r="B30" s="185">
        <v>0</v>
      </c>
      <c r="C30" s="365">
        <v>0</v>
      </c>
      <c r="D30" s="258">
        <v>1</v>
      </c>
      <c r="E30" s="61">
        <f t="shared" si="0"/>
        <v>1</v>
      </c>
      <c r="F30" s="75" t="s">
        <v>642</v>
      </c>
      <c r="G30" s="183">
        <v>0</v>
      </c>
      <c r="H30" s="367">
        <v>0</v>
      </c>
      <c r="I30" s="259">
        <v>5</v>
      </c>
      <c r="J30" s="77">
        <f t="shared" si="1"/>
        <v>5</v>
      </c>
      <c r="K30" s="51" t="s">
        <v>459</v>
      </c>
      <c r="L30" s="14">
        <v>19</v>
      </c>
      <c r="M30" s="14">
        <v>24</v>
      </c>
      <c r="N30" s="25">
        <f t="shared" si="24"/>
        <v>79.166666666666657</v>
      </c>
      <c r="O30" s="7" t="s">
        <v>21</v>
      </c>
      <c r="P30" s="7" t="s">
        <v>21</v>
      </c>
      <c r="Q30" s="156" t="s">
        <v>21</v>
      </c>
      <c r="R30" s="7" t="s">
        <v>21</v>
      </c>
      <c r="S30" s="7" t="s">
        <v>21</v>
      </c>
      <c r="T30" s="156" t="s">
        <v>21</v>
      </c>
      <c r="U30" s="7" t="s">
        <v>21</v>
      </c>
      <c r="V30" s="7" t="s">
        <v>21</v>
      </c>
      <c r="W30" s="156" t="s">
        <v>21</v>
      </c>
      <c r="AC30" s="6" t="s">
        <v>21</v>
      </c>
      <c r="AD30" s="7" t="s">
        <v>21</v>
      </c>
      <c r="AE30" s="156" t="s">
        <v>21</v>
      </c>
      <c r="AF30" s="7" t="s">
        <v>21</v>
      </c>
      <c r="AG30" s="7" t="s">
        <v>21</v>
      </c>
      <c r="AH30" s="156" t="s">
        <v>21</v>
      </c>
      <c r="AI30" s="7" t="s">
        <v>21</v>
      </c>
      <c r="AJ30" s="7" t="s">
        <v>21</v>
      </c>
      <c r="AK30" s="156" t="s">
        <v>21</v>
      </c>
      <c r="AL30" s="7" t="s">
        <v>21</v>
      </c>
      <c r="AM30" s="7" t="s">
        <v>21</v>
      </c>
      <c r="AN30" s="156" t="s">
        <v>21</v>
      </c>
      <c r="AO30" s="7" t="s">
        <v>21</v>
      </c>
      <c r="AP30" s="7" t="s">
        <v>21</v>
      </c>
      <c r="AQ30" s="156" t="s">
        <v>21</v>
      </c>
      <c r="AR30" s="7" t="s">
        <v>21</v>
      </c>
      <c r="AS30" s="7" t="s">
        <v>21</v>
      </c>
      <c r="AT30" s="156" t="s">
        <v>21</v>
      </c>
      <c r="AU30" s="7" t="s">
        <v>21</v>
      </c>
      <c r="AV30" s="7" t="s">
        <v>21</v>
      </c>
      <c r="AW30" s="156" t="s">
        <v>21</v>
      </c>
    </row>
    <row r="31" spans="1:49" ht="14.95" customHeight="1" thickBot="1" x14ac:dyDescent="0.3">
      <c r="A31" s="44" t="s">
        <v>1011</v>
      </c>
      <c r="B31" s="185">
        <v>0</v>
      </c>
      <c r="C31" s="365">
        <v>1</v>
      </c>
      <c r="D31" s="258">
        <v>1</v>
      </c>
      <c r="E31" s="61">
        <f t="shared" si="0"/>
        <v>2</v>
      </c>
      <c r="F31" s="75" t="s">
        <v>1011</v>
      </c>
      <c r="G31" s="183">
        <v>0</v>
      </c>
      <c r="H31" s="367">
        <v>5</v>
      </c>
      <c r="I31" s="259">
        <v>5</v>
      </c>
      <c r="J31" s="77">
        <f t="shared" si="1"/>
        <v>10</v>
      </c>
      <c r="K31" s="51" t="s">
        <v>1032</v>
      </c>
      <c r="L31" s="14">
        <v>2</v>
      </c>
      <c r="M31" s="14">
        <v>2</v>
      </c>
      <c r="N31" s="25">
        <f t="shared" ref="N31" si="26">SUM(L31/M31)*100</f>
        <v>100</v>
      </c>
      <c r="O31" s="7" t="s">
        <v>21</v>
      </c>
      <c r="P31" s="7" t="s">
        <v>21</v>
      </c>
      <c r="Q31" s="156" t="s">
        <v>21</v>
      </c>
      <c r="R31" s="7" t="s">
        <v>21</v>
      </c>
      <c r="S31" s="7" t="s">
        <v>21</v>
      </c>
      <c r="T31" s="156" t="s">
        <v>21</v>
      </c>
      <c r="U31" s="7" t="s">
        <v>21</v>
      </c>
      <c r="V31" s="7" t="s">
        <v>21</v>
      </c>
      <c r="W31" s="156" t="s">
        <v>21</v>
      </c>
      <c r="AC31" s="6" t="s">
        <v>21</v>
      </c>
      <c r="AD31" s="7" t="s">
        <v>21</v>
      </c>
      <c r="AE31" s="156" t="s">
        <v>21</v>
      </c>
      <c r="AF31" s="7" t="s">
        <v>21</v>
      </c>
      <c r="AG31" s="7" t="s">
        <v>21</v>
      </c>
      <c r="AH31" s="156" t="s">
        <v>21</v>
      </c>
      <c r="AI31" s="7" t="s">
        <v>21</v>
      </c>
      <c r="AJ31" s="7" t="s">
        <v>21</v>
      </c>
      <c r="AK31" s="156" t="s">
        <v>21</v>
      </c>
      <c r="AL31" s="7" t="s">
        <v>21</v>
      </c>
      <c r="AM31" s="7" t="s">
        <v>21</v>
      </c>
      <c r="AN31" s="156" t="s">
        <v>21</v>
      </c>
      <c r="AO31" s="7" t="s">
        <v>21</v>
      </c>
      <c r="AP31" s="7" t="s">
        <v>21</v>
      </c>
      <c r="AQ31" s="156" t="s">
        <v>21</v>
      </c>
      <c r="AR31" s="7" t="s">
        <v>21</v>
      </c>
      <c r="AS31" s="7" t="s">
        <v>21</v>
      </c>
      <c r="AT31" s="156" t="s">
        <v>21</v>
      </c>
      <c r="AU31" s="7" t="s">
        <v>21</v>
      </c>
      <c r="AV31" s="7" t="s">
        <v>21</v>
      </c>
      <c r="AW31" s="156" t="s">
        <v>21</v>
      </c>
    </row>
    <row r="32" spans="1:49" ht="14.95" customHeight="1" thickBot="1" x14ac:dyDescent="0.3">
      <c r="A32" s="44" t="s">
        <v>76</v>
      </c>
      <c r="B32" s="185">
        <v>1</v>
      </c>
      <c r="C32" s="365">
        <v>0</v>
      </c>
      <c r="D32" s="258">
        <v>1</v>
      </c>
      <c r="E32" s="61">
        <f t="shared" si="0"/>
        <v>2</v>
      </c>
      <c r="F32" s="75" t="s">
        <v>76</v>
      </c>
      <c r="G32" s="183">
        <v>5</v>
      </c>
      <c r="H32" s="367">
        <v>0</v>
      </c>
      <c r="I32" s="259">
        <v>5</v>
      </c>
      <c r="J32" s="77">
        <f t="shared" si="1"/>
        <v>10</v>
      </c>
      <c r="K32" s="51" t="s">
        <v>4</v>
      </c>
      <c r="L32" s="14" t="s">
        <v>21</v>
      </c>
      <c r="M32" s="14" t="s">
        <v>21</v>
      </c>
      <c r="N32" s="150" t="s">
        <v>21</v>
      </c>
      <c r="O32" s="7" t="s">
        <v>21</v>
      </c>
      <c r="P32" s="7" t="s">
        <v>21</v>
      </c>
      <c r="Q32" s="156" t="s">
        <v>21</v>
      </c>
      <c r="R32" s="7">
        <v>6</v>
      </c>
      <c r="S32" s="7">
        <v>6</v>
      </c>
      <c r="T32" s="156">
        <f t="shared" si="25"/>
        <v>100</v>
      </c>
      <c r="U32" s="80" t="s">
        <v>21</v>
      </c>
      <c r="V32" s="80" t="s">
        <v>21</v>
      </c>
      <c r="W32" s="179" t="s">
        <v>21</v>
      </c>
      <c r="AC32" s="151" t="s">
        <v>21</v>
      </c>
      <c r="AD32" s="7" t="s">
        <v>21</v>
      </c>
      <c r="AE32" s="156" t="s">
        <v>21</v>
      </c>
      <c r="AF32" s="151" t="s">
        <v>21</v>
      </c>
      <c r="AG32" s="7" t="s">
        <v>21</v>
      </c>
      <c r="AH32" s="156" t="s">
        <v>21</v>
      </c>
      <c r="AI32" s="151" t="s">
        <v>21</v>
      </c>
      <c r="AJ32" s="7" t="s">
        <v>21</v>
      </c>
      <c r="AK32" s="7" t="s">
        <v>21</v>
      </c>
      <c r="AL32" s="151" t="s">
        <v>21</v>
      </c>
      <c r="AM32" s="7" t="s">
        <v>21</v>
      </c>
      <c r="AN32" s="7" t="s">
        <v>21</v>
      </c>
      <c r="AO32" s="151" t="s">
        <v>21</v>
      </c>
      <c r="AP32" s="7" t="s">
        <v>21</v>
      </c>
      <c r="AQ32" s="7" t="s">
        <v>21</v>
      </c>
      <c r="AR32" s="7" t="s">
        <v>21</v>
      </c>
      <c r="AS32" s="7" t="s">
        <v>21</v>
      </c>
      <c r="AT32" s="7" t="s">
        <v>21</v>
      </c>
      <c r="AU32" s="7" t="s">
        <v>21</v>
      </c>
      <c r="AV32" s="7" t="s">
        <v>21</v>
      </c>
      <c r="AW32" s="7" t="s">
        <v>21</v>
      </c>
    </row>
    <row r="33" spans="1:49" ht="14.95" customHeight="1" thickBot="1" x14ac:dyDescent="0.3">
      <c r="A33" s="44" t="s">
        <v>14</v>
      </c>
      <c r="B33" s="185">
        <v>3</v>
      </c>
      <c r="C33" s="365">
        <v>2</v>
      </c>
      <c r="D33" s="258">
        <v>0</v>
      </c>
      <c r="E33" s="61">
        <f t="shared" si="0"/>
        <v>5</v>
      </c>
      <c r="F33" s="75" t="s">
        <v>14</v>
      </c>
      <c r="G33" s="183">
        <v>15</v>
      </c>
      <c r="H33" s="367">
        <v>10</v>
      </c>
      <c r="I33" s="259">
        <v>0</v>
      </c>
      <c r="J33" s="77">
        <f t="shared" si="1"/>
        <v>25</v>
      </c>
      <c r="K33" s="51" t="s">
        <v>600</v>
      </c>
      <c r="L33" s="14">
        <v>15</v>
      </c>
      <c r="M33" s="14">
        <v>20</v>
      </c>
      <c r="N33" s="150">
        <f t="shared" ref="N33" si="27">SUM(L33/M33)*100</f>
        <v>75</v>
      </c>
      <c r="O33" s="7" t="s">
        <v>21</v>
      </c>
      <c r="P33" s="7" t="s">
        <v>21</v>
      </c>
      <c r="Q33" s="156" t="s">
        <v>21</v>
      </c>
      <c r="R33" s="7">
        <v>15</v>
      </c>
      <c r="S33" s="7">
        <v>18</v>
      </c>
      <c r="T33" s="156">
        <f t="shared" si="25"/>
        <v>83.333333333333343</v>
      </c>
      <c r="U33" s="80">
        <v>5</v>
      </c>
      <c r="V33" s="80">
        <v>5</v>
      </c>
      <c r="W33" s="179">
        <v>100</v>
      </c>
      <c r="AC33" s="151"/>
      <c r="AD33" s="7"/>
      <c r="AE33" s="156"/>
      <c r="AF33" s="151"/>
      <c r="AG33" s="7"/>
      <c r="AH33" s="156"/>
      <c r="AI33" s="151" t="s">
        <v>21</v>
      </c>
      <c r="AJ33" s="7" t="s">
        <v>21</v>
      </c>
      <c r="AK33" s="7" t="s">
        <v>21</v>
      </c>
      <c r="AL33" s="151" t="s">
        <v>21</v>
      </c>
      <c r="AM33" s="7" t="s">
        <v>21</v>
      </c>
      <c r="AN33" s="7" t="s">
        <v>21</v>
      </c>
      <c r="AO33" s="151" t="s">
        <v>21</v>
      </c>
      <c r="AP33" s="7" t="s">
        <v>21</v>
      </c>
      <c r="AQ33" s="7" t="s">
        <v>21</v>
      </c>
      <c r="AR33" s="151" t="s">
        <v>21</v>
      </c>
      <c r="AS33" s="7" t="s">
        <v>21</v>
      </c>
      <c r="AT33" s="7" t="s">
        <v>21</v>
      </c>
      <c r="AU33" s="7" t="s">
        <v>21</v>
      </c>
      <c r="AV33" s="7" t="s">
        <v>21</v>
      </c>
      <c r="AW33" s="7" t="s">
        <v>21</v>
      </c>
    </row>
    <row r="34" spans="1:49" ht="14.95" customHeight="1" thickBot="1" x14ac:dyDescent="0.3">
      <c r="A34" s="44" t="s">
        <v>1019</v>
      </c>
      <c r="B34" s="185">
        <v>1</v>
      </c>
      <c r="C34" s="365">
        <v>0</v>
      </c>
      <c r="D34" s="258">
        <v>0</v>
      </c>
      <c r="E34" s="61">
        <f t="shared" si="0"/>
        <v>1</v>
      </c>
      <c r="F34" s="75" t="s">
        <v>1019</v>
      </c>
      <c r="G34" s="183">
        <v>5</v>
      </c>
      <c r="H34" s="367">
        <v>0</v>
      </c>
      <c r="I34" s="259">
        <v>0</v>
      </c>
      <c r="J34" s="77">
        <f t="shared" si="1"/>
        <v>5</v>
      </c>
      <c r="K34" s="51" t="s">
        <v>36</v>
      </c>
      <c r="L34" s="14" t="s">
        <v>21</v>
      </c>
      <c r="M34" s="14" t="s">
        <v>21</v>
      </c>
      <c r="N34" s="150" t="s">
        <v>21</v>
      </c>
      <c r="O34" s="7" t="s">
        <v>21</v>
      </c>
      <c r="P34" s="7" t="s">
        <v>21</v>
      </c>
      <c r="Q34" s="156" t="s">
        <v>21</v>
      </c>
      <c r="R34" s="7" t="s">
        <v>21</v>
      </c>
      <c r="S34" s="7" t="s">
        <v>21</v>
      </c>
      <c r="T34" s="156" t="s">
        <v>21</v>
      </c>
      <c r="U34" s="80" t="s">
        <v>21</v>
      </c>
      <c r="V34" s="80" t="s">
        <v>21</v>
      </c>
      <c r="W34" s="179" t="s">
        <v>21</v>
      </c>
      <c r="AC34" s="151" t="s">
        <v>21</v>
      </c>
      <c r="AD34" s="7" t="s">
        <v>21</v>
      </c>
      <c r="AE34" s="156" t="s">
        <v>21</v>
      </c>
      <c r="AF34" s="151" t="s">
        <v>21</v>
      </c>
      <c r="AG34" s="7" t="s">
        <v>21</v>
      </c>
      <c r="AH34" s="156" t="s">
        <v>21</v>
      </c>
      <c r="AI34" s="6" t="s">
        <v>21</v>
      </c>
      <c r="AJ34" s="7" t="s">
        <v>21</v>
      </c>
      <c r="AK34" s="7" t="s">
        <v>21</v>
      </c>
      <c r="AL34" s="6" t="s">
        <v>21</v>
      </c>
      <c r="AM34" s="7" t="s">
        <v>21</v>
      </c>
      <c r="AN34" s="7" t="s">
        <v>21</v>
      </c>
      <c r="AO34" s="7" t="s">
        <v>21</v>
      </c>
      <c r="AP34" s="7" t="s">
        <v>21</v>
      </c>
      <c r="AQ34" s="7" t="s">
        <v>21</v>
      </c>
      <c r="AR34" s="7" t="s">
        <v>21</v>
      </c>
      <c r="AS34" s="7" t="s">
        <v>21</v>
      </c>
      <c r="AT34" s="7" t="s">
        <v>21</v>
      </c>
      <c r="AU34" s="7" t="s">
        <v>21</v>
      </c>
      <c r="AV34" s="7" t="s">
        <v>21</v>
      </c>
      <c r="AW34" s="7" t="s">
        <v>21</v>
      </c>
    </row>
    <row r="35" spans="1:49" ht="14.95" customHeight="1" thickBot="1" x14ac:dyDescent="0.3">
      <c r="A35" s="44" t="s">
        <v>39</v>
      </c>
      <c r="B35" s="185">
        <v>5</v>
      </c>
      <c r="C35" s="365">
        <v>0</v>
      </c>
      <c r="D35" s="258">
        <v>0</v>
      </c>
      <c r="E35" s="61">
        <f t="shared" si="0"/>
        <v>5</v>
      </c>
      <c r="F35" s="75" t="s">
        <v>39</v>
      </c>
      <c r="G35" s="183">
        <v>25</v>
      </c>
      <c r="H35" s="367">
        <v>0</v>
      </c>
      <c r="I35" s="259">
        <v>0</v>
      </c>
      <c r="J35" s="77">
        <f t="shared" si="1"/>
        <v>25</v>
      </c>
      <c r="AC35" t="s">
        <v>30</v>
      </c>
    </row>
    <row r="36" spans="1:49" ht="14.95" customHeight="1" thickBot="1" x14ac:dyDescent="0.3">
      <c r="A36" s="44" t="s">
        <v>993</v>
      </c>
      <c r="B36" s="185">
        <v>2</v>
      </c>
      <c r="C36" s="365">
        <v>2</v>
      </c>
      <c r="D36" s="258">
        <v>0</v>
      </c>
      <c r="E36" s="61">
        <f t="shared" si="0"/>
        <v>4</v>
      </c>
      <c r="F36" s="75" t="s">
        <v>993</v>
      </c>
      <c r="G36" s="183">
        <v>10</v>
      </c>
      <c r="H36" s="367">
        <v>10</v>
      </c>
      <c r="I36" s="259">
        <v>0</v>
      </c>
      <c r="J36" s="77">
        <f t="shared" si="1"/>
        <v>20</v>
      </c>
      <c r="K36" s="463" t="s">
        <v>116</v>
      </c>
      <c r="L36" s="436" t="s">
        <v>20</v>
      </c>
      <c r="M36" s="437"/>
      <c r="N36" s="438"/>
      <c r="O36" s="422" t="s">
        <v>365</v>
      </c>
      <c r="P36" s="423"/>
      <c r="Q36" s="424"/>
      <c r="R36" s="422" t="s">
        <v>854</v>
      </c>
      <c r="S36" s="423"/>
      <c r="T36" s="424"/>
      <c r="U36" s="422" t="s">
        <v>518</v>
      </c>
      <c r="V36" s="423"/>
      <c r="W36" s="424"/>
      <c r="AC36" s="422" t="s">
        <v>356</v>
      </c>
      <c r="AD36" s="423"/>
      <c r="AE36" s="424"/>
      <c r="AF36" s="422" t="s">
        <v>272</v>
      </c>
      <c r="AG36" s="423"/>
      <c r="AH36" s="424"/>
      <c r="AI36" s="422" t="s">
        <v>115</v>
      </c>
      <c r="AJ36" s="423"/>
      <c r="AK36" s="424"/>
      <c r="AL36" s="422" t="s">
        <v>78</v>
      </c>
      <c r="AM36" s="423"/>
      <c r="AN36" s="424"/>
      <c r="AO36" s="422" t="s">
        <v>60</v>
      </c>
      <c r="AP36" s="423"/>
      <c r="AQ36" s="424"/>
    </row>
    <row r="37" spans="1:49" ht="14.95" customHeight="1" thickBot="1" x14ac:dyDescent="0.3">
      <c r="A37" s="44" t="s">
        <v>630</v>
      </c>
      <c r="B37" s="185">
        <v>0</v>
      </c>
      <c r="C37" s="365">
        <v>0</v>
      </c>
      <c r="D37" s="258">
        <v>0</v>
      </c>
      <c r="E37" s="61">
        <f t="shared" si="0"/>
        <v>0</v>
      </c>
      <c r="F37" s="75" t="s">
        <v>630</v>
      </c>
      <c r="G37" s="183">
        <v>0</v>
      </c>
      <c r="H37" s="367">
        <v>0</v>
      </c>
      <c r="I37" s="259">
        <v>0</v>
      </c>
      <c r="J37" s="77">
        <f t="shared" si="1"/>
        <v>0</v>
      </c>
      <c r="K37" s="464"/>
      <c r="L37" s="439"/>
      <c r="M37" s="440"/>
      <c r="N37" s="441"/>
      <c r="O37" s="425"/>
      <c r="P37" s="426"/>
      <c r="Q37" s="427"/>
      <c r="R37" s="425"/>
      <c r="S37" s="426"/>
      <c r="T37" s="427"/>
      <c r="U37" s="425"/>
      <c r="V37" s="426"/>
      <c r="W37" s="427"/>
      <c r="AC37" s="425"/>
      <c r="AD37" s="426"/>
      <c r="AE37" s="427"/>
      <c r="AF37" s="425"/>
      <c r="AG37" s="426"/>
      <c r="AH37" s="427"/>
      <c r="AI37" s="425"/>
      <c r="AJ37" s="426"/>
      <c r="AK37" s="427"/>
      <c r="AL37" s="425"/>
      <c r="AM37" s="426"/>
      <c r="AN37" s="427"/>
      <c r="AO37" s="425"/>
      <c r="AP37" s="426"/>
      <c r="AQ37" s="427"/>
    </row>
    <row r="38" spans="1:49" ht="14.95" customHeight="1" thickBot="1" x14ac:dyDescent="0.3">
      <c r="A38" s="44" t="s">
        <v>210</v>
      </c>
      <c r="B38" s="185">
        <v>0</v>
      </c>
      <c r="C38" s="365">
        <v>0</v>
      </c>
      <c r="D38" s="258">
        <v>0</v>
      </c>
      <c r="E38" s="61">
        <f t="shared" si="0"/>
        <v>0</v>
      </c>
      <c r="F38" s="75" t="s">
        <v>210</v>
      </c>
      <c r="G38" s="183">
        <v>0</v>
      </c>
      <c r="H38" s="367">
        <v>0</v>
      </c>
      <c r="I38" s="259">
        <v>0</v>
      </c>
      <c r="J38" s="77">
        <f t="shared" si="1"/>
        <v>0</v>
      </c>
      <c r="K38" s="236" t="s">
        <v>30</v>
      </c>
      <c r="L38" s="161" t="s">
        <v>74</v>
      </c>
      <c r="M38" s="3" t="s">
        <v>15</v>
      </c>
      <c r="N38" s="3" t="s">
        <v>16</v>
      </c>
      <c r="O38" s="151" t="s">
        <v>74</v>
      </c>
      <c r="P38" s="7" t="s">
        <v>15</v>
      </c>
      <c r="Q38" s="7" t="s">
        <v>16</v>
      </c>
      <c r="R38" s="151" t="s">
        <v>74</v>
      </c>
      <c r="S38" s="7" t="s">
        <v>15</v>
      </c>
      <c r="T38" s="7" t="s">
        <v>16</v>
      </c>
      <c r="U38" s="151" t="s">
        <v>74</v>
      </c>
      <c r="V38" s="7" t="s">
        <v>15</v>
      </c>
      <c r="W38" s="7" t="s">
        <v>16</v>
      </c>
      <c r="AC38" s="151" t="s">
        <v>74</v>
      </c>
      <c r="AD38" s="7" t="s">
        <v>15</v>
      </c>
      <c r="AE38" s="7" t="s">
        <v>16</v>
      </c>
      <c r="AF38" s="6" t="s">
        <v>74</v>
      </c>
      <c r="AG38" s="7" t="s">
        <v>15</v>
      </c>
      <c r="AH38" s="7" t="s">
        <v>16</v>
      </c>
      <c r="AI38" s="151" t="s">
        <v>74</v>
      </c>
      <c r="AJ38" s="7" t="s">
        <v>15</v>
      </c>
      <c r="AK38" s="7" t="s">
        <v>16</v>
      </c>
      <c r="AL38" s="151" t="s">
        <v>74</v>
      </c>
      <c r="AM38" s="7" t="s">
        <v>15</v>
      </c>
      <c r="AN38" s="7" t="s">
        <v>16</v>
      </c>
      <c r="AO38" s="151" t="s">
        <v>74</v>
      </c>
      <c r="AP38" s="7" t="s">
        <v>15</v>
      </c>
      <c r="AQ38" s="7" t="s">
        <v>16</v>
      </c>
    </row>
    <row r="39" spans="1:49" ht="14.95" customHeight="1" thickBot="1" x14ac:dyDescent="0.3">
      <c r="A39" s="44" t="s">
        <v>36</v>
      </c>
      <c r="B39" s="185">
        <v>1</v>
      </c>
      <c r="C39" s="365">
        <v>0</v>
      </c>
      <c r="D39" s="258">
        <v>3</v>
      </c>
      <c r="E39" s="61">
        <f t="shared" si="0"/>
        <v>4</v>
      </c>
      <c r="F39" s="75" t="s">
        <v>36</v>
      </c>
      <c r="G39" s="183">
        <v>5</v>
      </c>
      <c r="H39" s="367">
        <v>0</v>
      </c>
      <c r="I39" s="259">
        <v>15</v>
      </c>
      <c r="J39" s="77">
        <f t="shared" si="1"/>
        <v>20</v>
      </c>
      <c r="K39" s="51" t="s">
        <v>977</v>
      </c>
      <c r="L39" s="61">
        <v>7</v>
      </c>
      <c r="M39" s="61">
        <v>13</v>
      </c>
      <c r="N39" s="25">
        <f t="shared" ref="N39:N41" si="28">SUM(L39/M39)*100</f>
        <v>53.846153846153847</v>
      </c>
      <c r="O39" s="7">
        <v>5</v>
      </c>
      <c r="P39" s="7">
        <v>7</v>
      </c>
      <c r="Q39" s="156">
        <v>71.428571428571431</v>
      </c>
      <c r="R39" s="7">
        <v>1</v>
      </c>
      <c r="S39" s="7">
        <v>1</v>
      </c>
      <c r="T39" s="156">
        <f>SUM(R39/S39)*100</f>
        <v>100</v>
      </c>
      <c r="U39" s="151" t="s">
        <v>21</v>
      </c>
      <c r="V39" s="7" t="s">
        <v>21</v>
      </c>
      <c r="W39" s="7" t="s">
        <v>21</v>
      </c>
      <c r="AC39" s="151"/>
      <c r="AD39" s="7"/>
      <c r="AE39" s="7"/>
      <c r="AF39" s="6"/>
      <c r="AG39" s="7"/>
      <c r="AH39" s="7"/>
      <c r="AI39" s="151"/>
      <c r="AJ39" s="7"/>
      <c r="AK39" s="7"/>
      <c r="AL39" s="151"/>
      <c r="AM39" s="7"/>
      <c r="AN39" s="7"/>
      <c r="AO39" s="151"/>
      <c r="AP39" s="7"/>
      <c r="AQ39" s="7"/>
    </row>
    <row r="40" spans="1:49" ht="14.95" customHeight="1" thickBot="1" x14ac:dyDescent="0.3">
      <c r="A40" s="44" t="s">
        <v>381</v>
      </c>
      <c r="B40" s="185">
        <v>0</v>
      </c>
      <c r="C40" s="365">
        <v>0</v>
      </c>
      <c r="D40" s="258">
        <v>0</v>
      </c>
      <c r="E40" s="61">
        <f t="shared" si="0"/>
        <v>0</v>
      </c>
      <c r="F40" s="75" t="s">
        <v>381</v>
      </c>
      <c r="G40" s="183">
        <v>0</v>
      </c>
      <c r="H40" s="367">
        <v>0</v>
      </c>
      <c r="I40" s="259">
        <v>0</v>
      </c>
      <c r="J40" s="77">
        <f t="shared" si="1"/>
        <v>0</v>
      </c>
      <c r="K40" s="99" t="s">
        <v>4</v>
      </c>
      <c r="L40" s="244">
        <v>5</v>
      </c>
      <c r="M40" s="61">
        <v>7</v>
      </c>
      <c r="N40" s="25">
        <f t="shared" si="28"/>
        <v>71.428571428571431</v>
      </c>
      <c r="O40" s="151" t="s">
        <v>21</v>
      </c>
      <c r="P40" s="7" t="s">
        <v>21</v>
      </c>
      <c r="Q40" s="156" t="s">
        <v>21</v>
      </c>
      <c r="R40" s="151">
        <v>14</v>
      </c>
      <c r="S40" s="7">
        <v>17</v>
      </c>
      <c r="T40" s="156">
        <f t="shared" ref="T40:T41" si="29">(R40/S40)*100</f>
        <v>82.35294117647058</v>
      </c>
      <c r="U40" s="151">
        <v>6</v>
      </c>
      <c r="V40" s="7">
        <v>11</v>
      </c>
      <c r="W40" s="156">
        <f>(U40/V40)*100</f>
        <v>54.54545454545454</v>
      </c>
      <c r="AC40" s="151">
        <v>2</v>
      </c>
      <c r="AD40" s="7">
        <v>4</v>
      </c>
      <c r="AE40" s="156">
        <f>SUM(AC40/AD40)*100</f>
        <v>50</v>
      </c>
      <c r="AF40" s="6">
        <v>4</v>
      </c>
      <c r="AG40" s="7">
        <v>6</v>
      </c>
      <c r="AH40" s="156">
        <f>SUM(AF40/AG40)*100</f>
        <v>66.666666666666657</v>
      </c>
      <c r="AI40" s="151">
        <v>7</v>
      </c>
      <c r="AJ40" s="7">
        <v>13</v>
      </c>
      <c r="AK40" s="156">
        <f>SUM(AI40/AJ40)*100</f>
        <v>53.846153846153847</v>
      </c>
      <c r="AL40" s="151" t="s">
        <v>21</v>
      </c>
      <c r="AM40" s="7" t="s">
        <v>21</v>
      </c>
      <c r="AN40" s="7" t="s">
        <v>21</v>
      </c>
      <c r="AO40" s="151" t="s">
        <v>21</v>
      </c>
      <c r="AP40" s="7" t="s">
        <v>21</v>
      </c>
      <c r="AQ40" s="7" t="s">
        <v>21</v>
      </c>
    </row>
    <row r="41" spans="1:49" ht="14.95" customHeight="1" thickBot="1" x14ac:dyDescent="0.3">
      <c r="A41" s="44" t="s">
        <v>438</v>
      </c>
      <c r="B41" s="185">
        <v>0</v>
      </c>
      <c r="C41" s="365">
        <v>0</v>
      </c>
      <c r="D41" s="258">
        <v>0</v>
      </c>
      <c r="E41" s="61">
        <f t="shared" si="0"/>
        <v>0</v>
      </c>
      <c r="F41" s="75" t="s">
        <v>438</v>
      </c>
      <c r="G41" s="183">
        <v>0</v>
      </c>
      <c r="H41" s="367">
        <v>0</v>
      </c>
      <c r="I41" s="259">
        <v>0</v>
      </c>
      <c r="J41" s="77">
        <f t="shared" si="1"/>
        <v>0</v>
      </c>
      <c r="K41" s="99" t="s">
        <v>278</v>
      </c>
      <c r="L41" s="244">
        <v>19</v>
      </c>
      <c r="M41" s="61">
        <v>31</v>
      </c>
      <c r="N41" s="25">
        <f t="shared" si="28"/>
        <v>61.29032258064516</v>
      </c>
      <c r="O41" s="151">
        <v>19</v>
      </c>
      <c r="P41" s="7">
        <v>23</v>
      </c>
      <c r="Q41" s="156">
        <v>82.608695652173907</v>
      </c>
      <c r="R41" s="151">
        <v>13</v>
      </c>
      <c r="S41" s="7">
        <v>15</v>
      </c>
      <c r="T41" s="156">
        <f t="shared" si="29"/>
        <v>86.666666666666671</v>
      </c>
      <c r="U41" s="151">
        <v>1</v>
      </c>
      <c r="V41" s="7">
        <v>1</v>
      </c>
      <c r="W41" s="156">
        <f>(U41/V41)*100</f>
        <v>100</v>
      </c>
      <c r="AC41" s="85" t="s">
        <v>21</v>
      </c>
      <c r="AD41" s="80" t="s">
        <v>21</v>
      </c>
      <c r="AE41" s="179" t="s">
        <v>21</v>
      </c>
      <c r="AF41" s="85" t="s">
        <v>21</v>
      </c>
      <c r="AG41" s="80" t="s">
        <v>21</v>
      </c>
      <c r="AH41" s="179" t="s">
        <v>21</v>
      </c>
      <c r="AI41" s="85" t="s">
        <v>21</v>
      </c>
      <c r="AJ41" s="80" t="s">
        <v>21</v>
      </c>
      <c r="AK41" s="179" t="s">
        <v>21</v>
      </c>
      <c r="AL41" s="85" t="s">
        <v>21</v>
      </c>
      <c r="AM41" s="80" t="s">
        <v>21</v>
      </c>
      <c r="AN41" s="179" t="s">
        <v>21</v>
      </c>
      <c r="AO41" s="6" t="s">
        <v>21</v>
      </c>
      <c r="AP41" s="7" t="s">
        <v>21</v>
      </c>
      <c r="AQ41" s="7" t="s">
        <v>21</v>
      </c>
    </row>
    <row r="42" spans="1:49" ht="14.95" customHeight="1" thickBot="1" x14ac:dyDescent="0.3">
      <c r="A42" s="44" t="s">
        <v>5</v>
      </c>
      <c r="B42" s="185">
        <v>1</v>
      </c>
      <c r="C42" s="365">
        <v>0</v>
      </c>
      <c r="D42" s="258">
        <v>1</v>
      </c>
      <c r="E42" s="61">
        <f t="shared" si="0"/>
        <v>2</v>
      </c>
      <c r="F42" s="75" t="s">
        <v>5</v>
      </c>
      <c r="G42" s="183">
        <v>7</v>
      </c>
      <c r="H42" s="367">
        <v>0</v>
      </c>
      <c r="I42" s="259">
        <v>7</v>
      </c>
      <c r="J42" s="77">
        <f t="shared" si="1"/>
        <v>14</v>
      </c>
      <c r="K42" s="99" t="s">
        <v>245</v>
      </c>
      <c r="L42" s="244" t="s">
        <v>21</v>
      </c>
      <c r="M42" s="61" t="s">
        <v>21</v>
      </c>
      <c r="N42" s="25" t="s">
        <v>21</v>
      </c>
      <c r="O42" s="151" t="s">
        <v>21</v>
      </c>
      <c r="P42" s="7" t="s">
        <v>21</v>
      </c>
      <c r="Q42" s="156" t="s">
        <v>21</v>
      </c>
      <c r="R42" s="151" t="s">
        <v>21</v>
      </c>
      <c r="S42" s="7" t="s">
        <v>21</v>
      </c>
      <c r="T42" s="156" t="s">
        <v>21</v>
      </c>
      <c r="U42" s="151" t="s">
        <v>21</v>
      </c>
      <c r="V42" s="7" t="s">
        <v>21</v>
      </c>
      <c r="W42" s="156" t="s">
        <v>21</v>
      </c>
      <c r="AC42" s="151">
        <v>1</v>
      </c>
      <c r="AD42" s="7">
        <v>1</v>
      </c>
      <c r="AE42" s="156">
        <f>SUM(AC42/AD42)*100</f>
        <v>100</v>
      </c>
      <c r="AF42" s="6" t="s">
        <v>21</v>
      </c>
      <c r="AG42" s="7" t="s">
        <v>21</v>
      </c>
      <c r="AH42" s="7" t="s">
        <v>21</v>
      </c>
      <c r="AI42" s="151" t="s">
        <v>21</v>
      </c>
      <c r="AJ42" s="7" t="s">
        <v>21</v>
      </c>
      <c r="AK42" s="7" t="s">
        <v>21</v>
      </c>
      <c r="AL42" s="151" t="s">
        <v>21</v>
      </c>
      <c r="AM42" s="7" t="s">
        <v>21</v>
      </c>
      <c r="AN42" s="7" t="s">
        <v>21</v>
      </c>
      <c r="AO42" s="151" t="s">
        <v>21</v>
      </c>
      <c r="AP42" s="7" t="s">
        <v>21</v>
      </c>
      <c r="AQ42" s="7" t="s">
        <v>21</v>
      </c>
    </row>
    <row r="43" spans="1:49" ht="14.95" customHeight="1" thickBot="1" x14ac:dyDescent="0.3">
      <c r="A43" s="44" t="s">
        <v>91</v>
      </c>
      <c r="B43" s="185">
        <v>0</v>
      </c>
      <c r="C43" s="365">
        <v>0</v>
      </c>
      <c r="D43" s="258">
        <v>0</v>
      </c>
      <c r="E43" s="61">
        <f t="shared" si="0"/>
        <v>0</v>
      </c>
      <c r="F43" s="75" t="s">
        <v>91</v>
      </c>
      <c r="G43" s="183">
        <v>0</v>
      </c>
      <c r="H43" s="367">
        <v>0</v>
      </c>
      <c r="I43" s="259">
        <v>0</v>
      </c>
      <c r="J43" s="77">
        <f t="shared" si="1"/>
        <v>0</v>
      </c>
      <c r="K43" s="51" t="s">
        <v>600</v>
      </c>
      <c r="L43" s="244">
        <v>1</v>
      </c>
      <c r="M43" s="61">
        <v>2</v>
      </c>
      <c r="N43" s="25">
        <f t="shared" ref="N43" si="30">SUM(L43/M43)*100</f>
        <v>50</v>
      </c>
      <c r="O43" s="151" t="s">
        <v>21</v>
      </c>
      <c r="P43" s="7" t="s">
        <v>21</v>
      </c>
      <c r="Q43" s="156" t="s">
        <v>21</v>
      </c>
      <c r="R43" s="151" t="s">
        <v>21</v>
      </c>
      <c r="S43" s="7" t="s">
        <v>21</v>
      </c>
      <c r="T43" s="156" t="s">
        <v>21</v>
      </c>
      <c r="U43" s="151" t="s">
        <v>21</v>
      </c>
      <c r="V43" s="7" t="s">
        <v>21</v>
      </c>
      <c r="W43" s="156" t="s">
        <v>21</v>
      </c>
      <c r="AC43" s="151" t="s">
        <v>21</v>
      </c>
      <c r="AD43" s="7" t="s">
        <v>21</v>
      </c>
      <c r="AE43" s="156" t="s">
        <v>21</v>
      </c>
      <c r="AF43" s="6" t="s">
        <v>21</v>
      </c>
      <c r="AG43" s="7" t="s">
        <v>21</v>
      </c>
      <c r="AH43" s="7" t="s">
        <v>21</v>
      </c>
      <c r="AI43" s="151">
        <v>4</v>
      </c>
      <c r="AJ43" s="7">
        <v>8</v>
      </c>
      <c r="AK43" s="7">
        <v>50</v>
      </c>
      <c r="AL43" s="151" t="s">
        <v>21</v>
      </c>
      <c r="AM43" s="7" t="s">
        <v>21</v>
      </c>
      <c r="AN43" s="7" t="s">
        <v>21</v>
      </c>
      <c r="AO43" s="151" t="s">
        <v>21</v>
      </c>
      <c r="AP43" s="7" t="s">
        <v>21</v>
      </c>
      <c r="AQ43" s="7" t="s">
        <v>21</v>
      </c>
    </row>
    <row r="44" spans="1:49" ht="14.95" customHeight="1" thickBot="1" x14ac:dyDescent="0.3">
      <c r="A44" s="44" t="s">
        <v>277</v>
      </c>
      <c r="B44" s="185">
        <v>3</v>
      </c>
      <c r="C44" s="365">
        <v>1</v>
      </c>
      <c r="D44" s="258">
        <v>0</v>
      </c>
      <c r="E44" s="61">
        <f t="shared" si="0"/>
        <v>4</v>
      </c>
      <c r="F44" s="75" t="s">
        <v>277</v>
      </c>
      <c r="G44" s="183">
        <v>15</v>
      </c>
      <c r="H44" s="367">
        <v>5</v>
      </c>
      <c r="I44" s="259">
        <v>0</v>
      </c>
      <c r="J44" s="77">
        <f t="shared" si="1"/>
        <v>20</v>
      </c>
      <c r="K44" s="483" t="s">
        <v>601</v>
      </c>
      <c r="L44" s="490"/>
      <c r="M44" s="490"/>
      <c r="N44" s="490"/>
      <c r="O44" s="490"/>
      <c r="P44" s="490"/>
      <c r="Q44" s="490"/>
      <c r="R44" s="490"/>
      <c r="S44" s="490"/>
      <c r="T44" s="490"/>
      <c r="U44" s="490"/>
      <c r="V44" s="490"/>
      <c r="W44" s="490"/>
    </row>
    <row r="45" spans="1:49" ht="14.95" thickBot="1" x14ac:dyDescent="0.3">
      <c r="A45" s="44" t="s">
        <v>632</v>
      </c>
      <c r="B45" s="185">
        <v>0</v>
      </c>
      <c r="C45" s="365">
        <v>0</v>
      </c>
      <c r="D45" s="258">
        <v>1</v>
      </c>
      <c r="E45" s="61">
        <f t="shared" si="0"/>
        <v>1</v>
      </c>
      <c r="F45" s="75" t="s">
        <v>632</v>
      </c>
      <c r="G45" s="183">
        <v>0</v>
      </c>
      <c r="H45" s="367">
        <v>0</v>
      </c>
      <c r="I45" s="259">
        <v>5</v>
      </c>
      <c r="J45" s="77">
        <f t="shared" si="1"/>
        <v>5</v>
      </c>
      <c r="K45" s="451" t="s">
        <v>978</v>
      </c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</row>
    <row r="46" spans="1:49" ht="14.95" thickBot="1" x14ac:dyDescent="0.3">
      <c r="A46" s="44" t="s">
        <v>85</v>
      </c>
      <c r="B46" s="185">
        <v>0</v>
      </c>
      <c r="C46" s="365">
        <v>0</v>
      </c>
      <c r="D46" s="258">
        <v>0</v>
      </c>
      <c r="E46" s="61">
        <f t="shared" si="0"/>
        <v>0</v>
      </c>
      <c r="F46" s="75" t="s">
        <v>85</v>
      </c>
      <c r="G46" s="183">
        <v>0</v>
      </c>
      <c r="H46" s="367">
        <v>0</v>
      </c>
      <c r="I46" s="259">
        <v>0</v>
      </c>
      <c r="J46" s="77">
        <f t="shared" si="1"/>
        <v>0</v>
      </c>
      <c r="K46" s="451" t="s">
        <v>1033</v>
      </c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</row>
    <row r="47" spans="1:49" ht="14.95" customHeight="1" thickBot="1" x14ac:dyDescent="0.3">
      <c r="A47" s="44" t="s">
        <v>473</v>
      </c>
      <c r="B47" s="185">
        <v>0</v>
      </c>
      <c r="C47" s="365">
        <v>3</v>
      </c>
      <c r="D47" s="258">
        <v>1</v>
      </c>
      <c r="E47" s="61">
        <f t="shared" si="0"/>
        <v>4</v>
      </c>
      <c r="F47" s="75" t="s">
        <v>473</v>
      </c>
      <c r="G47" s="183">
        <v>2</v>
      </c>
      <c r="H47" s="367">
        <v>15</v>
      </c>
      <c r="I47" s="259">
        <v>5</v>
      </c>
      <c r="J47" s="77">
        <f t="shared" si="1"/>
        <v>22</v>
      </c>
    </row>
    <row r="48" spans="1:49" ht="14.95" customHeight="1" thickBot="1" x14ac:dyDescent="0.3">
      <c r="A48" s="44" t="s">
        <v>341</v>
      </c>
      <c r="B48" s="185">
        <v>0</v>
      </c>
      <c r="C48" s="365">
        <v>0</v>
      </c>
      <c r="D48" s="258">
        <v>0</v>
      </c>
      <c r="E48" s="61">
        <f t="shared" si="0"/>
        <v>0</v>
      </c>
      <c r="F48" s="75" t="s">
        <v>341</v>
      </c>
      <c r="G48" s="183">
        <v>0</v>
      </c>
      <c r="H48" s="367">
        <v>0</v>
      </c>
      <c r="I48" s="259">
        <v>0</v>
      </c>
      <c r="J48" s="77">
        <f t="shared" si="1"/>
        <v>0</v>
      </c>
    </row>
    <row r="49" spans="1:10" ht="14.95" customHeight="1" thickBot="1" x14ac:dyDescent="0.3">
      <c r="A49" s="44" t="s">
        <v>82</v>
      </c>
      <c r="B49" s="185">
        <v>0</v>
      </c>
      <c r="C49" s="365">
        <v>0</v>
      </c>
      <c r="D49" s="258">
        <v>0</v>
      </c>
      <c r="E49" s="61">
        <f t="shared" si="0"/>
        <v>0</v>
      </c>
      <c r="F49" s="75" t="s">
        <v>82</v>
      </c>
      <c r="G49" s="183">
        <v>0</v>
      </c>
      <c r="H49" s="367">
        <v>0</v>
      </c>
      <c r="I49" s="259">
        <v>0</v>
      </c>
      <c r="J49" s="77">
        <f t="shared" si="1"/>
        <v>0</v>
      </c>
    </row>
    <row r="50" spans="1:10" ht="14.95" customHeight="1" thickBot="1" x14ac:dyDescent="0.3">
      <c r="A50" s="44" t="s">
        <v>605</v>
      </c>
      <c r="B50" s="185">
        <v>1</v>
      </c>
      <c r="C50" s="365">
        <v>0</v>
      </c>
      <c r="D50" s="258">
        <v>0</v>
      </c>
      <c r="E50" s="61">
        <f t="shared" si="0"/>
        <v>1</v>
      </c>
      <c r="F50" s="75" t="s">
        <v>605</v>
      </c>
      <c r="G50" s="183">
        <v>5</v>
      </c>
      <c r="H50" s="367">
        <v>0</v>
      </c>
      <c r="I50" s="259">
        <v>0</v>
      </c>
      <c r="J50" s="77">
        <f t="shared" si="1"/>
        <v>5</v>
      </c>
    </row>
    <row r="51" spans="1:10" ht="14.95" customHeight="1" thickBot="1" x14ac:dyDescent="0.3">
      <c r="A51" s="44" t="s">
        <v>77</v>
      </c>
      <c r="B51" s="185">
        <v>3</v>
      </c>
      <c r="C51" s="365">
        <v>1</v>
      </c>
      <c r="D51" s="258">
        <v>1</v>
      </c>
      <c r="E51" s="61">
        <f t="shared" si="0"/>
        <v>5</v>
      </c>
      <c r="F51" s="75" t="s">
        <v>77</v>
      </c>
      <c r="G51" s="183">
        <v>15</v>
      </c>
      <c r="H51" s="367">
        <v>5</v>
      </c>
      <c r="I51" s="259">
        <v>5</v>
      </c>
      <c r="J51" s="77">
        <f t="shared" si="1"/>
        <v>25</v>
      </c>
    </row>
    <row r="52" spans="1:10" ht="14.95" thickBot="1" x14ac:dyDescent="0.3">
      <c r="A52" s="44" t="s">
        <v>276</v>
      </c>
      <c r="B52" s="185">
        <v>0</v>
      </c>
      <c r="C52" s="365">
        <v>2</v>
      </c>
      <c r="D52" s="258">
        <v>0</v>
      </c>
      <c r="E52" s="61">
        <f t="shared" si="0"/>
        <v>2</v>
      </c>
      <c r="F52" s="75" t="s">
        <v>276</v>
      </c>
      <c r="G52" s="183">
        <v>0</v>
      </c>
      <c r="H52" s="367">
        <v>10</v>
      </c>
      <c r="I52" s="259">
        <v>0</v>
      </c>
      <c r="J52" s="77">
        <f t="shared" si="1"/>
        <v>10</v>
      </c>
    </row>
    <row r="53" spans="1:10" ht="14.95" thickBot="1" x14ac:dyDescent="0.3">
      <c r="A53" s="44" t="s">
        <v>326</v>
      </c>
      <c r="B53" s="185">
        <v>1</v>
      </c>
      <c r="C53" s="365">
        <v>0</v>
      </c>
      <c r="D53" s="258">
        <v>0</v>
      </c>
      <c r="E53" s="61">
        <f t="shared" si="0"/>
        <v>1</v>
      </c>
      <c r="F53" s="75" t="s">
        <v>326</v>
      </c>
      <c r="G53" s="183">
        <v>7</v>
      </c>
      <c r="H53" s="367">
        <v>0</v>
      </c>
      <c r="I53" s="259">
        <v>0</v>
      </c>
      <c r="J53" s="77">
        <f t="shared" si="1"/>
        <v>7</v>
      </c>
    </row>
    <row r="54" spans="1:10" ht="14.95" thickBot="1" x14ac:dyDescent="0.3">
      <c r="A54" s="44" t="s">
        <v>28</v>
      </c>
      <c r="B54" s="185">
        <v>0</v>
      </c>
      <c r="C54" s="365">
        <v>0</v>
      </c>
      <c r="D54" s="258">
        <v>0</v>
      </c>
      <c r="E54" s="61">
        <f t="shared" si="0"/>
        <v>0</v>
      </c>
      <c r="F54" s="75" t="s">
        <v>28</v>
      </c>
      <c r="G54" s="183">
        <v>0</v>
      </c>
      <c r="H54" s="367">
        <v>0</v>
      </c>
      <c r="I54" s="259">
        <v>0</v>
      </c>
      <c r="J54" s="77">
        <f t="shared" si="1"/>
        <v>0</v>
      </c>
    </row>
    <row r="55" spans="1:10" ht="14.95" customHeight="1" thickBot="1" x14ac:dyDescent="0.3">
      <c r="A55" s="44" t="s">
        <v>3</v>
      </c>
      <c r="B55" s="185">
        <f>SUM(B3:B54)</f>
        <v>54</v>
      </c>
      <c r="C55" s="365">
        <f>SUM(C3:C54)</f>
        <v>21</v>
      </c>
      <c r="D55" s="258">
        <f>SUM(D3:D54)</f>
        <v>30</v>
      </c>
      <c r="E55" s="61">
        <f t="shared" si="0"/>
        <v>105</v>
      </c>
      <c r="F55" s="75" t="s">
        <v>3</v>
      </c>
      <c r="G55" s="183">
        <f>SUM(G3:G54)</f>
        <v>400</v>
      </c>
      <c r="H55" s="367">
        <f>SUM(H3:H54)</f>
        <v>211</v>
      </c>
      <c r="I55" s="259">
        <f>SUM(I3:I54)</f>
        <v>211</v>
      </c>
      <c r="J55" s="77">
        <f t="shared" si="1"/>
        <v>822</v>
      </c>
    </row>
    <row r="56" spans="1:10" ht="14.8" customHeight="1" x14ac:dyDescent="0.25">
      <c r="A56" s="444"/>
      <c r="B56" s="445"/>
      <c r="C56" s="445"/>
      <c r="D56" s="445"/>
      <c r="E56" s="445"/>
      <c r="F56" s="445"/>
      <c r="G56" s="445"/>
      <c r="H56" s="445"/>
      <c r="I56" s="34"/>
      <c r="J56" s="34"/>
    </row>
    <row r="57" spans="1:10" ht="14.45" customHeight="1" thickBot="1" x14ac:dyDescent="0.3">
      <c r="A57" t="s">
        <v>18</v>
      </c>
      <c r="B57" s="135"/>
      <c r="C57" s="73"/>
      <c r="D57" s="73"/>
      <c r="E57" s="47"/>
      <c r="F57" s="34"/>
      <c r="G57" s="136"/>
      <c r="H57" s="34"/>
      <c r="I57" s="331"/>
      <c r="J57" s="331"/>
    </row>
    <row r="58" spans="1:10" ht="14.95" thickBot="1" x14ac:dyDescent="0.3">
      <c r="A58" s="113" t="s">
        <v>0</v>
      </c>
      <c r="B58" s="184" t="s">
        <v>355</v>
      </c>
      <c r="C58" s="368" t="s">
        <v>43</v>
      </c>
      <c r="D58" s="256" t="s">
        <v>564</v>
      </c>
      <c r="E58" s="114" t="s">
        <v>1</v>
      </c>
      <c r="F58" s="115" t="s">
        <v>2</v>
      </c>
      <c r="G58" s="182" t="s">
        <v>355</v>
      </c>
      <c r="H58" s="366" t="s">
        <v>43</v>
      </c>
      <c r="I58" s="257" t="s">
        <v>564</v>
      </c>
      <c r="J58" s="107" t="s">
        <v>1</v>
      </c>
    </row>
    <row r="59" spans="1:10" ht="14.95" thickBot="1" x14ac:dyDescent="0.3">
      <c r="A59" s="44" t="s">
        <v>596</v>
      </c>
      <c r="B59" s="185">
        <v>2</v>
      </c>
      <c r="C59" s="365">
        <v>0</v>
      </c>
      <c r="D59" s="258">
        <v>8</v>
      </c>
      <c r="E59" s="61">
        <f t="shared" ref="E59:E100" si="31">SUM(B59:D59)</f>
        <v>10</v>
      </c>
      <c r="F59" s="75" t="s">
        <v>278</v>
      </c>
      <c r="G59" s="183">
        <v>49</v>
      </c>
      <c r="H59" s="367">
        <v>15</v>
      </c>
      <c r="I59" s="259">
        <v>46</v>
      </c>
      <c r="J59" s="77">
        <f t="shared" ref="J59:J90" si="32">SUM(G59:I59)</f>
        <v>110</v>
      </c>
    </row>
    <row r="60" spans="1:10" ht="14.95" thickBot="1" x14ac:dyDescent="0.3">
      <c r="A60" s="44" t="s">
        <v>646</v>
      </c>
      <c r="B60" s="185">
        <v>2</v>
      </c>
      <c r="C60" s="365">
        <v>2</v>
      </c>
      <c r="D60" s="258">
        <v>2</v>
      </c>
      <c r="E60" s="61">
        <f t="shared" si="31"/>
        <v>6</v>
      </c>
      <c r="F60" s="75" t="s">
        <v>459</v>
      </c>
      <c r="G60" s="183">
        <v>56</v>
      </c>
      <c r="H60" s="367">
        <v>51</v>
      </c>
      <c r="I60" s="259">
        <v>0</v>
      </c>
      <c r="J60" s="77">
        <f t="shared" si="32"/>
        <v>107</v>
      </c>
    </row>
    <row r="61" spans="1:10" ht="14.95" thickBot="1" x14ac:dyDescent="0.3">
      <c r="A61" s="44" t="s">
        <v>14</v>
      </c>
      <c r="B61" s="185">
        <v>3</v>
      </c>
      <c r="C61" s="365">
        <v>2</v>
      </c>
      <c r="D61" s="258">
        <v>0</v>
      </c>
      <c r="E61" s="61">
        <f t="shared" si="31"/>
        <v>5</v>
      </c>
      <c r="F61" s="75" t="s">
        <v>598</v>
      </c>
      <c r="G61" s="183">
        <v>23</v>
      </c>
      <c r="H61" s="367">
        <v>47</v>
      </c>
      <c r="I61" s="259">
        <v>2</v>
      </c>
      <c r="J61" s="77">
        <f t="shared" si="32"/>
        <v>72</v>
      </c>
    </row>
    <row r="62" spans="1:10" ht="14.95" thickBot="1" x14ac:dyDescent="0.3">
      <c r="A62" s="44" t="s">
        <v>39</v>
      </c>
      <c r="B62" s="185">
        <v>5</v>
      </c>
      <c r="C62" s="365">
        <v>0</v>
      </c>
      <c r="D62" s="258">
        <v>0</v>
      </c>
      <c r="E62" s="61">
        <f t="shared" si="31"/>
        <v>5</v>
      </c>
      <c r="F62" s="74" t="s">
        <v>596</v>
      </c>
      <c r="G62" s="183">
        <v>10</v>
      </c>
      <c r="H62" s="367">
        <v>0</v>
      </c>
      <c r="I62" s="259">
        <v>40</v>
      </c>
      <c r="J62" s="77">
        <f t="shared" si="32"/>
        <v>50</v>
      </c>
    </row>
    <row r="63" spans="1:10" ht="14.95" thickBot="1" x14ac:dyDescent="0.3">
      <c r="A63" s="44" t="s">
        <v>77</v>
      </c>
      <c r="B63" s="185">
        <v>3</v>
      </c>
      <c r="C63" s="365">
        <v>1</v>
      </c>
      <c r="D63" s="258">
        <v>1</v>
      </c>
      <c r="E63" s="61">
        <f t="shared" si="31"/>
        <v>5</v>
      </c>
      <c r="F63" s="74" t="s">
        <v>886</v>
      </c>
      <c r="G63" s="183">
        <v>25</v>
      </c>
      <c r="H63" s="367">
        <v>5</v>
      </c>
      <c r="I63" s="259">
        <v>10</v>
      </c>
      <c r="J63" s="77">
        <f t="shared" si="32"/>
        <v>40</v>
      </c>
    </row>
    <row r="64" spans="1:10" ht="14.95" thickBot="1" x14ac:dyDescent="0.3">
      <c r="A64" s="44" t="s">
        <v>90</v>
      </c>
      <c r="B64" s="185">
        <v>1</v>
      </c>
      <c r="C64" s="365">
        <v>3</v>
      </c>
      <c r="D64" s="258">
        <v>0</v>
      </c>
      <c r="E64" s="61">
        <f t="shared" si="31"/>
        <v>4</v>
      </c>
      <c r="F64" s="74" t="s">
        <v>646</v>
      </c>
      <c r="G64" s="183">
        <v>10</v>
      </c>
      <c r="H64" s="367">
        <v>10</v>
      </c>
      <c r="I64" s="259">
        <v>10</v>
      </c>
      <c r="J64" s="77">
        <f t="shared" si="32"/>
        <v>30</v>
      </c>
    </row>
    <row r="65" spans="1:10" ht="14.95" thickBot="1" x14ac:dyDescent="0.3">
      <c r="A65" s="44" t="s">
        <v>380</v>
      </c>
      <c r="B65" s="185">
        <v>4</v>
      </c>
      <c r="C65" s="365">
        <v>0</v>
      </c>
      <c r="D65" s="258">
        <v>0</v>
      </c>
      <c r="E65" s="61">
        <f t="shared" si="31"/>
        <v>4</v>
      </c>
      <c r="F65" s="74" t="s">
        <v>14</v>
      </c>
      <c r="G65" s="183">
        <v>15</v>
      </c>
      <c r="H65" s="367">
        <v>10</v>
      </c>
      <c r="I65" s="259">
        <v>0</v>
      </c>
      <c r="J65" s="77">
        <f t="shared" si="32"/>
        <v>25</v>
      </c>
    </row>
    <row r="66" spans="1:10" ht="14.95" thickBot="1" x14ac:dyDescent="0.3">
      <c r="A66" s="44" t="s">
        <v>306</v>
      </c>
      <c r="B66" s="185">
        <v>4</v>
      </c>
      <c r="C66" s="365">
        <v>0</v>
      </c>
      <c r="D66" s="258">
        <v>0</v>
      </c>
      <c r="E66" s="61">
        <f t="shared" si="31"/>
        <v>4</v>
      </c>
      <c r="F66" s="75" t="s">
        <v>39</v>
      </c>
      <c r="G66" s="183">
        <v>25</v>
      </c>
      <c r="H66" s="367">
        <v>0</v>
      </c>
      <c r="I66" s="259">
        <v>0</v>
      </c>
      <c r="J66" s="77">
        <f t="shared" si="32"/>
        <v>25</v>
      </c>
    </row>
    <row r="67" spans="1:10" ht="14.95" thickBot="1" x14ac:dyDescent="0.3">
      <c r="A67" s="44" t="s">
        <v>993</v>
      </c>
      <c r="B67" s="185">
        <v>2</v>
      </c>
      <c r="C67" s="365">
        <v>2</v>
      </c>
      <c r="D67" s="258">
        <v>0</v>
      </c>
      <c r="E67" s="61">
        <f t="shared" si="31"/>
        <v>4</v>
      </c>
      <c r="F67" s="75" t="s">
        <v>77</v>
      </c>
      <c r="G67" s="183">
        <v>15</v>
      </c>
      <c r="H67" s="367">
        <v>5</v>
      </c>
      <c r="I67" s="259">
        <v>5</v>
      </c>
      <c r="J67" s="77">
        <f t="shared" si="32"/>
        <v>25</v>
      </c>
    </row>
    <row r="68" spans="1:10" ht="14.95" thickBot="1" x14ac:dyDescent="0.3">
      <c r="A68" s="44" t="s">
        <v>36</v>
      </c>
      <c r="B68" s="185">
        <v>1</v>
      </c>
      <c r="C68" s="365">
        <v>0</v>
      </c>
      <c r="D68" s="258">
        <v>3</v>
      </c>
      <c r="E68" s="61">
        <f t="shared" si="31"/>
        <v>4</v>
      </c>
      <c r="F68" s="75" t="s">
        <v>473</v>
      </c>
      <c r="G68" s="183">
        <v>2</v>
      </c>
      <c r="H68" s="367">
        <v>15</v>
      </c>
      <c r="I68" s="259">
        <v>5</v>
      </c>
      <c r="J68" s="77">
        <f t="shared" si="32"/>
        <v>22</v>
      </c>
    </row>
    <row r="69" spans="1:10" ht="14.95" thickBot="1" x14ac:dyDescent="0.3">
      <c r="A69" s="44" t="s">
        <v>277</v>
      </c>
      <c r="B69" s="185">
        <v>3</v>
      </c>
      <c r="C69" s="365">
        <v>1</v>
      </c>
      <c r="D69" s="258">
        <v>0</v>
      </c>
      <c r="E69" s="61">
        <f t="shared" si="31"/>
        <v>4</v>
      </c>
      <c r="F69" s="75" t="s">
        <v>90</v>
      </c>
      <c r="G69" s="183">
        <v>5</v>
      </c>
      <c r="H69" s="367">
        <v>15</v>
      </c>
      <c r="I69" s="259">
        <v>0</v>
      </c>
      <c r="J69" s="77">
        <f t="shared" si="32"/>
        <v>20</v>
      </c>
    </row>
    <row r="70" spans="1:10" ht="14.95" thickBot="1" x14ac:dyDescent="0.3">
      <c r="A70" s="44" t="s">
        <v>473</v>
      </c>
      <c r="B70" s="185">
        <v>0</v>
      </c>
      <c r="C70" s="365">
        <v>3</v>
      </c>
      <c r="D70" s="258">
        <v>1</v>
      </c>
      <c r="E70" s="61">
        <f t="shared" si="31"/>
        <v>4</v>
      </c>
      <c r="F70" s="75" t="s">
        <v>380</v>
      </c>
      <c r="G70" s="183">
        <v>20</v>
      </c>
      <c r="H70" s="367">
        <v>0</v>
      </c>
      <c r="I70" s="259">
        <v>0</v>
      </c>
      <c r="J70" s="77">
        <f t="shared" si="32"/>
        <v>20</v>
      </c>
    </row>
    <row r="71" spans="1:10" ht="14.95" thickBot="1" x14ac:dyDescent="0.3">
      <c r="A71" s="44" t="s">
        <v>658</v>
      </c>
      <c r="B71" s="185">
        <v>1</v>
      </c>
      <c r="C71" s="365">
        <v>1</v>
      </c>
      <c r="D71" s="258">
        <v>1</v>
      </c>
      <c r="E71" s="61">
        <f t="shared" si="31"/>
        <v>3</v>
      </c>
      <c r="F71" s="75" t="s">
        <v>306</v>
      </c>
      <c r="G71" s="183">
        <v>20</v>
      </c>
      <c r="H71" s="367">
        <v>0</v>
      </c>
      <c r="I71" s="259">
        <v>0</v>
      </c>
      <c r="J71" s="77">
        <f t="shared" si="32"/>
        <v>20</v>
      </c>
    </row>
    <row r="72" spans="1:10" ht="14.95" thickBot="1" x14ac:dyDescent="0.3">
      <c r="A72" s="44" t="s">
        <v>459</v>
      </c>
      <c r="B72" s="185">
        <v>3</v>
      </c>
      <c r="C72" s="365">
        <v>0</v>
      </c>
      <c r="D72" s="258">
        <v>0</v>
      </c>
      <c r="E72" s="61">
        <f t="shared" si="31"/>
        <v>3</v>
      </c>
      <c r="F72" s="75" t="s">
        <v>993</v>
      </c>
      <c r="G72" s="183">
        <v>10</v>
      </c>
      <c r="H72" s="367">
        <v>10</v>
      </c>
      <c r="I72" s="259">
        <v>0</v>
      </c>
      <c r="J72" s="77">
        <f t="shared" si="32"/>
        <v>20</v>
      </c>
    </row>
    <row r="73" spans="1:10" ht="14.95" thickBot="1" x14ac:dyDescent="0.3">
      <c r="A73" s="44" t="s">
        <v>598</v>
      </c>
      <c r="B73" s="185">
        <v>1</v>
      </c>
      <c r="C73" s="365">
        <v>2</v>
      </c>
      <c r="D73" s="258">
        <v>0</v>
      </c>
      <c r="E73" s="61">
        <f t="shared" si="31"/>
        <v>3</v>
      </c>
      <c r="F73" s="75" t="s">
        <v>36</v>
      </c>
      <c r="G73" s="183">
        <v>5</v>
      </c>
      <c r="H73" s="367">
        <v>0</v>
      </c>
      <c r="I73" s="259">
        <v>15</v>
      </c>
      <c r="J73" s="77">
        <f t="shared" si="32"/>
        <v>20</v>
      </c>
    </row>
    <row r="74" spans="1:10" ht="14.95" thickBot="1" x14ac:dyDescent="0.3">
      <c r="A74" s="44" t="s">
        <v>99</v>
      </c>
      <c r="B74" s="185">
        <v>2</v>
      </c>
      <c r="C74" s="365">
        <v>0</v>
      </c>
      <c r="D74" s="258">
        <v>0</v>
      </c>
      <c r="E74" s="61">
        <f t="shared" si="31"/>
        <v>2</v>
      </c>
      <c r="F74" s="75" t="s">
        <v>277</v>
      </c>
      <c r="G74" s="183">
        <v>15</v>
      </c>
      <c r="H74" s="367">
        <v>5</v>
      </c>
      <c r="I74" s="259">
        <v>0</v>
      </c>
      <c r="J74" s="77">
        <f t="shared" si="32"/>
        <v>20</v>
      </c>
    </row>
    <row r="75" spans="1:10" ht="14.95" thickBot="1" x14ac:dyDescent="0.3">
      <c r="A75" s="44" t="s">
        <v>347</v>
      </c>
      <c r="B75" s="185">
        <v>2</v>
      </c>
      <c r="C75" s="365">
        <v>0</v>
      </c>
      <c r="D75" s="258">
        <v>0</v>
      </c>
      <c r="E75" s="61">
        <f t="shared" si="31"/>
        <v>2</v>
      </c>
      <c r="F75" s="75" t="s">
        <v>440</v>
      </c>
      <c r="G75" s="183">
        <v>16</v>
      </c>
      <c r="H75" s="367">
        <v>0</v>
      </c>
      <c r="I75" s="259">
        <v>0</v>
      </c>
      <c r="J75" s="77">
        <f t="shared" si="32"/>
        <v>16</v>
      </c>
    </row>
    <row r="76" spans="1:10" ht="14.95" thickBot="1" x14ac:dyDescent="0.3">
      <c r="A76" s="44" t="s">
        <v>440</v>
      </c>
      <c r="B76" s="185">
        <v>2</v>
      </c>
      <c r="C76" s="365">
        <v>0</v>
      </c>
      <c r="D76" s="258">
        <v>0</v>
      </c>
      <c r="E76" s="61">
        <f t="shared" si="31"/>
        <v>2</v>
      </c>
      <c r="F76" s="75" t="s">
        <v>1030</v>
      </c>
      <c r="G76" s="183">
        <v>10</v>
      </c>
      <c r="H76" s="367">
        <v>3</v>
      </c>
      <c r="I76" s="259">
        <v>3</v>
      </c>
      <c r="J76" s="77">
        <f t="shared" si="32"/>
        <v>16</v>
      </c>
    </row>
    <row r="77" spans="1:10" ht="14.95" thickBot="1" x14ac:dyDescent="0.3">
      <c r="A77" s="44" t="s">
        <v>37</v>
      </c>
      <c r="B77" s="185">
        <v>2</v>
      </c>
      <c r="C77" s="365">
        <v>0</v>
      </c>
      <c r="D77" s="258">
        <v>0</v>
      </c>
      <c r="E77" s="61">
        <f t="shared" si="31"/>
        <v>2</v>
      </c>
      <c r="F77" s="75" t="s">
        <v>658</v>
      </c>
      <c r="G77" s="183">
        <v>5</v>
      </c>
      <c r="H77" s="367">
        <v>5</v>
      </c>
      <c r="I77" s="259">
        <v>5</v>
      </c>
      <c r="J77" s="77">
        <f t="shared" si="32"/>
        <v>15</v>
      </c>
    </row>
    <row r="78" spans="1:10" ht="14.95" thickBot="1" x14ac:dyDescent="0.3">
      <c r="A78" s="44" t="s">
        <v>887</v>
      </c>
      <c r="B78" s="185">
        <v>1</v>
      </c>
      <c r="C78" s="365">
        <v>0</v>
      </c>
      <c r="D78" s="258">
        <v>1</v>
      </c>
      <c r="E78" s="61">
        <f t="shared" si="31"/>
        <v>2</v>
      </c>
      <c r="F78" s="75" t="s">
        <v>5</v>
      </c>
      <c r="G78" s="183">
        <v>7</v>
      </c>
      <c r="H78" s="367">
        <v>0</v>
      </c>
      <c r="I78" s="259">
        <v>7</v>
      </c>
      <c r="J78" s="77">
        <f t="shared" si="32"/>
        <v>14</v>
      </c>
    </row>
    <row r="79" spans="1:10" ht="14.95" thickBot="1" x14ac:dyDescent="0.3">
      <c r="A79" s="44" t="s">
        <v>665</v>
      </c>
      <c r="B79" s="185">
        <v>0</v>
      </c>
      <c r="C79" s="365">
        <v>0</v>
      </c>
      <c r="D79" s="258">
        <v>2</v>
      </c>
      <c r="E79" s="61">
        <f t="shared" si="31"/>
        <v>2</v>
      </c>
      <c r="F79" s="75" t="s">
        <v>4</v>
      </c>
      <c r="G79" s="183">
        <v>0</v>
      </c>
      <c r="H79" s="367">
        <v>0</v>
      </c>
      <c r="I79" s="259">
        <v>13</v>
      </c>
      <c r="J79" s="77">
        <f t="shared" si="32"/>
        <v>13</v>
      </c>
    </row>
    <row r="80" spans="1:10" ht="14.95" thickBot="1" x14ac:dyDescent="0.3">
      <c r="A80" s="44" t="s">
        <v>888</v>
      </c>
      <c r="B80" s="185">
        <v>0</v>
      </c>
      <c r="C80" s="365">
        <v>0</v>
      </c>
      <c r="D80" s="258">
        <v>2</v>
      </c>
      <c r="E80" s="61">
        <f t="shared" si="31"/>
        <v>2</v>
      </c>
      <c r="F80" s="75" t="s">
        <v>99</v>
      </c>
      <c r="G80" s="183">
        <v>10</v>
      </c>
      <c r="H80" s="367">
        <v>0</v>
      </c>
      <c r="I80" s="259">
        <v>0</v>
      </c>
      <c r="J80" s="77">
        <f t="shared" si="32"/>
        <v>10</v>
      </c>
    </row>
    <row r="81" spans="1:10" ht="14.95" thickBot="1" x14ac:dyDescent="0.3">
      <c r="A81" s="44" t="s">
        <v>1011</v>
      </c>
      <c r="B81" s="185">
        <v>0</v>
      </c>
      <c r="C81" s="365">
        <v>1</v>
      </c>
      <c r="D81" s="258">
        <v>1</v>
      </c>
      <c r="E81" s="61">
        <f t="shared" si="31"/>
        <v>2</v>
      </c>
      <c r="F81" s="75" t="s">
        <v>347</v>
      </c>
      <c r="G81" s="183">
        <v>10</v>
      </c>
      <c r="H81" s="367">
        <v>0</v>
      </c>
      <c r="I81" s="259">
        <v>0</v>
      </c>
      <c r="J81" s="77">
        <f t="shared" si="32"/>
        <v>10</v>
      </c>
    </row>
    <row r="82" spans="1:10" ht="14.95" thickBot="1" x14ac:dyDescent="0.3">
      <c r="A82" s="44" t="s">
        <v>76</v>
      </c>
      <c r="B82" s="185">
        <v>1</v>
      </c>
      <c r="C82" s="365">
        <v>0</v>
      </c>
      <c r="D82" s="258">
        <v>1</v>
      </c>
      <c r="E82" s="61">
        <f t="shared" si="31"/>
        <v>2</v>
      </c>
      <c r="F82" s="75" t="s">
        <v>37</v>
      </c>
      <c r="G82" s="183">
        <v>10</v>
      </c>
      <c r="H82" s="367">
        <v>0</v>
      </c>
      <c r="I82" s="259">
        <v>0</v>
      </c>
      <c r="J82" s="77">
        <f t="shared" si="32"/>
        <v>10</v>
      </c>
    </row>
    <row r="83" spans="1:10" ht="14.95" thickBot="1" x14ac:dyDescent="0.3">
      <c r="A83" s="44" t="s">
        <v>5</v>
      </c>
      <c r="B83" s="185">
        <v>1</v>
      </c>
      <c r="C83" s="365">
        <v>0</v>
      </c>
      <c r="D83" s="258">
        <v>1</v>
      </c>
      <c r="E83" s="61">
        <f t="shared" si="31"/>
        <v>2</v>
      </c>
      <c r="F83" s="75" t="s">
        <v>887</v>
      </c>
      <c r="G83" s="183">
        <v>5</v>
      </c>
      <c r="H83" s="367">
        <v>0</v>
      </c>
      <c r="I83" s="259">
        <v>5</v>
      </c>
      <c r="J83" s="77">
        <f t="shared" si="32"/>
        <v>10</v>
      </c>
    </row>
    <row r="84" spans="1:10" ht="14.95" thickBot="1" x14ac:dyDescent="0.3">
      <c r="A84" s="44" t="s">
        <v>276</v>
      </c>
      <c r="B84" s="185">
        <v>0</v>
      </c>
      <c r="C84" s="365">
        <v>2</v>
      </c>
      <c r="D84" s="258">
        <v>0</v>
      </c>
      <c r="E84" s="61">
        <f t="shared" si="31"/>
        <v>2</v>
      </c>
      <c r="F84" s="75" t="s">
        <v>665</v>
      </c>
      <c r="G84" s="183">
        <v>0</v>
      </c>
      <c r="H84" s="367">
        <v>0</v>
      </c>
      <c r="I84" s="259">
        <v>10</v>
      </c>
      <c r="J84" s="77">
        <f t="shared" si="32"/>
        <v>10</v>
      </c>
    </row>
    <row r="85" spans="1:10" ht="14.95" thickBot="1" x14ac:dyDescent="0.3">
      <c r="A85" s="44" t="s">
        <v>278</v>
      </c>
      <c r="B85" s="185">
        <v>0</v>
      </c>
      <c r="C85" s="365">
        <v>0</v>
      </c>
      <c r="D85" s="258">
        <v>1</v>
      </c>
      <c r="E85" s="61">
        <f t="shared" si="31"/>
        <v>1</v>
      </c>
      <c r="F85" s="75" t="s">
        <v>888</v>
      </c>
      <c r="G85" s="183">
        <v>0</v>
      </c>
      <c r="H85" s="367">
        <v>0</v>
      </c>
      <c r="I85" s="259">
        <v>10</v>
      </c>
      <c r="J85" s="77">
        <f t="shared" si="32"/>
        <v>10</v>
      </c>
    </row>
    <row r="86" spans="1:10" ht="14.95" thickBot="1" x14ac:dyDescent="0.3">
      <c r="A86" s="44" t="s">
        <v>44</v>
      </c>
      <c r="B86" s="185">
        <v>0</v>
      </c>
      <c r="C86" s="365">
        <v>0</v>
      </c>
      <c r="D86" s="258">
        <v>1</v>
      </c>
      <c r="E86" s="61">
        <f t="shared" si="31"/>
        <v>1</v>
      </c>
      <c r="F86" s="75" t="s">
        <v>1011</v>
      </c>
      <c r="G86" s="183">
        <v>0</v>
      </c>
      <c r="H86" s="367">
        <v>5</v>
      </c>
      <c r="I86" s="259">
        <v>5</v>
      </c>
      <c r="J86" s="77">
        <f t="shared" si="32"/>
        <v>10</v>
      </c>
    </row>
    <row r="87" spans="1:10" ht="14.95" thickBot="1" x14ac:dyDescent="0.3">
      <c r="A87" s="44" t="s">
        <v>642</v>
      </c>
      <c r="B87" s="185">
        <v>0</v>
      </c>
      <c r="C87" s="365">
        <v>0</v>
      </c>
      <c r="D87" s="258">
        <v>1</v>
      </c>
      <c r="E87" s="61">
        <f t="shared" si="31"/>
        <v>1</v>
      </c>
      <c r="F87" s="75" t="s">
        <v>76</v>
      </c>
      <c r="G87" s="183">
        <v>5</v>
      </c>
      <c r="H87" s="367">
        <v>0</v>
      </c>
      <c r="I87" s="259">
        <v>5</v>
      </c>
      <c r="J87" s="77">
        <f t="shared" si="32"/>
        <v>10</v>
      </c>
    </row>
    <row r="88" spans="1:10" ht="14.95" thickBot="1" x14ac:dyDescent="0.3">
      <c r="A88" s="44" t="s">
        <v>1019</v>
      </c>
      <c r="B88" s="185">
        <v>1</v>
      </c>
      <c r="C88" s="365">
        <v>0</v>
      </c>
      <c r="D88" s="258">
        <v>0</v>
      </c>
      <c r="E88" s="61">
        <f t="shared" si="31"/>
        <v>1</v>
      </c>
      <c r="F88" s="75" t="s">
        <v>276</v>
      </c>
      <c r="G88" s="183">
        <v>0</v>
      </c>
      <c r="H88" s="367">
        <v>10</v>
      </c>
      <c r="I88" s="259">
        <v>0</v>
      </c>
      <c r="J88" s="77">
        <f t="shared" si="32"/>
        <v>10</v>
      </c>
    </row>
    <row r="89" spans="1:10" ht="14.95" thickBot="1" x14ac:dyDescent="0.3">
      <c r="A89" s="44" t="s">
        <v>632</v>
      </c>
      <c r="B89" s="185">
        <v>0</v>
      </c>
      <c r="C89" s="365">
        <v>0</v>
      </c>
      <c r="D89" s="258">
        <v>1</v>
      </c>
      <c r="E89" s="61">
        <f t="shared" si="31"/>
        <v>1</v>
      </c>
      <c r="F89" s="75" t="s">
        <v>326</v>
      </c>
      <c r="G89" s="183">
        <v>7</v>
      </c>
      <c r="H89" s="367">
        <v>0</v>
      </c>
      <c r="I89" s="259">
        <v>0</v>
      </c>
      <c r="J89" s="77">
        <f t="shared" si="32"/>
        <v>7</v>
      </c>
    </row>
    <row r="90" spans="1:10" ht="14.95" thickBot="1" x14ac:dyDescent="0.3">
      <c r="A90" s="44" t="s">
        <v>605</v>
      </c>
      <c r="B90" s="185">
        <v>1</v>
      </c>
      <c r="C90" s="365">
        <v>0</v>
      </c>
      <c r="D90" s="258">
        <v>0</v>
      </c>
      <c r="E90" s="61">
        <f t="shared" si="31"/>
        <v>1</v>
      </c>
      <c r="F90" s="75" t="s">
        <v>44</v>
      </c>
      <c r="G90" s="183">
        <v>0</v>
      </c>
      <c r="H90" s="367">
        <v>0</v>
      </c>
      <c r="I90" s="259">
        <v>5</v>
      </c>
      <c r="J90" s="77">
        <f t="shared" si="32"/>
        <v>5</v>
      </c>
    </row>
    <row r="91" spans="1:10" ht="14.95" thickBot="1" x14ac:dyDescent="0.3">
      <c r="A91" s="44" t="s">
        <v>326</v>
      </c>
      <c r="B91" s="185">
        <v>1</v>
      </c>
      <c r="C91" s="365">
        <v>0</v>
      </c>
      <c r="D91" s="258">
        <v>0</v>
      </c>
      <c r="E91" s="61">
        <f t="shared" si="31"/>
        <v>1</v>
      </c>
      <c r="F91" s="75" t="s">
        <v>642</v>
      </c>
      <c r="G91" s="183">
        <v>0</v>
      </c>
      <c r="H91" s="367">
        <v>0</v>
      </c>
      <c r="I91" s="259">
        <v>5</v>
      </c>
      <c r="J91" s="77">
        <f t="shared" ref="J91:J110" si="33">SUM(G91:I91)</f>
        <v>5</v>
      </c>
    </row>
    <row r="92" spans="1:10" ht="14.95" thickBot="1" x14ac:dyDescent="0.3">
      <c r="A92" s="44" t="s">
        <v>53</v>
      </c>
      <c r="B92" s="185">
        <v>0</v>
      </c>
      <c r="C92" s="365">
        <v>0</v>
      </c>
      <c r="D92" s="258">
        <v>0</v>
      </c>
      <c r="E92" s="61">
        <f t="shared" si="31"/>
        <v>0</v>
      </c>
      <c r="F92" s="75" t="s">
        <v>1019</v>
      </c>
      <c r="G92" s="183">
        <v>5</v>
      </c>
      <c r="H92" s="367">
        <v>0</v>
      </c>
      <c r="I92" s="259">
        <v>0</v>
      </c>
      <c r="J92" s="77">
        <f t="shared" si="33"/>
        <v>5</v>
      </c>
    </row>
    <row r="93" spans="1:10" ht="14.95" thickBot="1" x14ac:dyDescent="0.3">
      <c r="A93" s="44" t="s">
        <v>690</v>
      </c>
      <c r="B93" s="185">
        <v>0</v>
      </c>
      <c r="C93" s="365">
        <v>0</v>
      </c>
      <c r="D93" s="258">
        <v>0</v>
      </c>
      <c r="E93" s="61">
        <f t="shared" si="31"/>
        <v>0</v>
      </c>
      <c r="F93" s="75" t="s">
        <v>632</v>
      </c>
      <c r="G93" s="183">
        <v>0</v>
      </c>
      <c r="H93" s="367">
        <v>0</v>
      </c>
      <c r="I93" s="259">
        <v>5</v>
      </c>
      <c r="J93" s="77">
        <f t="shared" si="33"/>
        <v>5</v>
      </c>
    </row>
    <row r="94" spans="1:10" ht="14.95" thickBot="1" x14ac:dyDescent="0.3">
      <c r="A94" s="44" t="s">
        <v>245</v>
      </c>
      <c r="B94" s="185">
        <v>0</v>
      </c>
      <c r="C94" s="365">
        <v>0</v>
      </c>
      <c r="D94" s="258">
        <v>0</v>
      </c>
      <c r="E94" s="61">
        <f t="shared" si="31"/>
        <v>0</v>
      </c>
      <c r="F94" s="75" t="s">
        <v>605</v>
      </c>
      <c r="G94" s="183">
        <v>5</v>
      </c>
      <c r="H94" s="367">
        <v>0</v>
      </c>
      <c r="I94" s="259">
        <v>0</v>
      </c>
      <c r="J94" s="77">
        <f t="shared" si="33"/>
        <v>5</v>
      </c>
    </row>
    <row r="95" spans="1:10" ht="14.95" thickBot="1" x14ac:dyDescent="0.3">
      <c r="A95" s="44" t="s">
        <v>378</v>
      </c>
      <c r="B95" s="185">
        <v>0</v>
      </c>
      <c r="C95" s="365">
        <v>0</v>
      </c>
      <c r="D95" s="258">
        <v>0</v>
      </c>
      <c r="E95" s="61">
        <f t="shared" si="31"/>
        <v>0</v>
      </c>
      <c r="F95" s="75" t="s">
        <v>53</v>
      </c>
      <c r="G95" s="183">
        <v>0</v>
      </c>
      <c r="H95" s="367">
        <v>0</v>
      </c>
      <c r="I95" s="259">
        <v>0</v>
      </c>
      <c r="J95" s="77">
        <f t="shared" si="33"/>
        <v>0</v>
      </c>
    </row>
    <row r="96" spans="1:10" ht="14.95" thickBot="1" x14ac:dyDescent="0.3">
      <c r="A96" s="44" t="s">
        <v>611</v>
      </c>
      <c r="B96" s="185">
        <v>0</v>
      </c>
      <c r="C96" s="365">
        <v>0</v>
      </c>
      <c r="D96" s="258">
        <v>0</v>
      </c>
      <c r="E96" s="61">
        <f t="shared" si="31"/>
        <v>0</v>
      </c>
      <c r="F96" s="75" t="s">
        <v>690</v>
      </c>
      <c r="G96" s="183">
        <v>0</v>
      </c>
      <c r="H96" s="367">
        <v>0</v>
      </c>
      <c r="I96" s="259">
        <v>0</v>
      </c>
      <c r="J96" s="77">
        <f t="shared" si="33"/>
        <v>0</v>
      </c>
    </row>
    <row r="97" spans="1:10" ht="14.95" thickBot="1" x14ac:dyDescent="0.3">
      <c r="A97" s="44" t="s">
        <v>659</v>
      </c>
      <c r="B97" s="185">
        <v>0</v>
      </c>
      <c r="C97" s="365">
        <v>0</v>
      </c>
      <c r="D97" s="258">
        <v>0</v>
      </c>
      <c r="E97" s="61">
        <f t="shared" si="31"/>
        <v>0</v>
      </c>
      <c r="F97" s="75" t="s">
        <v>245</v>
      </c>
      <c r="G97" s="183">
        <v>0</v>
      </c>
      <c r="H97" s="367">
        <v>0</v>
      </c>
      <c r="I97" s="259">
        <v>0</v>
      </c>
      <c r="J97" s="77">
        <f t="shared" si="33"/>
        <v>0</v>
      </c>
    </row>
    <row r="98" spans="1:10" ht="14.95" thickBot="1" x14ac:dyDescent="0.3">
      <c r="A98" s="44" t="s">
        <v>1030</v>
      </c>
      <c r="B98" s="185">
        <v>0</v>
      </c>
      <c r="C98" s="365">
        <v>0</v>
      </c>
      <c r="D98" s="258">
        <v>0</v>
      </c>
      <c r="E98" s="61">
        <f t="shared" si="31"/>
        <v>0</v>
      </c>
      <c r="F98" s="75" t="s">
        <v>378</v>
      </c>
      <c r="G98" s="183">
        <v>0</v>
      </c>
      <c r="H98" s="367">
        <v>0</v>
      </c>
      <c r="I98" s="259">
        <v>0</v>
      </c>
      <c r="J98" s="77">
        <f t="shared" si="33"/>
        <v>0</v>
      </c>
    </row>
    <row r="99" spans="1:10" ht="14.95" thickBot="1" x14ac:dyDescent="0.3">
      <c r="A99" s="44" t="s">
        <v>4</v>
      </c>
      <c r="B99" s="185">
        <v>0</v>
      </c>
      <c r="C99" s="365">
        <v>0</v>
      </c>
      <c r="D99" s="258">
        <v>0</v>
      </c>
      <c r="E99" s="61">
        <f t="shared" si="31"/>
        <v>0</v>
      </c>
      <c r="F99" s="75" t="s">
        <v>611</v>
      </c>
      <c r="G99" s="183">
        <v>0</v>
      </c>
      <c r="H99" s="367">
        <v>0</v>
      </c>
      <c r="I99" s="259">
        <v>0</v>
      </c>
      <c r="J99" s="77">
        <f t="shared" si="33"/>
        <v>0</v>
      </c>
    </row>
    <row r="100" spans="1:10" ht="14.95" thickBot="1" x14ac:dyDescent="0.3">
      <c r="A100" s="44" t="s">
        <v>155</v>
      </c>
      <c r="B100" s="185">
        <v>0</v>
      </c>
      <c r="C100" s="365">
        <v>0</v>
      </c>
      <c r="D100" s="258">
        <v>0</v>
      </c>
      <c r="E100" s="61">
        <f t="shared" si="31"/>
        <v>0</v>
      </c>
      <c r="F100" s="75" t="s">
        <v>659</v>
      </c>
      <c r="G100" s="183">
        <v>0</v>
      </c>
      <c r="H100" s="367">
        <v>0</v>
      </c>
      <c r="I100" s="259">
        <v>0</v>
      </c>
      <c r="J100" s="77">
        <f t="shared" si="33"/>
        <v>0</v>
      </c>
    </row>
    <row r="101" spans="1:10" ht="14.95" thickBot="1" x14ac:dyDescent="0.3">
      <c r="A101" s="44" t="s">
        <v>886</v>
      </c>
      <c r="B101" s="185">
        <v>5</v>
      </c>
      <c r="C101" s="365">
        <v>1</v>
      </c>
      <c r="D101" s="258">
        <v>2</v>
      </c>
      <c r="E101" s="61">
        <v>0</v>
      </c>
      <c r="F101" s="75" t="s">
        <v>155</v>
      </c>
      <c r="G101" s="183">
        <v>0</v>
      </c>
      <c r="H101" s="367">
        <v>0</v>
      </c>
      <c r="I101" s="259">
        <v>0</v>
      </c>
      <c r="J101" s="77">
        <f t="shared" si="33"/>
        <v>0</v>
      </c>
    </row>
    <row r="102" spans="1:10" ht="14.95" thickBot="1" x14ac:dyDescent="0.3">
      <c r="A102" s="44" t="s">
        <v>630</v>
      </c>
      <c r="B102" s="185">
        <v>0</v>
      </c>
      <c r="C102" s="365">
        <v>0</v>
      </c>
      <c r="D102" s="258">
        <v>0</v>
      </c>
      <c r="E102" s="61">
        <f t="shared" ref="E102:E110" si="34">SUM(B102:D102)</f>
        <v>0</v>
      </c>
      <c r="F102" s="75" t="s">
        <v>630</v>
      </c>
      <c r="G102" s="183">
        <v>0</v>
      </c>
      <c r="H102" s="367">
        <v>0</v>
      </c>
      <c r="I102" s="259">
        <v>0</v>
      </c>
      <c r="J102" s="77">
        <f t="shared" si="33"/>
        <v>0</v>
      </c>
    </row>
    <row r="103" spans="1:10" ht="14.95" thickBot="1" x14ac:dyDescent="0.3">
      <c r="A103" s="44" t="s">
        <v>210</v>
      </c>
      <c r="B103" s="185">
        <v>0</v>
      </c>
      <c r="C103" s="365">
        <v>0</v>
      </c>
      <c r="D103" s="258">
        <v>0</v>
      </c>
      <c r="E103" s="61">
        <f t="shared" si="34"/>
        <v>0</v>
      </c>
      <c r="F103" s="75" t="s">
        <v>210</v>
      </c>
      <c r="G103" s="183">
        <v>0</v>
      </c>
      <c r="H103" s="367">
        <v>0</v>
      </c>
      <c r="I103" s="259">
        <v>0</v>
      </c>
      <c r="J103" s="77">
        <f t="shared" si="33"/>
        <v>0</v>
      </c>
    </row>
    <row r="104" spans="1:10" ht="14.95" thickBot="1" x14ac:dyDescent="0.3">
      <c r="A104" s="44" t="s">
        <v>381</v>
      </c>
      <c r="B104" s="185">
        <v>0</v>
      </c>
      <c r="C104" s="365">
        <v>0</v>
      </c>
      <c r="D104" s="258">
        <v>0</v>
      </c>
      <c r="E104" s="61">
        <f t="shared" si="34"/>
        <v>0</v>
      </c>
      <c r="F104" s="75" t="s">
        <v>381</v>
      </c>
      <c r="G104" s="183">
        <v>0</v>
      </c>
      <c r="H104" s="367">
        <v>0</v>
      </c>
      <c r="I104" s="259">
        <v>0</v>
      </c>
      <c r="J104" s="77">
        <f t="shared" si="33"/>
        <v>0</v>
      </c>
    </row>
    <row r="105" spans="1:10" ht="14.95" thickBot="1" x14ac:dyDescent="0.3">
      <c r="A105" s="44" t="s">
        <v>438</v>
      </c>
      <c r="B105" s="185">
        <v>0</v>
      </c>
      <c r="C105" s="365">
        <v>0</v>
      </c>
      <c r="D105" s="258">
        <v>0</v>
      </c>
      <c r="E105" s="61">
        <f t="shared" si="34"/>
        <v>0</v>
      </c>
      <c r="F105" s="75" t="s">
        <v>438</v>
      </c>
      <c r="G105" s="183">
        <v>0</v>
      </c>
      <c r="H105" s="367">
        <v>0</v>
      </c>
      <c r="I105" s="259">
        <v>0</v>
      </c>
      <c r="J105" s="77">
        <f t="shared" si="33"/>
        <v>0</v>
      </c>
    </row>
    <row r="106" spans="1:10" ht="14.95" thickBot="1" x14ac:dyDescent="0.3">
      <c r="A106" s="44" t="s">
        <v>91</v>
      </c>
      <c r="B106" s="185">
        <v>0</v>
      </c>
      <c r="C106" s="365">
        <v>0</v>
      </c>
      <c r="D106" s="258">
        <v>0</v>
      </c>
      <c r="E106" s="61">
        <f t="shared" si="34"/>
        <v>0</v>
      </c>
      <c r="F106" s="75" t="s">
        <v>91</v>
      </c>
      <c r="G106" s="183">
        <v>0</v>
      </c>
      <c r="H106" s="367">
        <v>0</v>
      </c>
      <c r="I106" s="259">
        <v>0</v>
      </c>
      <c r="J106" s="77">
        <f t="shared" si="33"/>
        <v>0</v>
      </c>
    </row>
    <row r="107" spans="1:10" ht="14.95" thickBot="1" x14ac:dyDescent="0.3">
      <c r="A107" s="44" t="s">
        <v>85</v>
      </c>
      <c r="B107" s="185">
        <v>0</v>
      </c>
      <c r="C107" s="365">
        <v>0</v>
      </c>
      <c r="D107" s="258">
        <v>0</v>
      </c>
      <c r="E107" s="61">
        <f t="shared" si="34"/>
        <v>0</v>
      </c>
      <c r="F107" s="75" t="s">
        <v>85</v>
      </c>
      <c r="G107" s="183">
        <v>0</v>
      </c>
      <c r="H107" s="367">
        <v>0</v>
      </c>
      <c r="I107" s="259">
        <v>0</v>
      </c>
      <c r="J107" s="77">
        <f t="shared" si="33"/>
        <v>0</v>
      </c>
    </row>
    <row r="108" spans="1:10" ht="14.95" thickBot="1" x14ac:dyDescent="0.3">
      <c r="A108" s="44" t="s">
        <v>341</v>
      </c>
      <c r="B108" s="185">
        <v>0</v>
      </c>
      <c r="C108" s="365">
        <v>0</v>
      </c>
      <c r="D108" s="258">
        <v>0</v>
      </c>
      <c r="E108" s="61">
        <f t="shared" si="34"/>
        <v>0</v>
      </c>
      <c r="F108" s="75" t="s">
        <v>341</v>
      </c>
      <c r="G108" s="183">
        <v>0</v>
      </c>
      <c r="H108" s="367">
        <v>0</v>
      </c>
      <c r="I108" s="259">
        <v>0</v>
      </c>
      <c r="J108" s="77">
        <f t="shared" si="33"/>
        <v>0</v>
      </c>
    </row>
    <row r="109" spans="1:10" ht="14.95" thickBot="1" x14ac:dyDescent="0.3">
      <c r="A109" s="44" t="s">
        <v>82</v>
      </c>
      <c r="B109" s="185">
        <v>0</v>
      </c>
      <c r="C109" s="365">
        <v>0</v>
      </c>
      <c r="D109" s="258">
        <v>0</v>
      </c>
      <c r="E109" s="61">
        <f t="shared" si="34"/>
        <v>0</v>
      </c>
      <c r="F109" s="75" t="s">
        <v>82</v>
      </c>
      <c r="G109" s="183">
        <v>0</v>
      </c>
      <c r="H109" s="367">
        <v>0</v>
      </c>
      <c r="I109" s="259">
        <v>0</v>
      </c>
      <c r="J109" s="77">
        <f t="shared" si="33"/>
        <v>0</v>
      </c>
    </row>
    <row r="110" spans="1:10" ht="14.95" thickBot="1" x14ac:dyDescent="0.3">
      <c r="A110" s="44" t="s">
        <v>28</v>
      </c>
      <c r="B110" s="185">
        <v>0</v>
      </c>
      <c r="C110" s="365">
        <v>0</v>
      </c>
      <c r="D110" s="258">
        <v>0</v>
      </c>
      <c r="E110" s="61">
        <f t="shared" si="34"/>
        <v>0</v>
      </c>
      <c r="F110" s="75" t="s">
        <v>28</v>
      </c>
      <c r="G110" s="183">
        <v>0</v>
      </c>
      <c r="H110" s="367">
        <v>0</v>
      </c>
      <c r="I110" s="259">
        <v>0</v>
      </c>
      <c r="J110" s="77">
        <f t="shared" si="33"/>
        <v>0</v>
      </c>
    </row>
    <row r="111" spans="1:10" ht="14.3" customHeight="1" thickBot="1" x14ac:dyDescent="0.3">
      <c r="A111" s="44" t="s">
        <v>3</v>
      </c>
      <c r="B111" s="185">
        <f>SUM(B59:B110)</f>
        <v>54</v>
      </c>
      <c r="C111" s="365">
        <f>SUM(C59:C110)</f>
        <v>21</v>
      </c>
      <c r="D111" s="258">
        <f>SUM(D59:D110)</f>
        <v>30</v>
      </c>
      <c r="E111" s="61">
        <f t="shared" ref="E111" si="35">SUM(B111:D111)</f>
        <v>105</v>
      </c>
      <c r="F111" s="75" t="s">
        <v>3</v>
      </c>
      <c r="G111" s="183">
        <f>SUM(G59:G110)</f>
        <v>400</v>
      </c>
      <c r="H111" s="367">
        <f>SUM(H59:H110)</f>
        <v>211</v>
      </c>
      <c r="I111" s="259">
        <f>SUM(I59:I110)</f>
        <v>211</v>
      </c>
      <c r="J111" s="77">
        <f t="shared" ref="J111" si="36">SUM(G111:I111)</f>
        <v>822</v>
      </c>
    </row>
    <row r="112" spans="1:10" x14ac:dyDescent="0.25">
      <c r="A112" s="420" t="s">
        <v>57</v>
      </c>
      <c r="B112" s="421"/>
      <c r="C112" s="421"/>
      <c r="D112" s="421"/>
      <c r="E112" s="421"/>
      <c r="F112" s="421"/>
      <c r="G112" s="421"/>
      <c r="H112" s="421"/>
      <c r="I112" s="421"/>
      <c r="J112" s="421"/>
    </row>
  </sheetData>
  <sortState xmlns:xlrd2="http://schemas.microsoft.com/office/spreadsheetml/2017/richdata2" ref="F59:J110">
    <sortCondition descending="1" ref="J59:J110"/>
  </sortState>
  <mergeCells count="55">
    <mergeCell ref="AU25:AW26"/>
    <mergeCell ref="AU1:AW2"/>
    <mergeCell ref="AR1:AT2"/>
    <mergeCell ref="AR15:AT16"/>
    <mergeCell ref="A112:J112"/>
    <mergeCell ref="K46:W46"/>
    <mergeCell ref="AC36:AE37"/>
    <mergeCell ref="AO36:AQ37"/>
    <mergeCell ref="AR25:AT26"/>
    <mergeCell ref="AI36:AK37"/>
    <mergeCell ref="AF36:AH37"/>
    <mergeCell ref="AL25:AN26"/>
    <mergeCell ref="AO25:AQ26"/>
    <mergeCell ref="AL36:AN37"/>
    <mergeCell ref="AF25:AH26"/>
    <mergeCell ref="AC1:AE2"/>
    <mergeCell ref="BA1:BC2"/>
    <mergeCell ref="AU15:AW16"/>
    <mergeCell ref="AL1:AN2"/>
    <mergeCell ref="AL15:AN16"/>
    <mergeCell ref="AI1:AK2"/>
    <mergeCell ref="AO1:AQ2"/>
    <mergeCell ref="AX1:AZ2"/>
    <mergeCell ref="AO15:AQ16"/>
    <mergeCell ref="AI25:AK26"/>
    <mergeCell ref="AC15:AE16"/>
    <mergeCell ref="AC25:AE26"/>
    <mergeCell ref="R25:T26"/>
    <mergeCell ref="AF15:AH16"/>
    <mergeCell ref="AI15:AK16"/>
    <mergeCell ref="AF1:AH2"/>
    <mergeCell ref="K45:W45"/>
    <mergeCell ref="R1:S2"/>
    <mergeCell ref="R15:T16"/>
    <mergeCell ref="O36:Q37"/>
    <mergeCell ref="T1:V2"/>
    <mergeCell ref="O25:Q26"/>
    <mergeCell ref="U25:W26"/>
    <mergeCell ref="W1:Y2"/>
    <mergeCell ref="U36:W37"/>
    <mergeCell ref="U15:W16"/>
    <mergeCell ref="A1:J1"/>
    <mergeCell ref="K15:K16"/>
    <mergeCell ref="K1:K2"/>
    <mergeCell ref="L1:N2"/>
    <mergeCell ref="K44:W44"/>
    <mergeCell ref="L15:N16"/>
    <mergeCell ref="O1:Q2"/>
    <mergeCell ref="O15:Q16"/>
    <mergeCell ref="A56:H56"/>
    <mergeCell ref="K25:K26"/>
    <mergeCell ref="L25:N26"/>
    <mergeCell ref="R36:T37"/>
    <mergeCell ref="K36:K37"/>
    <mergeCell ref="L36:N37"/>
  </mergeCells>
  <pageMargins left="0.7" right="0.7" top="0.75" bottom="0.75" header="0.3" footer="0.3"/>
  <pageSetup paperSize="9" orientation="portrait" r:id="rId1"/>
  <ignoredErrors>
    <ignoredError sqref="E18 J18 E29 J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113"/>
  <sheetViews>
    <sheetView topLeftCell="A24" workbookViewId="0">
      <selection activeCell="P52" sqref="P52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9" width="5.75" customWidth="1"/>
    <col min="50" max="52" width="5.625" customWidth="1"/>
  </cols>
  <sheetData>
    <row r="1" spans="1:59" ht="14.95" customHeight="1" thickBot="1" x14ac:dyDescent="0.3">
      <c r="A1" s="493" t="s">
        <v>866</v>
      </c>
      <c r="B1" s="494"/>
      <c r="C1" s="494"/>
      <c r="D1" s="494"/>
      <c r="E1" s="494"/>
      <c r="F1" s="494"/>
      <c r="G1" s="494"/>
      <c r="H1" s="494"/>
      <c r="I1" s="494"/>
      <c r="J1" s="495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204"/>
      <c r="AA1" s="95"/>
      <c r="AB1" s="206"/>
      <c r="AC1" s="422" t="s">
        <v>700</v>
      </c>
      <c r="AD1" s="423"/>
      <c r="AE1" s="424"/>
      <c r="AF1" s="422" t="s">
        <v>518</v>
      </c>
      <c r="AG1" s="423"/>
      <c r="AH1" s="424"/>
      <c r="AI1" s="422" t="s">
        <v>356</v>
      </c>
      <c r="AJ1" s="423"/>
      <c r="AK1" s="424"/>
      <c r="AL1" s="422" t="s">
        <v>272</v>
      </c>
      <c r="AM1" s="423"/>
      <c r="AN1" s="424"/>
      <c r="AO1" s="422" t="s">
        <v>115</v>
      </c>
      <c r="AP1" s="423"/>
      <c r="AQ1" s="424"/>
      <c r="AR1" s="422" t="s">
        <v>83</v>
      </c>
      <c r="AS1" s="423"/>
      <c r="AT1" s="424"/>
      <c r="AU1" s="422" t="s">
        <v>78</v>
      </c>
      <c r="AV1" s="423"/>
      <c r="AW1" s="424"/>
      <c r="AX1" s="422" t="s">
        <v>67</v>
      </c>
      <c r="AY1" s="423"/>
      <c r="AZ1" s="424"/>
      <c r="BB1" s="4"/>
      <c r="BC1" s="4"/>
      <c r="BD1" s="4"/>
      <c r="BG1" s="4"/>
    </row>
    <row r="2" spans="1:59" ht="14.95" customHeight="1" thickBot="1" x14ac:dyDescent="0.3">
      <c r="A2" s="194" t="s">
        <v>0</v>
      </c>
      <c r="B2" s="192" t="s">
        <v>355</v>
      </c>
      <c r="C2" s="293" t="s">
        <v>42</v>
      </c>
      <c r="D2" s="238" t="s">
        <v>564</v>
      </c>
      <c r="E2" s="196" t="s">
        <v>1</v>
      </c>
      <c r="F2" s="299" t="s">
        <v>2</v>
      </c>
      <c r="G2" s="303" t="s">
        <v>355</v>
      </c>
      <c r="H2" s="295" t="s">
        <v>42</v>
      </c>
      <c r="I2" s="296" t="s">
        <v>564</v>
      </c>
      <c r="J2" s="301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94"/>
      <c r="AA2" s="95"/>
      <c r="AB2" s="206"/>
      <c r="AC2" s="425"/>
      <c r="AD2" s="426"/>
      <c r="AE2" s="427"/>
      <c r="AF2" s="425"/>
      <c r="AG2" s="426"/>
      <c r="AH2" s="427"/>
      <c r="AI2" s="425"/>
      <c r="AJ2" s="426"/>
      <c r="AK2" s="427"/>
      <c r="AL2" s="425"/>
      <c r="AM2" s="426"/>
      <c r="AN2" s="427"/>
      <c r="AO2" s="425"/>
      <c r="AP2" s="426"/>
      <c r="AQ2" s="427"/>
      <c r="AR2" s="425"/>
      <c r="AS2" s="426"/>
      <c r="AT2" s="427"/>
      <c r="AU2" s="425"/>
      <c r="AV2" s="426"/>
      <c r="AW2" s="427"/>
      <c r="AX2" s="425"/>
      <c r="AY2" s="426"/>
      <c r="AZ2" s="427"/>
    </row>
    <row r="3" spans="1:59" ht="14.95" customHeight="1" thickBot="1" x14ac:dyDescent="0.3">
      <c r="A3" s="195" t="s">
        <v>625</v>
      </c>
      <c r="B3" s="193">
        <v>0</v>
      </c>
      <c r="C3" s="294">
        <v>0</v>
      </c>
      <c r="D3" s="239">
        <v>0</v>
      </c>
      <c r="E3" s="197">
        <f t="shared" ref="E3:E9" si="0">SUM(B3:D3)</f>
        <v>0</v>
      </c>
      <c r="F3" s="300" t="s">
        <v>625</v>
      </c>
      <c r="G3" s="304">
        <v>0</v>
      </c>
      <c r="H3" s="297">
        <v>0</v>
      </c>
      <c r="I3" s="298">
        <v>0</v>
      </c>
      <c r="J3" s="302">
        <f t="shared" ref="J3:J9" si="1">SUM(G3:I3)</f>
        <v>0</v>
      </c>
      <c r="K3" s="233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151" t="s">
        <v>74</v>
      </c>
      <c r="X3" s="7" t="s">
        <v>15</v>
      </c>
      <c r="Y3" s="7" t="s">
        <v>16</v>
      </c>
      <c r="Z3" s="94"/>
      <c r="AA3" s="95"/>
      <c r="AB3" s="206"/>
      <c r="AC3" s="151" t="s">
        <v>74</v>
      </c>
      <c r="AD3" s="7" t="s">
        <v>15</v>
      </c>
      <c r="AE3" s="7" t="s">
        <v>16</v>
      </c>
      <c r="AF3" s="151" t="s">
        <v>74</v>
      </c>
      <c r="AG3" s="7" t="s">
        <v>15</v>
      </c>
      <c r="AH3" s="7" t="s">
        <v>16</v>
      </c>
      <c r="AI3" s="151" t="s">
        <v>74</v>
      </c>
      <c r="AJ3" s="7" t="s">
        <v>15</v>
      </c>
      <c r="AK3" s="7" t="s">
        <v>16</v>
      </c>
      <c r="AL3" s="151" t="s">
        <v>74</v>
      </c>
      <c r="AM3" s="7" t="s">
        <v>15</v>
      </c>
      <c r="AN3" s="7" t="s">
        <v>16</v>
      </c>
      <c r="AO3" s="151" t="s">
        <v>74</v>
      </c>
      <c r="AP3" s="7" t="s">
        <v>15</v>
      </c>
      <c r="AQ3" s="7" t="s">
        <v>16</v>
      </c>
      <c r="AR3" s="151" t="s">
        <v>74</v>
      </c>
      <c r="AS3" s="7" t="s">
        <v>15</v>
      </c>
      <c r="AT3" s="7" t="s">
        <v>16</v>
      </c>
      <c r="AU3" s="7" t="s">
        <v>74</v>
      </c>
      <c r="AV3" s="7" t="s">
        <v>15</v>
      </c>
      <c r="AW3" s="7" t="s">
        <v>16</v>
      </c>
      <c r="AX3" s="7" t="s">
        <v>74</v>
      </c>
      <c r="AY3" s="7" t="s">
        <v>15</v>
      </c>
      <c r="AZ3" s="7" t="s">
        <v>16</v>
      </c>
    </row>
    <row r="4" spans="1:59" ht="14.95" customHeight="1" thickBot="1" x14ac:dyDescent="0.3">
      <c r="A4" s="195" t="s">
        <v>810</v>
      </c>
      <c r="B4" s="193">
        <v>0</v>
      </c>
      <c r="C4" s="294">
        <v>0</v>
      </c>
      <c r="D4" s="239">
        <v>2</v>
      </c>
      <c r="E4" s="197">
        <f t="shared" si="0"/>
        <v>2</v>
      </c>
      <c r="F4" s="300" t="s">
        <v>810</v>
      </c>
      <c r="G4" s="304">
        <v>0</v>
      </c>
      <c r="H4" s="297">
        <v>0</v>
      </c>
      <c r="I4" s="298">
        <v>10</v>
      </c>
      <c r="J4" s="302">
        <f t="shared" si="1"/>
        <v>10</v>
      </c>
      <c r="K4" s="195" t="s">
        <v>638</v>
      </c>
      <c r="L4" s="197" t="s">
        <v>21</v>
      </c>
      <c r="M4" s="197" t="s">
        <v>21</v>
      </c>
      <c r="N4" s="198" t="s">
        <v>21</v>
      </c>
      <c r="O4" s="197" t="s">
        <v>21</v>
      </c>
      <c r="P4" s="197" t="s">
        <v>21</v>
      </c>
      <c r="Q4" s="198" t="s">
        <v>21</v>
      </c>
      <c r="R4" s="197" t="s">
        <v>26</v>
      </c>
      <c r="S4" s="197">
        <v>-1</v>
      </c>
      <c r="T4" s="7" t="s">
        <v>21</v>
      </c>
      <c r="U4" s="7" t="s">
        <v>21</v>
      </c>
      <c r="V4" s="156" t="s">
        <v>21</v>
      </c>
      <c r="W4" s="7" t="s">
        <v>21</v>
      </c>
      <c r="X4" s="7" t="s">
        <v>21</v>
      </c>
      <c r="Y4" s="156" t="s">
        <v>21</v>
      </c>
      <c r="Z4" s="94"/>
      <c r="AA4" s="95"/>
      <c r="AB4" s="206"/>
      <c r="AC4" s="151" t="s">
        <v>21</v>
      </c>
      <c r="AD4" s="7" t="s">
        <v>21</v>
      </c>
      <c r="AE4" s="7" t="s">
        <v>21</v>
      </c>
      <c r="AF4" s="151" t="s">
        <v>21</v>
      </c>
      <c r="AG4" s="7" t="s">
        <v>21</v>
      </c>
      <c r="AH4" s="7" t="s">
        <v>21</v>
      </c>
      <c r="AI4" s="151" t="s">
        <v>21</v>
      </c>
      <c r="AJ4" s="7" t="s">
        <v>21</v>
      </c>
      <c r="AK4" s="7" t="s">
        <v>21</v>
      </c>
      <c r="AL4" s="151" t="s">
        <v>21</v>
      </c>
      <c r="AM4" s="7" t="s">
        <v>21</v>
      </c>
      <c r="AN4" s="7" t="s">
        <v>21</v>
      </c>
      <c r="AO4" s="151" t="s">
        <v>21</v>
      </c>
      <c r="AP4" s="7" t="s">
        <v>21</v>
      </c>
      <c r="AQ4" s="7" t="s">
        <v>21</v>
      </c>
      <c r="AR4" s="151" t="s">
        <v>21</v>
      </c>
      <c r="AS4" s="7" t="s">
        <v>21</v>
      </c>
      <c r="AT4" s="7" t="s">
        <v>21</v>
      </c>
      <c r="AU4" s="7" t="s">
        <v>21</v>
      </c>
      <c r="AV4" s="7" t="s">
        <v>21</v>
      </c>
      <c r="AW4" s="7" t="s">
        <v>21</v>
      </c>
      <c r="AX4" s="7" t="s">
        <v>21</v>
      </c>
      <c r="AY4" s="7" t="s">
        <v>21</v>
      </c>
      <c r="AZ4" s="7" t="s">
        <v>21</v>
      </c>
    </row>
    <row r="5" spans="1:59" ht="14.95" customHeight="1" thickBot="1" x14ac:dyDescent="0.3">
      <c r="A5" s="195" t="s">
        <v>808</v>
      </c>
      <c r="B5" s="193">
        <v>0</v>
      </c>
      <c r="C5" s="294">
        <v>0</v>
      </c>
      <c r="D5" s="239">
        <v>0</v>
      </c>
      <c r="E5" s="197">
        <f t="shared" si="0"/>
        <v>0</v>
      </c>
      <c r="F5" s="300" t="s">
        <v>808</v>
      </c>
      <c r="G5" s="304">
        <v>0</v>
      </c>
      <c r="H5" s="297">
        <v>0</v>
      </c>
      <c r="I5" s="298">
        <v>0</v>
      </c>
      <c r="J5" s="302">
        <f t="shared" si="1"/>
        <v>0</v>
      </c>
      <c r="K5" s="195" t="s">
        <v>617</v>
      </c>
      <c r="L5" s="197" t="s">
        <v>21</v>
      </c>
      <c r="M5" s="197" t="s">
        <v>21</v>
      </c>
      <c r="N5" s="198" t="s">
        <v>21</v>
      </c>
      <c r="O5" s="197" t="s">
        <v>21</v>
      </c>
      <c r="P5" s="197" t="s">
        <v>21</v>
      </c>
      <c r="Q5" s="198" t="s">
        <v>21</v>
      </c>
      <c r="R5" s="197" t="s">
        <v>26</v>
      </c>
      <c r="S5" s="197">
        <v>-1</v>
      </c>
      <c r="T5" s="7" t="s">
        <v>21</v>
      </c>
      <c r="U5" s="7" t="s">
        <v>21</v>
      </c>
      <c r="V5" s="7" t="s">
        <v>21</v>
      </c>
      <c r="W5" s="7" t="s">
        <v>21</v>
      </c>
      <c r="X5" s="7" t="s">
        <v>21</v>
      </c>
      <c r="Y5" s="7" t="s">
        <v>21</v>
      </c>
      <c r="Z5" s="94"/>
      <c r="AA5" s="95"/>
      <c r="AB5" s="206"/>
      <c r="AC5" s="151" t="s">
        <v>21</v>
      </c>
      <c r="AD5" s="7" t="s">
        <v>21</v>
      </c>
      <c r="AE5" s="7" t="s">
        <v>21</v>
      </c>
      <c r="AF5" s="151" t="s">
        <v>21</v>
      </c>
      <c r="AG5" s="7" t="s">
        <v>21</v>
      </c>
      <c r="AH5" s="7" t="s">
        <v>21</v>
      </c>
      <c r="AI5" s="151" t="s">
        <v>21</v>
      </c>
      <c r="AJ5" s="7" t="s">
        <v>21</v>
      </c>
      <c r="AK5" s="7" t="s">
        <v>21</v>
      </c>
      <c r="AL5" s="151" t="s">
        <v>21</v>
      </c>
      <c r="AM5" s="7" t="s">
        <v>21</v>
      </c>
      <c r="AN5" s="7" t="s">
        <v>21</v>
      </c>
      <c r="AO5" s="151" t="s">
        <v>21</v>
      </c>
      <c r="AP5" s="7" t="s">
        <v>21</v>
      </c>
      <c r="AQ5" s="7" t="s">
        <v>21</v>
      </c>
      <c r="AR5" s="151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</row>
    <row r="6" spans="1:59" ht="14.95" customHeight="1" thickBot="1" x14ac:dyDescent="0.3">
      <c r="A6" s="195" t="s">
        <v>845</v>
      </c>
      <c r="B6" s="193">
        <v>0</v>
      </c>
      <c r="C6" s="294">
        <v>1</v>
      </c>
      <c r="D6" s="239">
        <v>0</v>
      </c>
      <c r="E6" s="197">
        <f t="shared" si="0"/>
        <v>1</v>
      </c>
      <c r="F6" s="300" t="s">
        <v>845</v>
      </c>
      <c r="G6" s="304">
        <v>0</v>
      </c>
      <c r="H6" s="297">
        <v>5</v>
      </c>
      <c r="I6" s="298">
        <v>0</v>
      </c>
      <c r="J6" s="302">
        <f t="shared" si="1"/>
        <v>5</v>
      </c>
      <c r="K6" s="195" t="s">
        <v>492</v>
      </c>
      <c r="L6" s="197">
        <v>5</v>
      </c>
      <c r="M6" s="197">
        <v>8</v>
      </c>
      <c r="N6" s="198">
        <f t="shared" ref="N6" si="2">SUM(L6/M6)*100</f>
        <v>62.5</v>
      </c>
      <c r="O6" s="197" t="s">
        <v>21</v>
      </c>
      <c r="P6" s="197" t="s">
        <v>21</v>
      </c>
      <c r="Q6" s="198" t="s">
        <v>21</v>
      </c>
      <c r="R6" s="197">
        <v>2</v>
      </c>
      <c r="S6" s="197">
        <v>2</v>
      </c>
      <c r="T6" s="7">
        <v>5</v>
      </c>
      <c r="U6" s="7">
        <v>7</v>
      </c>
      <c r="V6" s="156">
        <v>71.428571428571431</v>
      </c>
      <c r="W6" s="7">
        <v>14</v>
      </c>
      <c r="X6" s="7">
        <v>25</v>
      </c>
      <c r="Y6" s="156">
        <f t="shared" ref="Y6:Y7" si="3">SUM(W6/X6)*100</f>
        <v>56.000000000000007</v>
      </c>
      <c r="Z6" s="94"/>
      <c r="AA6" s="95"/>
      <c r="AB6" s="206"/>
      <c r="AC6" s="151">
        <v>1</v>
      </c>
      <c r="AD6" s="7">
        <v>2</v>
      </c>
      <c r="AE6" s="7">
        <f t="shared" ref="AE6" si="4">SUM(AC6/AD6)*100</f>
        <v>50</v>
      </c>
      <c r="AF6" s="151" t="s">
        <v>21</v>
      </c>
      <c r="AG6" s="7" t="s">
        <v>21</v>
      </c>
      <c r="AH6" s="7" t="s">
        <v>21</v>
      </c>
      <c r="AI6" s="151" t="s">
        <v>21</v>
      </c>
      <c r="AJ6" s="7" t="s">
        <v>21</v>
      </c>
      <c r="AK6" s="7" t="s">
        <v>21</v>
      </c>
      <c r="AL6" s="151" t="s">
        <v>21</v>
      </c>
      <c r="AM6" s="7" t="s">
        <v>21</v>
      </c>
      <c r="AN6" s="7" t="s">
        <v>21</v>
      </c>
      <c r="AO6" s="151" t="s">
        <v>21</v>
      </c>
      <c r="AP6" s="7" t="s">
        <v>21</v>
      </c>
      <c r="AQ6" s="7" t="s">
        <v>21</v>
      </c>
      <c r="AR6" s="151" t="s">
        <v>21</v>
      </c>
      <c r="AS6" s="7" t="s">
        <v>21</v>
      </c>
      <c r="AT6" s="7" t="s">
        <v>21</v>
      </c>
      <c r="AU6" s="7" t="s">
        <v>21</v>
      </c>
      <c r="AV6" s="7" t="s">
        <v>21</v>
      </c>
      <c r="AW6" s="7" t="s">
        <v>21</v>
      </c>
      <c r="AX6" s="7" t="s">
        <v>21</v>
      </c>
      <c r="AY6" s="7" t="s">
        <v>21</v>
      </c>
      <c r="AZ6" s="7" t="s">
        <v>21</v>
      </c>
    </row>
    <row r="7" spans="1:59" ht="14.95" customHeight="1" thickBot="1" x14ac:dyDescent="0.3">
      <c r="A7" s="195" t="s">
        <v>638</v>
      </c>
      <c r="B7" s="193">
        <v>1</v>
      </c>
      <c r="C7" s="294">
        <v>1</v>
      </c>
      <c r="D7" s="239">
        <v>0</v>
      </c>
      <c r="E7" s="197">
        <f t="shared" si="0"/>
        <v>2</v>
      </c>
      <c r="F7" s="300" t="s">
        <v>638</v>
      </c>
      <c r="G7" s="304">
        <v>5</v>
      </c>
      <c r="H7" s="297">
        <v>5</v>
      </c>
      <c r="I7" s="298">
        <v>0</v>
      </c>
      <c r="J7" s="302">
        <f t="shared" si="1"/>
        <v>10</v>
      </c>
      <c r="K7" s="194" t="s">
        <v>461</v>
      </c>
      <c r="L7" s="375" t="s">
        <v>21</v>
      </c>
      <c r="M7" s="375" t="s">
        <v>21</v>
      </c>
      <c r="N7" s="376" t="s">
        <v>21</v>
      </c>
      <c r="O7" s="375" t="s">
        <v>21</v>
      </c>
      <c r="P7" s="375" t="s">
        <v>21</v>
      </c>
      <c r="Q7" s="376" t="s">
        <v>21</v>
      </c>
      <c r="R7" s="375">
        <v>-1</v>
      </c>
      <c r="S7" s="370">
        <v>-1</v>
      </c>
      <c r="T7" s="6" t="s">
        <v>21</v>
      </c>
      <c r="U7" s="6" t="s">
        <v>21</v>
      </c>
      <c r="V7" s="160" t="s">
        <v>21</v>
      </c>
      <c r="W7" s="6">
        <v>4</v>
      </c>
      <c r="X7" s="6">
        <v>6</v>
      </c>
      <c r="Y7" s="160">
        <f t="shared" si="3"/>
        <v>66.666666666666657</v>
      </c>
      <c r="Z7" s="94"/>
      <c r="AA7" s="95"/>
      <c r="AB7" s="206"/>
      <c r="AC7" s="151" t="s">
        <v>21</v>
      </c>
      <c r="AD7" s="7" t="s">
        <v>21</v>
      </c>
      <c r="AE7" s="7" t="s">
        <v>21</v>
      </c>
      <c r="AF7" s="151" t="s">
        <v>21</v>
      </c>
      <c r="AG7" s="7" t="s">
        <v>21</v>
      </c>
      <c r="AH7" s="7" t="s">
        <v>21</v>
      </c>
      <c r="AI7" s="151" t="s">
        <v>21</v>
      </c>
      <c r="AJ7" s="7" t="s">
        <v>21</v>
      </c>
      <c r="AK7" s="7" t="s">
        <v>21</v>
      </c>
      <c r="AL7" s="151" t="s">
        <v>21</v>
      </c>
      <c r="AM7" s="7" t="s">
        <v>21</v>
      </c>
      <c r="AN7" s="7" t="s">
        <v>21</v>
      </c>
      <c r="AO7" s="151" t="s">
        <v>21</v>
      </c>
      <c r="AP7" s="7" t="s">
        <v>21</v>
      </c>
      <c r="AQ7" s="7" t="s">
        <v>21</v>
      </c>
      <c r="AR7" s="151" t="s">
        <v>21</v>
      </c>
      <c r="AS7" s="7" t="s">
        <v>21</v>
      </c>
      <c r="AT7" s="7" t="s">
        <v>21</v>
      </c>
      <c r="AU7" s="7" t="s">
        <v>21</v>
      </c>
      <c r="AV7" s="7" t="s">
        <v>21</v>
      </c>
      <c r="AW7" s="7" t="s">
        <v>21</v>
      </c>
      <c r="AX7" s="7" t="s">
        <v>21</v>
      </c>
      <c r="AY7" s="7" t="s">
        <v>21</v>
      </c>
      <c r="AZ7" s="7" t="s">
        <v>21</v>
      </c>
    </row>
    <row r="8" spans="1:59" ht="14.95" customHeight="1" thickBot="1" x14ac:dyDescent="0.3">
      <c r="A8" s="195" t="s">
        <v>617</v>
      </c>
      <c r="B8" s="193">
        <v>0</v>
      </c>
      <c r="C8" s="294">
        <v>0</v>
      </c>
      <c r="D8" s="239">
        <v>0</v>
      </c>
      <c r="E8" s="197">
        <f t="shared" si="0"/>
        <v>0</v>
      </c>
      <c r="F8" s="300" t="s">
        <v>617</v>
      </c>
      <c r="G8" s="304">
        <v>0</v>
      </c>
      <c r="H8" s="297">
        <v>0</v>
      </c>
      <c r="I8" s="298">
        <v>2</v>
      </c>
      <c r="J8" s="302">
        <f t="shared" si="1"/>
        <v>2</v>
      </c>
      <c r="K8" s="194" t="s">
        <v>1022</v>
      </c>
      <c r="L8" s="375">
        <v>20</v>
      </c>
      <c r="M8" s="374">
        <v>24</v>
      </c>
      <c r="N8" s="376">
        <f t="shared" ref="N8" si="5">SUM(L8/M8)*100</f>
        <v>83.333333333333343</v>
      </c>
      <c r="O8" s="375" t="s">
        <v>21</v>
      </c>
      <c r="P8" s="375" t="s">
        <v>21</v>
      </c>
      <c r="Q8" s="376" t="s">
        <v>21</v>
      </c>
      <c r="R8" s="375">
        <v>3</v>
      </c>
      <c r="S8" s="375">
        <v>3</v>
      </c>
      <c r="T8" s="6">
        <v>42</v>
      </c>
      <c r="U8" s="87">
        <v>52</v>
      </c>
      <c r="V8" s="160">
        <v>80.769230769230774</v>
      </c>
      <c r="W8" s="6">
        <v>25</v>
      </c>
      <c r="X8" s="6">
        <v>30</v>
      </c>
      <c r="Y8" s="160">
        <v>83.333333333333343</v>
      </c>
      <c r="Z8" s="95"/>
      <c r="AA8" s="95"/>
      <c r="AB8" s="206"/>
      <c r="AC8" s="151">
        <v>50</v>
      </c>
      <c r="AD8" s="7">
        <v>65</v>
      </c>
      <c r="AE8" s="156">
        <v>76.923076923076934</v>
      </c>
      <c r="AF8" s="151">
        <v>26</v>
      </c>
      <c r="AG8" s="7">
        <v>37</v>
      </c>
      <c r="AH8" s="7">
        <v>70</v>
      </c>
      <c r="AI8" s="151">
        <v>20</v>
      </c>
      <c r="AJ8" s="7">
        <v>31</v>
      </c>
      <c r="AK8" s="7">
        <v>65</v>
      </c>
      <c r="AL8" s="151">
        <v>48</v>
      </c>
      <c r="AM8" s="7">
        <v>57</v>
      </c>
      <c r="AN8" s="7">
        <v>84</v>
      </c>
      <c r="AO8" s="151" t="s">
        <v>21</v>
      </c>
      <c r="AP8" s="7" t="s">
        <v>21</v>
      </c>
      <c r="AQ8" s="7" t="s">
        <v>21</v>
      </c>
      <c r="AR8" s="151">
        <v>6</v>
      </c>
      <c r="AS8" s="7">
        <v>8</v>
      </c>
      <c r="AT8" s="7">
        <v>75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</row>
    <row r="9" spans="1:59" ht="14.95" customHeight="1" thickBot="1" x14ac:dyDescent="0.3">
      <c r="A9" s="195" t="s">
        <v>738</v>
      </c>
      <c r="B9" s="193">
        <v>0</v>
      </c>
      <c r="C9" s="294">
        <v>0</v>
      </c>
      <c r="D9" s="239">
        <v>1</v>
      </c>
      <c r="E9" s="197">
        <f t="shared" si="0"/>
        <v>1</v>
      </c>
      <c r="F9" s="300" t="s">
        <v>738</v>
      </c>
      <c r="G9" s="304">
        <v>0</v>
      </c>
      <c r="H9" s="297">
        <v>0</v>
      </c>
      <c r="I9" s="298">
        <v>5</v>
      </c>
      <c r="J9" s="369">
        <f t="shared" si="1"/>
        <v>5</v>
      </c>
      <c r="K9" s="194" t="s">
        <v>739</v>
      </c>
      <c r="L9" s="375" t="s">
        <v>21</v>
      </c>
      <c r="M9" s="375" t="s">
        <v>21</v>
      </c>
      <c r="N9" s="376" t="s">
        <v>21</v>
      </c>
      <c r="O9" s="375" t="s">
        <v>21</v>
      </c>
      <c r="P9" s="375" t="s">
        <v>21</v>
      </c>
      <c r="Q9" s="376" t="s">
        <v>21</v>
      </c>
      <c r="R9" s="375" t="s">
        <v>25</v>
      </c>
      <c r="S9" s="375">
        <v>-1</v>
      </c>
      <c r="T9" s="6" t="s">
        <v>21</v>
      </c>
      <c r="U9" s="6" t="s">
        <v>21</v>
      </c>
      <c r="V9" s="160" t="s">
        <v>21</v>
      </c>
      <c r="W9" s="6" t="s">
        <v>21</v>
      </c>
      <c r="X9" s="6" t="s">
        <v>21</v>
      </c>
      <c r="Y9" s="160" t="s">
        <v>21</v>
      </c>
      <c r="Z9" s="95"/>
      <c r="AA9" s="95"/>
      <c r="AB9" s="95"/>
      <c r="AC9" s="151" t="s">
        <v>21</v>
      </c>
      <c r="AD9" s="7" t="s">
        <v>21</v>
      </c>
      <c r="AE9" s="7" t="s">
        <v>21</v>
      </c>
      <c r="AF9" s="151" t="s">
        <v>21</v>
      </c>
      <c r="AG9" s="7" t="s">
        <v>21</v>
      </c>
      <c r="AH9" s="7" t="s">
        <v>21</v>
      </c>
      <c r="AI9" s="151" t="s">
        <v>21</v>
      </c>
      <c r="AJ9" s="7" t="s">
        <v>21</v>
      </c>
      <c r="AK9" s="7" t="s">
        <v>21</v>
      </c>
      <c r="AL9" s="151" t="s">
        <v>21</v>
      </c>
      <c r="AM9" s="7" t="s">
        <v>21</v>
      </c>
      <c r="AN9" s="7" t="s">
        <v>21</v>
      </c>
      <c r="AO9" s="151" t="s">
        <v>21</v>
      </c>
      <c r="AP9" s="7" t="s">
        <v>21</v>
      </c>
      <c r="AQ9" s="7" t="s">
        <v>21</v>
      </c>
      <c r="AR9" s="151" t="s">
        <v>21</v>
      </c>
      <c r="AS9" s="7" t="s">
        <v>21</v>
      </c>
      <c r="AT9" s="7" t="s">
        <v>21</v>
      </c>
      <c r="AU9" s="7" t="s">
        <v>21</v>
      </c>
      <c r="AV9" s="7" t="s">
        <v>21</v>
      </c>
      <c r="AW9" s="7" t="s">
        <v>21</v>
      </c>
      <c r="AX9" s="7" t="s">
        <v>21</v>
      </c>
      <c r="AY9" s="7" t="s">
        <v>21</v>
      </c>
      <c r="AZ9" s="7" t="s">
        <v>21</v>
      </c>
    </row>
    <row r="10" spans="1:59" ht="14.95" customHeight="1" thickBot="1" x14ac:dyDescent="0.3">
      <c r="A10" s="195" t="s">
        <v>889</v>
      </c>
      <c r="B10" s="193">
        <v>0</v>
      </c>
      <c r="C10" s="294">
        <v>0</v>
      </c>
      <c r="D10" s="239">
        <v>1</v>
      </c>
      <c r="E10" s="197">
        <f t="shared" ref="E10" si="6">SUM(B10:D10)</f>
        <v>1</v>
      </c>
      <c r="F10" s="300" t="s">
        <v>889</v>
      </c>
      <c r="G10" s="304">
        <v>0</v>
      </c>
      <c r="H10" s="297">
        <v>0</v>
      </c>
      <c r="I10" s="298">
        <v>5</v>
      </c>
      <c r="J10" s="369">
        <f t="shared" ref="J10" si="7">SUM(G10:I10)</f>
        <v>5</v>
      </c>
      <c r="K10" s="195" t="s">
        <v>32</v>
      </c>
      <c r="L10" s="375">
        <v>34</v>
      </c>
      <c r="M10" s="375">
        <v>52</v>
      </c>
      <c r="N10" s="376">
        <f t="shared" ref="N10" si="8">SUM(L10/M10)*100</f>
        <v>65.384615384615387</v>
      </c>
      <c r="O10" s="375">
        <v>4</v>
      </c>
      <c r="P10" s="375">
        <v>4</v>
      </c>
      <c r="Q10" s="376">
        <f t="shared" ref="Q10" si="9">SUM(O10/P10)*100</f>
        <v>100</v>
      </c>
      <c r="R10" s="197">
        <v>4</v>
      </c>
      <c r="S10" s="197">
        <v>4</v>
      </c>
      <c r="T10" s="7">
        <v>38</v>
      </c>
      <c r="U10" s="7">
        <v>45</v>
      </c>
      <c r="V10" s="156">
        <v>84.444444444444443</v>
      </c>
      <c r="W10" s="7">
        <v>40</v>
      </c>
      <c r="X10" s="7">
        <v>55</v>
      </c>
      <c r="Y10" s="156">
        <f t="shared" ref="Y10" si="10">SUM(W10/X10)*100</f>
        <v>72.727272727272734</v>
      </c>
      <c r="Z10" s="94"/>
      <c r="AA10" s="95"/>
      <c r="AB10" s="206"/>
      <c r="AC10" s="151">
        <v>104</v>
      </c>
      <c r="AD10" s="7">
        <v>127</v>
      </c>
      <c r="AE10" s="156">
        <f t="shared" ref="AE10" si="11">SUM(AC10/AD10)*100</f>
        <v>81.889763779527556</v>
      </c>
      <c r="AF10" s="151">
        <v>65</v>
      </c>
      <c r="AG10" s="7">
        <v>81</v>
      </c>
      <c r="AH10" s="156">
        <f t="shared" ref="AH10" si="12">SUM(AF10/AG10)*100</f>
        <v>80.246913580246911</v>
      </c>
      <c r="AI10" s="151">
        <v>62</v>
      </c>
      <c r="AJ10" s="7">
        <v>78</v>
      </c>
      <c r="AK10" s="156">
        <f t="shared" ref="AK10" si="13">SUM(AI10/AJ10)*100</f>
        <v>79.487179487179489</v>
      </c>
      <c r="AL10" s="151">
        <v>63</v>
      </c>
      <c r="AM10" s="7">
        <v>84</v>
      </c>
      <c r="AN10" s="156">
        <f t="shared" ref="AN10" si="14">SUM(AL10/AM10)*100</f>
        <v>75</v>
      </c>
      <c r="AO10" s="151" t="s">
        <v>21</v>
      </c>
      <c r="AP10" s="7" t="s">
        <v>21</v>
      </c>
      <c r="AQ10" s="7" t="s">
        <v>21</v>
      </c>
      <c r="AR10" s="151" t="s">
        <v>21</v>
      </c>
      <c r="AS10" s="7" t="s">
        <v>21</v>
      </c>
      <c r="AT10" s="7" t="s">
        <v>21</v>
      </c>
      <c r="AU10" s="7" t="s">
        <v>21</v>
      </c>
      <c r="AV10" s="7" t="s">
        <v>21</v>
      </c>
      <c r="AW10" s="7" t="s">
        <v>21</v>
      </c>
      <c r="AX10" s="7" t="s">
        <v>21</v>
      </c>
      <c r="AY10" s="7" t="s">
        <v>21</v>
      </c>
      <c r="AZ10" s="7" t="s">
        <v>21</v>
      </c>
      <c r="BA10" s="46"/>
      <c r="BD10" s="86"/>
    </row>
    <row r="11" spans="1:59" ht="14.95" customHeight="1" thickBot="1" x14ac:dyDescent="0.3">
      <c r="A11" s="195" t="s">
        <v>10</v>
      </c>
      <c r="B11" s="193">
        <v>2</v>
      </c>
      <c r="C11" s="294">
        <v>1</v>
      </c>
      <c r="D11" s="239">
        <v>0</v>
      </c>
      <c r="E11" s="197">
        <f t="shared" ref="E11:E56" si="15">SUM(B11:D11)</f>
        <v>3</v>
      </c>
      <c r="F11" s="300" t="s">
        <v>10</v>
      </c>
      <c r="G11" s="304">
        <v>10</v>
      </c>
      <c r="H11" s="297">
        <v>5</v>
      </c>
      <c r="I11" s="298">
        <v>0</v>
      </c>
      <c r="J11" s="302">
        <f t="shared" ref="J11:J56" si="16">SUM(G11:I11)</f>
        <v>15</v>
      </c>
      <c r="K11" s="323"/>
      <c r="AC11" s="86"/>
      <c r="AF11" s="86"/>
      <c r="AG11" s="86"/>
      <c r="AH11" s="86"/>
      <c r="AI11" s="86"/>
      <c r="AO11" s="86"/>
      <c r="AU11" s="148"/>
      <c r="BA11" s="148"/>
    </row>
    <row r="12" spans="1:59" ht="14.95" customHeight="1" thickBot="1" x14ac:dyDescent="0.3">
      <c r="A12" s="195" t="s">
        <v>677</v>
      </c>
      <c r="B12" s="193">
        <v>0</v>
      </c>
      <c r="C12" s="294">
        <v>0</v>
      </c>
      <c r="D12" s="239">
        <v>0</v>
      </c>
      <c r="E12" s="197">
        <f t="shared" si="15"/>
        <v>0</v>
      </c>
      <c r="F12" s="300" t="s">
        <v>677</v>
      </c>
      <c r="G12" s="304">
        <v>0</v>
      </c>
      <c r="H12" s="297">
        <v>0</v>
      </c>
      <c r="I12" s="298">
        <v>0</v>
      </c>
      <c r="J12" s="302">
        <f t="shared" si="16"/>
        <v>0</v>
      </c>
      <c r="K12" s="498" t="s">
        <v>302</v>
      </c>
      <c r="L12" s="500" t="s">
        <v>20</v>
      </c>
      <c r="M12" s="501"/>
      <c r="N12" s="502"/>
      <c r="O12" s="422" t="s">
        <v>365</v>
      </c>
      <c r="P12" s="423"/>
      <c r="Q12" s="424"/>
      <c r="R12" s="422" t="s">
        <v>854</v>
      </c>
      <c r="S12" s="423"/>
      <c r="T12" s="424"/>
      <c r="U12" s="422" t="s">
        <v>700</v>
      </c>
      <c r="V12" s="423"/>
      <c r="W12" s="424"/>
      <c r="X12" s="163" t="s">
        <v>30</v>
      </c>
      <c r="AC12" s="422" t="s">
        <v>518</v>
      </c>
      <c r="AD12" s="423"/>
      <c r="AE12" s="424"/>
      <c r="AF12" s="422" t="s">
        <v>356</v>
      </c>
      <c r="AG12" s="423"/>
      <c r="AH12" s="424"/>
      <c r="AI12" s="422" t="s">
        <v>272</v>
      </c>
      <c r="AJ12" s="423"/>
      <c r="AK12" s="424"/>
      <c r="AL12" s="422" t="s">
        <v>115</v>
      </c>
      <c r="AM12" s="423"/>
      <c r="AN12" s="424"/>
      <c r="AO12" s="422" t="s">
        <v>83</v>
      </c>
      <c r="AP12" s="423"/>
      <c r="AQ12" s="424"/>
      <c r="AR12" s="422" t="s">
        <v>88</v>
      </c>
      <c r="AS12" s="423"/>
      <c r="AT12" s="424"/>
      <c r="AU12" s="422" t="s">
        <v>67</v>
      </c>
      <c r="AV12" s="423"/>
      <c r="AW12" s="424"/>
      <c r="AX12" s="422" t="s">
        <v>60</v>
      </c>
      <c r="AY12" s="423"/>
      <c r="AZ12" s="424"/>
    </row>
    <row r="13" spans="1:59" ht="14.95" customHeight="1" thickBot="1" x14ac:dyDescent="0.3">
      <c r="A13" s="195" t="s">
        <v>954</v>
      </c>
      <c r="B13" s="193">
        <v>1</v>
      </c>
      <c r="C13" s="294">
        <v>0</v>
      </c>
      <c r="D13" s="239">
        <v>0</v>
      </c>
      <c r="E13" s="197">
        <f t="shared" si="15"/>
        <v>1</v>
      </c>
      <c r="F13" s="300" t="s">
        <v>954</v>
      </c>
      <c r="G13" s="304">
        <v>5</v>
      </c>
      <c r="H13" s="297">
        <v>0</v>
      </c>
      <c r="I13" s="298">
        <v>0</v>
      </c>
      <c r="J13" s="302">
        <f t="shared" si="16"/>
        <v>5</v>
      </c>
      <c r="K13" s="499"/>
      <c r="L13" s="503"/>
      <c r="M13" s="504"/>
      <c r="N13" s="505"/>
      <c r="O13" s="425"/>
      <c r="P13" s="426"/>
      <c r="Q13" s="427"/>
      <c r="R13" s="425"/>
      <c r="S13" s="426"/>
      <c r="T13" s="427"/>
      <c r="U13" s="425"/>
      <c r="V13" s="426"/>
      <c r="W13" s="427"/>
      <c r="AC13" s="425"/>
      <c r="AD13" s="426"/>
      <c r="AE13" s="427"/>
      <c r="AF13" s="425"/>
      <c r="AG13" s="426"/>
      <c r="AH13" s="427"/>
      <c r="AI13" s="425"/>
      <c r="AJ13" s="426"/>
      <c r="AK13" s="427"/>
      <c r="AL13" s="425"/>
      <c r="AM13" s="426"/>
      <c r="AN13" s="427"/>
      <c r="AO13" s="425"/>
      <c r="AP13" s="426"/>
      <c r="AQ13" s="427"/>
      <c r="AR13" s="425"/>
      <c r="AS13" s="426"/>
      <c r="AT13" s="427"/>
      <c r="AU13" s="425"/>
      <c r="AV13" s="426"/>
      <c r="AW13" s="427"/>
      <c r="AX13" s="425"/>
      <c r="AY13" s="426"/>
      <c r="AZ13" s="427"/>
      <c r="BA13" s="148"/>
    </row>
    <row r="14" spans="1:59" ht="14.95" customHeight="1" thickBot="1" x14ac:dyDescent="0.3">
      <c r="A14" s="195" t="s">
        <v>687</v>
      </c>
      <c r="B14" s="193">
        <v>0</v>
      </c>
      <c r="C14" s="294">
        <v>0</v>
      </c>
      <c r="D14" s="239">
        <v>3</v>
      </c>
      <c r="E14" s="197">
        <f t="shared" si="15"/>
        <v>3</v>
      </c>
      <c r="F14" s="300" t="s">
        <v>687</v>
      </c>
      <c r="G14" s="304">
        <v>0</v>
      </c>
      <c r="H14" s="297">
        <v>0</v>
      </c>
      <c r="I14" s="298">
        <v>15</v>
      </c>
      <c r="J14" s="302">
        <f t="shared" si="16"/>
        <v>15</v>
      </c>
      <c r="K14" s="278" t="s">
        <v>30</v>
      </c>
      <c r="L14" s="1" t="s">
        <v>74</v>
      </c>
      <c r="M14" s="1" t="s">
        <v>15</v>
      </c>
      <c r="N14" s="1" t="s">
        <v>16</v>
      </c>
      <c r="O14" s="7" t="s">
        <v>74</v>
      </c>
      <c r="P14" s="7" t="s">
        <v>15</v>
      </c>
      <c r="Q14" s="7" t="s">
        <v>16</v>
      </c>
      <c r="R14" s="7" t="s">
        <v>74</v>
      </c>
      <c r="S14" s="7" t="s">
        <v>15</v>
      </c>
      <c r="T14" s="7" t="s">
        <v>16</v>
      </c>
      <c r="U14" s="7" t="s">
        <v>74</v>
      </c>
      <c r="V14" s="7" t="s">
        <v>15</v>
      </c>
      <c r="W14" s="7" t="s">
        <v>16</v>
      </c>
      <c r="AC14" s="151" t="s">
        <v>74</v>
      </c>
      <c r="AD14" s="7" t="s">
        <v>15</v>
      </c>
      <c r="AE14" s="7" t="s">
        <v>16</v>
      </c>
      <c r="AF14" s="151" t="s">
        <v>74</v>
      </c>
      <c r="AG14" s="7" t="s">
        <v>15</v>
      </c>
      <c r="AH14" s="7" t="s">
        <v>16</v>
      </c>
      <c r="AI14" s="151" t="s">
        <v>74</v>
      </c>
      <c r="AJ14" s="7" t="s">
        <v>15</v>
      </c>
      <c r="AK14" s="7" t="s">
        <v>16</v>
      </c>
      <c r="AL14" s="151" t="s">
        <v>74</v>
      </c>
      <c r="AM14" s="7" t="s">
        <v>15</v>
      </c>
      <c r="AN14" s="7" t="s">
        <v>16</v>
      </c>
      <c r="AO14" s="151" t="s">
        <v>74</v>
      </c>
      <c r="AP14" s="7" t="s">
        <v>15</v>
      </c>
      <c r="AQ14" s="7" t="s">
        <v>16</v>
      </c>
      <c r="AR14" s="151" t="s">
        <v>74</v>
      </c>
      <c r="AS14" s="7" t="s">
        <v>15</v>
      </c>
      <c r="AT14" s="7" t="s">
        <v>16</v>
      </c>
      <c r="AU14" s="151" t="s">
        <v>74</v>
      </c>
      <c r="AV14" s="7" t="s">
        <v>15</v>
      </c>
      <c r="AW14" s="7" t="s">
        <v>16</v>
      </c>
      <c r="AX14" s="7" t="s">
        <v>74</v>
      </c>
      <c r="AY14" s="7" t="s">
        <v>15</v>
      </c>
      <c r="AZ14" s="7" t="s">
        <v>16</v>
      </c>
      <c r="BA14" s="148"/>
    </row>
    <row r="15" spans="1:59" ht="14.95" customHeight="1" thickBot="1" x14ac:dyDescent="0.3">
      <c r="A15" s="195" t="s">
        <v>50</v>
      </c>
      <c r="B15" s="193">
        <v>0</v>
      </c>
      <c r="C15" s="294">
        <v>0</v>
      </c>
      <c r="D15" s="239">
        <v>1</v>
      </c>
      <c r="E15" s="197">
        <f t="shared" si="15"/>
        <v>1</v>
      </c>
      <c r="F15" s="300" t="s">
        <v>50</v>
      </c>
      <c r="G15" s="304">
        <v>0</v>
      </c>
      <c r="H15" s="297">
        <v>0</v>
      </c>
      <c r="I15" s="298">
        <v>5</v>
      </c>
      <c r="J15" s="302">
        <f t="shared" si="16"/>
        <v>5</v>
      </c>
      <c r="K15" s="195" t="s">
        <v>492</v>
      </c>
      <c r="L15" s="197" t="s">
        <v>21</v>
      </c>
      <c r="M15" s="197" t="s">
        <v>21</v>
      </c>
      <c r="N15" s="198" t="s">
        <v>21</v>
      </c>
      <c r="O15" s="7">
        <v>1</v>
      </c>
      <c r="P15" s="7">
        <v>3</v>
      </c>
      <c r="Q15" s="156">
        <v>33.333333333333329</v>
      </c>
      <c r="R15" s="7" t="s">
        <v>21</v>
      </c>
      <c r="S15" s="7" t="s">
        <v>21</v>
      </c>
      <c r="T15" s="156" t="s">
        <v>21</v>
      </c>
      <c r="U15" s="7" t="s">
        <v>21</v>
      </c>
      <c r="V15" s="7" t="s">
        <v>21</v>
      </c>
      <c r="W15" s="156" t="s">
        <v>21</v>
      </c>
      <c r="AC15" s="6" t="s">
        <v>21</v>
      </c>
      <c r="AD15" s="7" t="s">
        <v>21</v>
      </c>
      <c r="AE15" s="156" t="s">
        <v>21</v>
      </c>
      <c r="AF15" s="6" t="s">
        <v>21</v>
      </c>
      <c r="AG15" s="7" t="s">
        <v>21</v>
      </c>
      <c r="AH15" s="156" t="s">
        <v>21</v>
      </c>
      <c r="AI15" s="7" t="s">
        <v>21</v>
      </c>
      <c r="AJ15" s="7" t="s">
        <v>21</v>
      </c>
      <c r="AK15" s="156" t="s">
        <v>21</v>
      </c>
      <c r="AL15" s="7" t="s">
        <v>21</v>
      </c>
      <c r="AM15" s="7" t="s">
        <v>21</v>
      </c>
      <c r="AN15" s="156" t="s">
        <v>21</v>
      </c>
      <c r="AO15" s="7" t="s">
        <v>21</v>
      </c>
      <c r="AP15" s="7" t="s">
        <v>21</v>
      </c>
      <c r="AQ15" s="156" t="s">
        <v>21</v>
      </c>
      <c r="AR15" s="7" t="s">
        <v>21</v>
      </c>
      <c r="AS15" s="7" t="s">
        <v>21</v>
      </c>
      <c r="AT15" s="156" t="s">
        <v>21</v>
      </c>
      <c r="AU15" s="7" t="s">
        <v>21</v>
      </c>
      <c r="AV15" s="7" t="s">
        <v>21</v>
      </c>
      <c r="AW15" s="156" t="s">
        <v>21</v>
      </c>
      <c r="AX15" s="7" t="s">
        <v>21</v>
      </c>
      <c r="AY15" s="7" t="s">
        <v>21</v>
      </c>
      <c r="AZ15" s="156" t="s">
        <v>21</v>
      </c>
    </row>
    <row r="16" spans="1:59" ht="14.95" customHeight="1" thickBot="1" x14ac:dyDescent="0.3">
      <c r="A16" s="195" t="s">
        <v>1038</v>
      </c>
      <c r="B16" s="193">
        <v>2</v>
      </c>
      <c r="C16" s="294">
        <v>0</v>
      </c>
      <c r="D16" s="239">
        <v>0</v>
      </c>
      <c r="E16" s="197">
        <f t="shared" si="15"/>
        <v>2</v>
      </c>
      <c r="F16" s="300" t="s">
        <v>1038</v>
      </c>
      <c r="G16" s="304">
        <v>10</v>
      </c>
      <c r="H16" s="297">
        <v>0</v>
      </c>
      <c r="I16" s="298">
        <v>0</v>
      </c>
      <c r="J16" s="302">
        <f t="shared" si="16"/>
        <v>10</v>
      </c>
      <c r="K16" s="195" t="s">
        <v>1022</v>
      </c>
      <c r="L16" s="197">
        <v>0</v>
      </c>
      <c r="M16" s="197">
        <v>1</v>
      </c>
      <c r="N16" s="198">
        <f t="shared" ref="N16" si="17">SUM(L16/M16)*100</f>
        <v>0</v>
      </c>
      <c r="O16" s="6" t="s">
        <v>21</v>
      </c>
      <c r="P16" s="7" t="s">
        <v>21</v>
      </c>
      <c r="Q16" s="156" t="s">
        <v>21</v>
      </c>
      <c r="R16" s="7">
        <v>4</v>
      </c>
      <c r="S16" s="7">
        <v>6</v>
      </c>
      <c r="T16" s="156">
        <v>66.666666666666657</v>
      </c>
      <c r="U16" s="7" t="s">
        <v>21</v>
      </c>
      <c r="V16" s="7" t="s">
        <v>21</v>
      </c>
      <c r="W16" s="156" t="s">
        <v>21</v>
      </c>
      <c r="AC16" s="6" t="s">
        <v>21</v>
      </c>
      <c r="AD16" s="7" t="s">
        <v>21</v>
      </c>
      <c r="AE16" s="156" t="s">
        <v>21</v>
      </c>
      <c r="AF16" s="151">
        <v>2</v>
      </c>
      <c r="AG16" s="7">
        <v>3</v>
      </c>
      <c r="AH16" s="156">
        <v>66.666666666666657</v>
      </c>
      <c r="AI16" s="7" t="s">
        <v>21</v>
      </c>
      <c r="AJ16" s="7" t="s">
        <v>21</v>
      </c>
      <c r="AK16" s="156" t="s">
        <v>21</v>
      </c>
      <c r="AL16" s="7" t="s">
        <v>21</v>
      </c>
      <c r="AM16" s="7" t="s">
        <v>21</v>
      </c>
      <c r="AN16" s="156" t="s">
        <v>21</v>
      </c>
      <c r="AO16" s="7" t="s">
        <v>21</v>
      </c>
      <c r="AP16" s="7" t="s">
        <v>21</v>
      </c>
      <c r="AQ16" s="156" t="s">
        <v>21</v>
      </c>
      <c r="AR16" s="7" t="s">
        <v>21</v>
      </c>
      <c r="AS16" s="7" t="s">
        <v>21</v>
      </c>
      <c r="AT16" s="156" t="s">
        <v>21</v>
      </c>
      <c r="AU16" s="7" t="s">
        <v>21</v>
      </c>
      <c r="AV16" s="7" t="s">
        <v>21</v>
      </c>
      <c r="AW16" s="156" t="s">
        <v>21</v>
      </c>
      <c r="AX16" s="7" t="s">
        <v>21</v>
      </c>
      <c r="AY16" s="7" t="s">
        <v>21</v>
      </c>
      <c r="AZ16" s="156" t="s">
        <v>21</v>
      </c>
    </row>
    <row r="17" spans="1:52" ht="14.95" customHeight="1" thickBot="1" x14ac:dyDescent="0.3">
      <c r="A17" s="195" t="s">
        <v>267</v>
      </c>
      <c r="B17" s="193">
        <v>5</v>
      </c>
      <c r="C17" s="294">
        <v>2</v>
      </c>
      <c r="D17" s="239">
        <v>1</v>
      </c>
      <c r="E17" s="197">
        <f t="shared" si="15"/>
        <v>8</v>
      </c>
      <c r="F17" s="300" t="s">
        <v>267</v>
      </c>
      <c r="G17" s="304">
        <v>25</v>
      </c>
      <c r="H17" s="297">
        <v>10</v>
      </c>
      <c r="I17" s="298">
        <v>5</v>
      </c>
      <c r="J17" s="302">
        <f t="shared" si="16"/>
        <v>40</v>
      </c>
      <c r="K17" s="195" t="s">
        <v>32</v>
      </c>
      <c r="L17" s="197">
        <v>31</v>
      </c>
      <c r="M17" s="197">
        <v>35</v>
      </c>
      <c r="N17" s="198">
        <f t="shared" ref="N17" si="18">SUM(L17/M17)*100</f>
        <v>88.571428571428569</v>
      </c>
      <c r="O17" s="7">
        <v>13</v>
      </c>
      <c r="P17" s="7">
        <v>16</v>
      </c>
      <c r="Q17" s="156">
        <v>81.25</v>
      </c>
      <c r="R17" s="7">
        <v>23</v>
      </c>
      <c r="S17" s="7">
        <v>28</v>
      </c>
      <c r="T17" s="156">
        <f t="shared" ref="T17" si="19">SUM(R17/S17)*100</f>
        <v>82.142857142857139</v>
      </c>
      <c r="U17" s="7">
        <v>2</v>
      </c>
      <c r="V17" s="7">
        <v>5</v>
      </c>
      <c r="W17" s="156">
        <f t="shared" ref="W17" si="20">SUM(U17/V17)*100</f>
        <v>40</v>
      </c>
      <c r="AC17" s="151">
        <v>11</v>
      </c>
      <c r="AD17" s="7">
        <v>12</v>
      </c>
      <c r="AE17" s="156">
        <f t="shared" ref="AE17" si="21">SUM(AC17/AD17)*100</f>
        <v>91.666666666666657</v>
      </c>
      <c r="AF17" s="151" t="s">
        <v>21</v>
      </c>
      <c r="AG17" s="7" t="s">
        <v>21</v>
      </c>
      <c r="AH17" s="7" t="s">
        <v>21</v>
      </c>
      <c r="AI17" s="151">
        <v>13</v>
      </c>
      <c r="AJ17" s="7">
        <v>16</v>
      </c>
      <c r="AK17" s="156">
        <f t="shared" ref="AK17" si="22">SUM(AI17/AJ17)*100</f>
        <v>81.25</v>
      </c>
      <c r="AL17" s="151" t="s">
        <v>21</v>
      </c>
      <c r="AM17" s="7" t="s">
        <v>21</v>
      </c>
      <c r="AN17" s="7" t="s">
        <v>21</v>
      </c>
      <c r="AO17" s="151" t="s">
        <v>21</v>
      </c>
      <c r="AP17" s="7" t="s">
        <v>21</v>
      </c>
      <c r="AQ17" s="7" t="s">
        <v>21</v>
      </c>
      <c r="AR17" s="151" t="s">
        <v>21</v>
      </c>
      <c r="AS17" s="7" t="s">
        <v>21</v>
      </c>
      <c r="AT17" s="7" t="s">
        <v>21</v>
      </c>
      <c r="AU17" s="151" t="s">
        <v>21</v>
      </c>
      <c r="AV17" s="7" t="s">
        <v>21</v>
      </c>
      <c r="AW17" s="7" t="s">
        <v>21</v>
      </c>
      <c r="AX17" s="151" t="s">
        <v>21</v>
      </c>
      <c r="AY17" s="7" t="s">
        <v>21</v>
      </c>
      <c r="AZ17" s="7" t="s">
        <v>21</v>
      </c>
    </row>
    <row r="18" spans="1:52" ht="14.95" customHeight="1" thickBot="1" x14ac:dyDescent="0.3">
      <c r="A18" s="195" t="s">
        <v>156</v>
      </c>
      <c r="B18" s="193">
        <v>8</v>
      </c>
      <c r="C18" s="294">
        <v>2</v>
      </c>
      <c r="D18" s="239">
        <v>0</v>
      </c>
      <c r="E18" s="197">
        <f t="shared" si="15"/>
        <v>10</v>
      </c>
      <c r="F18" s="300" t="s">
        <v>156</v>
      </c>
      <c r="G18" s="304">
        <v>40</v>
      </c>
      <c r="H18" s="297">
        <v>10</v>
      </c>
      <c r="I18" s="298">
        <v>0</v>
      </c>
      <c r="J18" s="302">
        <f t="shared" si="16"/>
        <v>50</v>
      </c>
      <c r="AR18" s="148"/>
    </row>
    <row r="19" spans="1:52" ht="14.95" customHeight="1" thickBot="1" x14ac:dyDescent="0.3">
      <c r="A19" s="195" t="s">
        <v>492</v>
      </c>
      <c r="B19" s="193">
        <v>0</v>
      </c>
      <c r="C19" s="294">
        <v>0</v>
      </c>
      <c r="D19" s="239">
        <v>1</v>
      </c>
      <c r="E19" s="197">
        <f t="shared" si="15"/>
        <v>1</v>
      </c>
      <c r="F19" s="300" t="s">
        <v>492</v>
      </c>
      <c r="G19" s="304">
        <v>11</v>
      </c>
      <c r="H19" s="297">
        <v>0</v>
      </c>
      <c r="I19" s="298">
        <v>24</v>
      </c>
      <c r="J19" s="302">
        <f t="shared" si="16"/>
        <v>35</v>
      </c>
      <c r="K19" s="496" t="s">
        <v>303</v>
      </c>
      <c r="L19" s="422" t="s">
        <v>20</v>
      </c>
      <c r="M19" s="423"/>
      <c r="N19" s="424"/>
      <c r="O19" s="422" t="s">
        <v>365</v>
      </c>
      <c r="P19" s="423"/>
      <c r="Q19" s="424"/>
      <c r="R19" s="422" t="s">
        <v>854</v>
      </c>
      <c r="S19" s="423"/>
      <c r="T19" s="424"/>
      <c r="U19" s="422" t="s">
        <v>700</v>
      </c>
      <c r="V19" s="423"/>
      <c r="W19" s="424"/>
      <c r="AC19" s="422" t="s">
        <v>518</v>
      </c>
      <c r="AD19" s="423"/>
      <c r="AE19" s="424"/>
      <c r="AF19" s="422" t="s">
        <v>357</v>
      </c>
      <c r="AG19" s="423"/>
      <c r="AH19" s="424"/>
      <c r="AI19" s="422" t="s">
        <v>272</v>
      </c>
      <c r="AJ19" s="423"/>
      <c r="AK19" s="424"/>
      <c r="AL19" s="422" t="s">
        <v>115</v>
      </c>
      <c r="AM19" s="423"/>
      <c r="AN19" s="424"/>
      <c r="AO19" s="422" t="s">
        <v>83</v>
      </c>
      <c r="AP19" s="423"/>
      <c r="AQ19" s="424"/>
      <c r="AR19" s="422" t="s">
        <v>88</v>
      </c>
      <c r="AS19" s="423"/>
      <c r="AT19" s="424"/>
      <c r="AU19" s="422" t="s">
        <v>67</v>
      </c>
      <c r="AV19" s="423"/>
      <c r="AW19" s="424"/>
      <c r="AX19" s="422" t="s">
        <v>67</v>
      </c>
      <c r="AY19" s="423"/>
      <c r="AZ19" s="424"/>
    </row>
    <row r="20" spans="1:52" ht="14.95" customHeight="1" thickBot="1" x14ac:dyDescent="0.3">
      <c r="A20" s="195" t="s">
        <v>383</v>
      </c>
      <c r="B20" s="193">
        <v>0</v>
      </c>
      <c r="C20" s="294">
        <v>0</v>
      </c>
      <c r="D20" s="239">
        <v>0</v>
      </c>
      <c r="E20" s="197">
        <f t="shared" si="15"/>
        <v>0</v>
      </c>
      <c r="F20" s="300" t="s">
        <v>383</v>
      </c>
      <c r="G20" s="304">
        <v>0</v>
      </c>
      <c r="H20" s="297">
        <v>0</v>
      </c>
      <c r="I20" s="298">
        <v>0</v>
      </c>
      <c r="J20" s="302">
        <f t="shared" si="16"/>
        <v>0</v>
      </c>
      <c r="K20" s="497"/>
      <c r="L20" s="425"/>
      <c r="M20" s="426"/>
      <c r="N20" s="427"/>
      <c r="O20" s="425"/>
      <c r="P20" s="426"/>
      <c r="Q20" s="427"/>
      <c r="R20" s="425"/>
      <c r="S20" s="426"/>
      <c r="T20" s="427"/>
      <c r="U20" s="425"/>
      <c r="V20" s="426"/>
      <c r="W20" s="427"/>
      <c r="AC20" s="425"/>
      <c r="AD20" s="426"/>
      <c r="AE20" s="427"/>
      <c r="AF20" s="425"/>
      <c r="AG20" s="426"/>
      <c r="AH20" s="427"/>
      <c r="AI20" s="425"/>
      <c r="AJ20" s="426"/>
      <c r="AK20" s="427"/>
      <c r="AL20" s="425"/>
      <c r="AM20" s="426"/>
      <c r="AN20" s="427"/>
      <c r="AO20" s="425"/>
      <c r="AP20" s="426"/>
      <c r="AQ20" s="427"/>
      <c r="AR20" s="425"/>
      <c r="AS20" s="426"/>
      <c r="AT20" s="427"/>
      <c r="AU20" s="425"/>
      <c r="AV20" s="426"/>
      <c r="AW20" s="427"/>
      <c r="AX20" s="425"/>
      <c r="AY20" s="426"/>
      <c r="AZ20" s="427"/>
    </row>
    <row r="21" spans="1:52" ht="14.95" customHeight="1" thickBot="1" x14ac:dyDescent="0.3">
      <c r="A21" s="195" t="s">
        <v>461</v>
      </c>
      <c r="B21" s="193">
        <v>4</v>
      </c>
      <c r="C21" s="294">
        <v>5</v>
      </c>
      <c r="D21" s="239">
        <v>0</v>
      </c>
      <c r="E21" s="197">
        <f t="shared" si="15"/>
        <v>9</v>
      </c>
      <c r="F21" s="300" t="s">
        <v>461</v>
      </c>
      <c r="G21" s="304">
        <v>20</v>
      </c>
      <c r="H21" s="297">
        <v>25</v>
      </c>
      <c r="I21" s="298">
        <v>0</v>
      </c>
      <c r="J21" s="302">
        <f t="shared" si="16"/>
        <v>45</v>
      </c>
      <c r="K21" s="272" t="s">
        <v>30</v>
      </c>
      <c r="L21" s="7" t="s">
        <v>74</v>
      </c>
      <c r="M21" s="7" t="s">
        <v>15</v>
      </c>
      <c r="N21" s="7" t="s">
        <v>16</v>
      </c>
      <c r="O21" s="7" t="s">
        <v>74</v>
      </c>
      <c r="P21" s="7" t="s">
        <v>15</v>
      </c>
      <c r="Q21" s="7" t="s">
        <v>16</v>
      </c>
      <c r="R21" s="7" t="s">
        <v>74</v>
      </c>
      <c r="S21" s="7" t="s">
        <v>15</v>
      </c>
      <c r="T21" s="7" t="s">
        <v>16</v>
      </c>
      <c r="U21" s="7" t="s">
        <v>74</v>
      </c>
      <c r="V21" s="7" t="s">
        <v>15</v>
      </c>
      <c r="W21" s="7" t="s">
        <v>16</v>
      </c>
      <c r="AC21" s="151" t="s">
        <v>74</v>
      </c>
      <c r="AD21" s="7" t="s">
        <v>15</v>
      </c>
      <c r="AE21" s="7" t="s">
        <v>16</v>
      </c>
      <c r="AF21" s="151" t="s">
        <v>74</v>
      </c>
      <c r="AG21" s="7" t="s">
        <v>15</v>
      </c>
      <c r="AH21" s="7" t="s">
        <v>16</v>
      </c>
      <c r="AI21" s="151" t="s">
        <v>74</v>
      </c>
      <c r="AJ21" s="7" t="s">
        <v>15</v>
      </c>
      <c r="AK21" s="7" t="s">
        <v>16</v>
      </c>
      <c r="AL21" s="151" t="s">
        <v>74</v>
      </c>
      <c r="AM21" s="7" t="s">
        <v>15</v>
      </c>
      <c r="AN21" s="7" t="s">
        <v>16</v>
      </c>
      <c r="AO21" s="151" t="s">
        <v>74</v>
      </c>
      <c r="AP21" s="7" t="s">
        <v>15</v>
      </c>
      <c r="AQ21" s="7" t="s">
        <v>16</v>
      </c>
      <c r="AR21" s="151" t="s">
        <v>74</v>
      </c>
      <c r="AS21" s="7" t="s">
        <v>15</v>
      </c>
      <c r="AT21" s="7" t="s">
        <v>16</v>
      </c>
      <c r="AU21" s="151" t="s">
        <v>74</v>
      </c>
      <c r="AV21" s="7" t="s">
        <v>15</v>
      </c>
      <c r="AW21" s="7" t="s">
        <v>16</v>
      </c>
      <c r="AX21" s="7" t="s">
        <v>74</v>
      </c>
      <c r="AY21" s="7" t="s">
        <v>15</v>
      </c>
      <c r="AZ21" s="7" t="s">
        <v>16</v>
      </c>
    </row>
    <row r="22" spans="1:52" ht="14.95" customHeight="1" thickBot="1" x14ac:dyDescent="0.3">
      <c r="A22" s="195" t="s">
        <v>921</v>
      </c>
      <c r="B22" s="193">
        <v>0</v>
      </c>
      <c r="C22" s="294">
        <v>0</v>
      </c>
      <c r="D22" s="239">
        <v>0</v>
      </c>
      <c r="E22" s="197">
        <f t="shared" si="15"/>
        <v>0</v>
      </c>
      <c r="F22" s="300" t="s">
        <v>921</v>
      </c>
      <c r="G22" s="304">
        <v>47</v>
      </c>
      <c r="H22" s="297">
        <v>0</v>
      </c>
      <c r="I22" s="298">
        <v>0</v>
      </c>
      <c r="J22" s="302">
        <f t="shared" si="16"/>
        <v>47</v>
      </c>
      <c r="K22" s="195" t="s">
        <v>1022</v>
      </c>
      <c r="L22" s="7" t="s">
        <v>21</v>
      </c>
      <c r="M22" s="7" t="s">
        <v>21</v>
      </c>
      <c r="N22" s="156" t="s">
        <v>21</v>
      </c>
      <c r="O22" s="7">
        <v>7</v>
      </c>
      <c r="P22" s="7">
        <v>12</v>
      </c>
      <c r="Q22" s="7">
        <v>58</v>
      </c>
      <c r="R22" s="7"/>
      <c r="S22" s="7"/>
      <c r="T22" s="7"/>
      <c r="U22" s="7">
        <v>11</v>
      </c>
      <c r="V22" s="7">
        <v>13</v>
      </c>
      <c r="W22" s="156">
        <f t="shared" ref="W22" si="23">(U22/V22)*100</f>
        <v>84.615384615384613</v>
      </c>
      <c r="AC22" s="6">
        <v>15</v>
      </c>
      <c r="AD22" s="7">
        <v>17</v>
      </c>
      <c r="AE22" s="156">
        <f t="shared" ref="AE22" si="24">(AC22/AD22)*100</f>
        <v>88.235294117647058</v>
      </c>
      <c r="AF22" s="6" t="s">
        <v>21</v>
      </c>
      <c r="AG22" s="7" t="s">
        <v>21</v>
      </c>
      <c r="AH22" s="156" t="s">
        <v>21</v>
      </c>
      <c r="AI22" s="151">
        <v>23</v>
      </c>
      <c r="AJ22" s="7">
        <v>27</v>
      </c>
      <c r="AK22" s="156">
        <f t="shared" ref="AK22" si="25">SUM(AI22/AJ22)*100</f>
        <v>85.18518518518519</v>
      </c>
      <c r="AL22" s="151" t="s">
        <v>21</v>
      </c>
      <c r="AM22" s="7" t="s">
        <v>21</v>
      </c>
      <c r="AN22" s="6" t="s">
        <v>21</v>
      </c>
      <c r="AO22" s="6">
        <v>6</v>
      </c>
      <c r="AP22" s="7">
        <v>6</v>
      </c>
      <c r="AQ22" s="156">
        <f t="shared" ref="AQ22" si="26">SUM(AO22/AP22)*100</f>
        <v>100</v>
      </c>
      <c r="AR22" s="6" t="s">
        <v>21</v>
      </c>
      <c r="AS22" s="7" t="s">
        <v>21</v>
      </c>
      <c r="AT22" s="156" t="s">
        <v>21</v>
      </c>
      <c r="AU22" s="6" t="s">
        <v>21</v>
      </c>
      <c r="AV22" s="7" t="s">
        <v>21</v>
      </c>
      <c r="AW22" s="156" t="s">
        <v>21</v>
      </c>
      <c r="AX22" s="6" t="s">
        <v>21</v>
      </c>
      <c r="AY22" s="7" t="s">
        <v>21</v>
      </c>
      <c r="AZ22" s="156" t="s">
        <v>21</v>
      </c>
    </row>
    <row r="23" spans="1:52" ht="14.95" customHeight="1" thickBot="1" x14ac:dyDescent="0.3">
      <c r="A23" s="195" t="s">
        <v>451</v>
      </c>
      <c r="B23" s="193">
        <v>3</v>
      </c>
      <c r="C23" s="294">
        <v>4</v>
      </c>
      <c r="D23" s="239">
        <v>0</v>
      </c>
      <c r="E23" s="197">
        <f t="shared" si="15"/>
        <v>7</v>
      </c>
      <c r="F23" s="300" t="s">
        <v>451</v>
      </c>
      <c r="G23" s="304">
        <v>15</v>
      </c>
      <c r="H23" s="297">
        <v>20</v>
      </c>
      <c r="I23" s="298">
        <v>0</v>
      </c>
      <c r="J23" s="302">
        <f t="shared" si="16"/>
        <v>35</v>
      </c>
      <c r="K23" s="195" t="s">
        <v>32</v>
      </c>
      <c r="L23" s="7" t="s">
        <v>21</v>
      </c>
      <c r="M23" s="7" t="s">
        <v>21</v>
      </c>
      <c r="N23" s="156" t="s">
        <v>21</v>
      </c>
      <c r="O23" s="7" t="s">
        <v>21</v>
      </c>
      <c r="P23" s="7" t="s">
        <v>21</v>
      </c>
      <c r="Q23" s="156" t="s">
        <v>21</v>
      </c>
      <c r="R23" s="7" t="s">
        <v>21</v>
      </c>
      <c r="S23" s="7" t="s">
        <v>21</v>
      </c>
      <c r="T23" s="156" t="s">
        <v>21</v>
      </c>
      <c r="U23" s="7" t="s">
        <v>21</v>
      </c>
      <c r="V23" s="7" t="s">
        <v>21</v>
      </c>
      <c r="W23" s="156" t="s">
        <v>21</v>
      </c>
      <c r="AC23" s="151" t="s">
        <v>21</v>
      </c>
      <c r="AD23" s="7" t="s">
        <v>21</v>
      </c>
      <c r="AE23" s="7" t="s">
        <v>21</v>
      </c>
      <c r="AF23" s="151">
        <v>23</v>
      </c>
      <c r="AG23" s="7">
        <v>28</v>
      </c>
      <c r="AH23" s="156">
        <f t="shared" ref="AH23" si="27">SUM(AF23/AG23)*100</f>
        <v>82.142857142857139</v>
      </c>
      <c r="AI23" s="151" t="s">
        <v>21</v>
      </c>
      <c r="AJ23" s="7" t="s">
        <v>21</v>
      </c>
      <c r="AK23" s="7" t="s">
        <v>21</v>
      </c>
      <c r="AL23" s="151" t="s">
        <v>21</v>
      </c>
      <c r="AM23" s="7" t="s">
        <v>21</v>
      </c>
      <c r="AN23" s="7" t="s">
        <v>21</v>
      </c>
      <c r="AO23" s="151" t="s">
        <v>21</v>
      </c>
      <c r="AP23" s="7" t="s">
        <v>21</v>
      </c>
      <c r="AQ23" s="7" t="s">
        <v>21</v>
      </c>
      <c r="AR23" s="151" t="s">
        <v>21</v>
      </c>
      <c r="AS23" s="7" t="s">
        <v>21</v>
      </c>
      <c r="AT23" s="7" t="s">
        <v>21</v>
      </c>
      <c r="AU23" s="151" t="s">
        <v>21</v>
      </c>
      <c r="AV23" s="7" t="s">
        <v>21</v>
      </c>
      <c r="AW23" s="7" t="s">
        <v>21</v>
      </c>
      <c r="AX23" s="151" t="s">
        <v>21</v>
      </c>
      <c r="AY23" s="7" t="s">
        <v>21</v>
      </c>
      <c r="AZ23" s="7" t="s">
        <v>21</v>
      </c>
    </row>
    <row r="24" spans="1:52" ht="14.95" customHeight="1" thickBot="1" x14ac:dyDescent="0.3">
      <c r="A24" s="195" t="s">
        <v>671</v>
      </c>
      <c r="B24" s="193">
        <v>0</v>
      </c>
      <c r="C24" s="294">
        <v>0</v>
      </c>
      <c r="D24" s="239">
        <v>1</v>
      </c>
      <c r="E24" s="197">
        <f t="shared" si="15"/>
        <v>1</v>
      </c>
      <c r="F24" s="300" t="s">
        <v>671</v>
      </c>
      <c r="G24" s="304">
        <v>0</v>
      </c>
      <c r="H24" s="297">
        <v>0</v>
      </c>
      <c r="I24" s="298">
        <v>5</v>
      </c>
      <c r="J24" s="302">
        <f t="shared" si="16"/>
        <v>5</v>
      </c>
    </row>
    <row r="25" spans="1:52" ht="14.95" customHeight="1" thickBot="1" x14ac:dyDescent="0.3">
      <c r="A25" s="195" t="s">
        <v>714</v>
      </c>
      <c r="B25" s="193">
        <v>0</v>
      </c>
      <c r="C25" s="294">
        <v>0</v>
      </c>
      <c r="D25" s="239">
        <v>0</v>
      </c>
      <c r="E25" s="197">
        <f t="shared" si="15"/>
        <v>0</v>
      </c>
      <c r="F25" s="300" t="s">
        <v>714</v>
      </c>
      <c r="G25" s="304">
        <v>0</v>
      </c>
      <c r="H25" s="297">
        <v>0</v>
      </c>
      <c r="I25" s="298">
        <v>0</v>
      </c>
      <c r="J25" s="302">
        <f t="shared" si="16"/>
        <v>0</v>
      </c>
      <c r="K25" s="463" t="s">
        <v>116</v>
      </c>
      <c r="L25" s="476" t="s">
        <v>20</v>
      </c>
      <c r="M25" s="477"/>
      <c r="N25" s="478"/>
      <c r="O25" s="422" t="s">
        <v>365</v>
      </c>
      <c r="P25" s="423"/>
      <c r="Q25" s="424"/>
      <c r="R25" s="422" t="s">
        <v>854</v>
      </c>
      <c r="S25" s="423"/>
      <c r="T25" s="424"/>
      <c r="U25" s="422" t="s">
        <v>518</v>
      </c>
      <c r="V25" s="423"/>
      <c r="W25" s="424"/>
      <c r="AC25" s="422" t="s">
        <v>356</v>
      </c>
      <c r="AD25" s="423"/>
      <c r="AE25" s="424"/>
      <c r="AF25" s="422" t="s">
        <v>272</v>
      </c>
      <c r="AG25" s="423"/>
      <c r="AH25" s="424"/>
      <c r="AI25" s="422" t="s">
        <v>115</v>
      </c>
      <c r="AJ25" s="423"/>
      <c r="AK25" s="424"/>
      <c r="AL25" s="422" t="s">
        <v>78</v>
      </c>
      <c r="AM25" s="423"/>
      <c r="AN25" s="424"/>
      <c r="AO25" s="422" t="s">
        <v>60</v>
      </c>
      <c r="AP25" s="423"/>
      <c r="AQ25" s="424"/>
      <c r="AR25" s="491"/>
      <c r="AS25" s="491"/>
      <c r="AT25" s="491"/>
      <c r="AU25" s="37"/>
    </row>
    <row r="26" spans="1:52" ht="14.95" customHeight="1" thickBot="1" x14ac:dyDescent="0.3">
      <c r="A26" s="195" t="s">
        <v>469</v>
      </c>
      <c r="B26" s="193">
        <v>5</v>
      </c>
      <c r="C26" s="294">
        <v>3</v>
      </c>
      <c r="D26" s="239">
        <v>0</v>
      </c>
      <c r="E26" s="197">
        <f t="shared" si="15"/>
        <v>8</v>
      </c>
      <c r="F26" s="300" t="s">
        <v>469</v>
      </c>
      <c r="G26" s="304">
        <v>25</v>
      </c>
      <c r="H26" s="297">
        <v>15</v>
      </c>
      <c r="I26" s="298">
        <v>0</v>
      </c>
      <c r="J26" s="302">
        <f t="shared" si="16"/>
        <v>40</v>
      </c>
      <c r="K26" s="464"/>
      <c r="L26" s="479"/>
      <c r="M26" s="480"/>
      <c r="N26" s="481"/>
      <c r="O26" s="425"/>
      <c r="P26" s="426"/>
      <c r="Q26" s="427"/>
      <c r="R26" s="425"/>
      <c r="S26" s="426"/>
      <c r="T26" s="427"/>
      <c r="U26" s="425"/>
      <c r="V26" s="426"/>
      <c r="W26" s="427"/>
      <c r="AC26" s="425"/>
      <c r="AD26" s="426"/>
      <c r="AE26" s="427"/>
      <c r="AF26" s="425"/>
      <c r="AG26" s="426"/>
      <c r="AH26" s="427"/>
      <c r="AI26" s="425"/>
      <c r="AJ26" s="426"/>
      <c r="AK26" s="427"/>
      <c r="AL26" s="425"/>
      <c r="AM26" s="426"/>
      <c r="AN26" s="427"/>
      <c r="AO26" s="425"/>
      <c r="AP26" s="426"/>
      <c r="AQ26" s="427"/>
      <c r="AR26" s="491"/>
      <c r="AS26" s="491"/>
      <c r="AT26" s="491"/>
      <c r="AU26" s="37"/>
    </row>
    <row r="27" spans="1:52" ht="14.95" customHeight="1" thickBot="1" x14ac:dyDescent="0.3">
      <c r="A27" s="195" t="s">
        <v>652</v>
      </c>
      <c r="B27" s="193">
        <v>4</v>
      </c>
      <c r="C27" s="294">
        <v>0</v>
      </c>
      <c r="D27" s="239">
        <v>0</v>
      </c>
      <c r="E27" s="197">
        <f t="shared" si="15"/>
        <v>4</v>
      </c>
      <c r="F27" s="300" t="s">
        <v>652</v>
      </c>
      <c r="G27" s="304">
        <v>20</v>
      </c>
      <c r="H27" s="297">
        <v>0</v>
      </c>
      <c r="I27" s="298">
        <v>0</v>
      </c>
      <c r="J27" s="302">
        <f t="shared" si="16"/>
        <v>20</v>
      </c>
      <c r="K27" s="236" t="s">
        <v>30</v>
      </c>
      <c r="L27" s="167" t="s">
        <v>74</v>
      </c>
      <c r="M27" s="167" t="s">
        <v>15</v>
      </c>
      <c r="N27" s="167" t="s">
        <v>16</v>
      </c>
      <c r="O27" s="7" t="s">
        <v>74</v>
      </c>
      <c r="P27" s="7" t="s">
        <v>15</v>
      </c>
      <c r="Q27" s="7" t="s">
        <v>16</v>
      </c>
      <c r="R27" s="7" t="s">
        <v>74</v>
      </c>
      <c r="S27" s="7" t="s">
        <v>15</v>
      </c>
      <c r="T27" s="7" t="s">
        <v>16</v>
      </c>
      <c r="U27" s="7" t="s">
        <v>74</v>
      </c>
      <c r="V27" s="7" t="s">
        <v>15</v>
      </c>
      <c r="W27" s="7" t="s">
        <v>16</v>
      </c>
      <c r="AC27" s="151" t="s">
        <v>74</v>
      </c>
      <c r="AD27" s="7" t="s">
        <v>15</v>
      </c>
      <c r="AE27" s="7" t="s">
        <v>16</v>
      </c>
      <c r="AF27" s="151" t="s">
        <v>74</v>
      </c>
      <c r="AG27" s="7" t="s">
        <v>15</v>
      </c>
      <c r="AH27" s="7" t="s">
        <v>16</v>
      </c>
      <c r="AI27" s="151" t="s">
        <v>74</v>
      </c>
      <c r="AJ27" s="7" t="s">
        <v>15</v>
      </c>
      <c r="AK27" s="7" t="s">
        <v>16</v>
      </c>
      <c r="AL27" s="151" t="s">
        <v>74</v>
      </c>
      <c r="AM27" s="7" t="s">
        <v>15</v>
      </c>
      <c r="AN27" s="7" t="s">
        <v>16</v>
      </c>
      <c r="AO27" s="6" t="s">
        <v>74</v>
      </c>
      <c r="AP27" s="7" t="s">
        <v>15</v>
      </c>
      <c r="AQ27" s="7" t="s">
        <v>16</v>
      </c>
      <c r="AR27" s="46"/>
      <c r="AS27" s="46"/>
      <c r="AT27" s="46"/>
      <c r="AU27" s="37"/>
    </row>
    <row r="28" spans="1:52" ht="14.95" customHeight="1" thickBot="1" x14ac:dyDescent="0.3">
      <c r="A28" s="195" t="s">
        <v>705</v>
      </c>
      <c r="B28" s="193">
        <v>0</v>
      </c>
      <c r="C28" s="294">
        <v>0</v>
      </c>
      <c r="D28" s="239">
        <v>1</v>
      </c>
      <c r="E28" s="197">
        <f t="shared" si="15"/>
        <v>1</v>
      </c>
      <c r="F28" s="300" t="s">
        <v>705</v>
      </c>
      <c r="G28" s="304">
        <v>0</v>
      </c>
      <c r="H28" s="297">
        <v>0</v>
      </c>
      <c r="I28" s="298">
        <v>5</v>
      </c>
      <c r="J28" s="302">
        <f t="shared" si="16"/>
        <v>5</v>
      </c>
      <c r="K28" s="195" t="s">
        <v>638</v>
      </c>
      <c r="L28" s="197" t="s">
        <v>21</v>
      </c>
      <c r="M28" s="197" t="s">
        <v>21</v>
      </c>
      <c r="N28" s="198" t="s">
        <v>21</v>
      </c>
      <c r="O28" s="7" t="s">
        <v>21</v>
      </c>
      <c r="P28" s="7" t="s">
        <v>21</v>
      </c>
      <c r="Q28" s="156" t="s">
        <v>21</v>
      </c>
      <c r="R28" s="7">
        <v>0</v>
      </c>
      <c r="S28" s="7">
        <v>1</v>
      </c>
      <c r="T28" s="156">
        <f t="shared" ref="T28:T30" si="28">SUM(R28/S28)*100</f>
        <v>0</v>
      </c>
      <c r="U28" s="7" t="s">
        <v>21</v>
      </c>
      <c r="V28" s="7" t="s">
        <v>21</v>
      </c>
      <c r="W28" s="156" t="s">
        <v>21</v>
      </c>
      <c r="AC28" s="6" t="s">
        <v>21</v>
      </c>
      <c r="AD28" s="7" t="s">
        <v>21</v>
      </c>
      <c r="AE28" s="156" t="s">
        <v>21</v>
      </c>
      <c r="AF28" s="151" t="s">
        <v>21</v>
      </c>
      <c r="AG28" s="7" t="s">
        <v>21</v>
      </c>
      <c r="AH28" s="7" t="s">
        <v>21</v>
      </c>
      <c r="AI28" s="151" t="s">
        <v>21</v>
      </c>
      <c r="AJ28" s="7" t="s">
        <v>21</v>
      </c>
      <c r="AK28" s="7" t="s">
        <v>21</v>
      </c>
      <c r="AL28" s="151" t="s">
        <v>21</v>
      </c>
      <c r="AM28" s="7" t="s">
        <v>21</v>
      </c>
      <c r="AN28" s="7" t="s">
        <v>21</v>
      </c>
      <c r="AO28" s="151" t="s">
        <v>21</v>
      </c>
      <c r="AP28" s="7" t="s">
        <v>21</v>
      </c>
      <c r="AQ28" s="7" t="s">
        <v>21</v>
      </c>
      <c r="AR28" s="46"/>
      <c r="AS28" s="46"/>
      <c r="AT28" s="46"/>
      <c r="AU28" s="37"/>
    </row>
    <row r="29" spans="1:52" ht="14.95" customHeight="1" thickBot="1" x14ac:dyDescent="0.3">
      <c r="A29" s="195" t="s">
        <v>969</v>
      </c>
      <c r="B29" s="193">
        <v>0</v>
      </c>
      <c r="C29" s="294">
        <v>2</v>
      </c>
      <c r="D29" s="239">
        <v>0</v>
      </c>
      <c r="E29" s="197">
        <f t="shared" si="15"/>
        <v>2</v>
      </c>
      <c r="F29" s="300" t="s">
        <v>969</v>
      </c>
      <c r="G29" s="304">
        <v>0</v>
      </c>
      <c r="H29" s="297">
        <v>10</v>
      </c>
      <c r="I29" s="298">
        <v>0</v>
      </c>
      <c r="J29" s="302">
        <f t="shared" si="16"/>
        <v>10</v>
      </c>
      <c r="K29" s="195" t="s">
        <v>617</v>
      </c>
      <c r="L29" s="197">
        <v>1</v>
      </c>
      <c r="M29" s="197">
        <v>1</v>
      </c>
      <c r="N29" s="198">
        <v>100</v>
      </c>
      <c r="O29" s="7">
        <v>5</v>
      </c>
      <c r="P29" s="7">
        <v>6</v>
      </c>
      <c r="Q29" s="156">
        <v>83.333333333333343</v>
      </c>
      <c r="R29" s="7">
        <v>6</v>
      </c>
      <c r="S29" s="7">
        <v>7</v>
      </c>
      <c r="T29" s="156">
        <f t="shared" si="28"/>
        <v>85.714285714285708</v>
      </c>
      <c r="U29" s="7" t="s">
        <v>21</v>
      </c>
      <c r="V29" s="7" t="s">
        <v>21</v>
      </c>
      <c r="W29" s="156" t="s">
        <v>21</v>
      </c>
      <c r="AC29" s="6" t="s">
        <v>21</v>
      </c>
      <c r="AD29" s="7" t="s">
        <v>21</v>
      </c>
      <c r="AE29" s="156" t="s">
        <v>21</v>
      </c>
      <c r="AF29" s="151" t="s">
        <v>21</v>
      </c>
      <c r="AG29" s="7" t="s">
        <v>21</v>
      </c>
      <c r="AH29" s="7" t="s">
        <v>21</v>
      </c>
      <c r="AI29" s="151" t="s">
        <v>21</v>
      </c>
      <c r="AJ29" s="7" t="s">
        <v>21</v>
      </c>
      <c r="AK29" s="7" t="s">
        <v>21</v>
      </c>
      <c r="AL29" s="151" t="s">
        <v>21</v>
      </c>
      <c r="AM29" s="7" t="s">
        <v>21</v>
      </c>
      <c r="AN29" s="7" t="s">
        <v>21</v>
      </c>
      <c r="AO29" s="151" t="s">
        <v>21</v>
      </c>
      <c r="AP29" s="7" t="s">
        <v>21</v>
      </c>
      <c r="AQ29" s="7" t="s">
        <v>21</v>
      </c>
      <c r="AR29" s="46"/>
      <c r="AS29" s="46"/>
      <c r="AT29" s="46"/>
      <c r="AU29" s="37"/>
    </row>
    <row r="30" spans="1:52" ht="14.95" customHeight="1" thickBot="1" x14ac:dyDescent="0.3">
      <c r="A30" s="195" t="s">
        <v>737</v>
      </c>
      <c r="B30" s="193">
        <v>1</v>
      </c>
      <c r="C30" s="294">
        <v>0</v>
      </c>
      <c r="D30" s="239">
        <v>1</v>
      </c>
      <c r="E30" s="197">
        <f t="shared" si="15"/>
        <v>2</v>
      </c>
      <c r="F30" s="300" t="s">
        <v>737</v>
      </c>
      <c r="G30" s="304">
        <v>5</v>
      </c>
      <c r="H30" s="297">
        <v>0</v>
      </c>
      <c r="I30" s="298">
        <v>5</v>
      </c>
      <c r="J30" s="302">
        <f t="shared" si="16"/>
        <v>10</v>
      </c>
      <c r="K30" s="195" t="s">
        <v>492</v>
      </c>
      <c r="L30" s="197">
        <v>11</v>
      </c>
      <c r="M30" s="197">
        <v>15</v>
      </c>
      <c r="N30" s="198">
        <v>73</v>
      </c>
      <c r="O30" s="7">
        <v>5</v>
      </c>
      <c r="P30" s="7">
        <v>9</v>
      </c>
      <c r="Q30" s="156">
        <v>55.555555555555557</v>
      </c>
      <c r="R30" s="7">
        <v>1</v>
      </c>
      <c r="S30" s="7">
        <v>2</v>
      </c>
      <c r="T30" s="156">
        <f t="shared" si="28"/>
        <v>50</v>
      </c>
      <c r="U30" s="7" t="s">
        <v>21</v>
      </c>
      <c r="V30" s="7" t="s">
        <v>21</v>
      </c>
      <c r="W30" s="156" t="s">
        <v>21</v>
      </c>
      <c r="AC30" s="6" t="s">
        <v>21</v>
      </c>
      <c r="AD30" s="7" t="s">
        <v>21</v>
      </c>
      <c r="AE30" s="156" t="s">
        <v>21</v>
      </c>
      <c r="AF30" s="151" t="s">
        <v>21</v>
      </c>
      <c r="AG30" s="7" t="s">
        <v>21</v>
      </c>
      <c r="AH30" s="7" t="s">
        <v>21</v>
      </c>
      <c r="AI30" s="151" t="s">
        <v>21</v>
      </c>
      <c r="AJ30" s="7" t="s">
        <v>21</v>
      </c>
      <c r="AK30" s="7" t="s">
        <v>21</v>
      </c>
      <c r="AL30" s="151" t="s">
        <v>21</v>
      </c>
      <c r="AM30" s="7" t="s">
        <v>21</v>
      </c>
      <c r="AN30" s="7" t="s">
        <v>21</v>
      </c>
      <c r="AO30" s="151" t="s">
        <v>21</v>
      </c>
      <c r="AP30" s="7" t="s">
        <v>21</v>
      </c>
      <c r="AQ30" s="7" t="s">
        <v>21</v>
      </c>
      <c r="AR30" s="46"/>
      <c r="AS30" s="46"/>
      <c r="AT30" s="46"/>
      <c r="AU30" s="37"/>
    </row>
    <row r="31" spans="1:52" ht="14.95" customHeight="1" thickBot="1" x14ac:dyDescent="0.3">
      <c r="A31" s="195" t="s">
        <v>7</v>
      </c>
      <c r="B31" s="193">
        <v>3</v>
      </c>
      <c r="C31" s="294">
        <v>0</v>
      </c>
      <c r="D31" s="239">
        <v>2</v>
      </c>
      <c r="E31" s="197">
        <f t="shared" ref="E31" si="29">SUM(B31:D31)</f>
        <v>5</v>
      </c>
      <c r="F31" s="300" t="s">
        <v>7</v>
      </c>
      <c r="G31" s="304">
        <v>15</v>
      </c>
      <c r="H31" s="297">
        <v>0</v>
      </c>
      <c r="I31" s="298">
        <v>10</v>
      </c>
      <c r="J31" s="302">
        <f t="shared" ref="J31" si="30">SUM(G31:I31)</f>
        <v>25</v>
      </c>
      <c r="K31" s="195" t="s">
        <v>739</v>
      </c>
      <c r="L31" s="197">
        <v>11</v>
      </c>
      <c r="M31" s="197">
        <v>12</v>
      </c>
      <c r="N31" s="198">
        <v>92</v>
      </c>
      <c r="O31" s="7" t="s">
        <v>25</v>
      </c>
      <c r="P31" s="7" t="s">
        <v>25</v>
      </c>
      <c r="Q31" s="7" t="s">
        <v>25</v>
      </c>
      <c r="R31" s="7" t="s">
        <v>25</v>
      </c>
      <c r="S31" s="7" t="s">
        <v>25</v>
      </c>
      <c r="T31" s="7" t="s">
        <v>25</v>
      </c>
      <c r="U31" s="7" t="s">
        <v>25</v>
      </c>
      <c r="V31" s="7" t="s">
        <v>25</v>
      </c>
      <c r="W31" s="7" t="s">
        <v>25</v>
      </c>
      <c r="AC31" s="6"/>
      <c r="AD31" s="7"/>
      <c r="AE31" s="156"/>
      <c r="AF31" s="151"/>
      <c r="AG31" s="7"/>
      <c r="AH31" s="7"/>
      <c r="AI31" s="151"/>
      <c r="AJ31" s="7"/>
      <c r="AK31" s="7"/>
      <c r="AL31" s="151"/>
      <c r="AM31" s="7"/>
      <c r="AN31" s="7"/>
      <c r="AO31" s="151"/>
      <c r="AP31" s="7"/>
      <c r="AQ31" s="7"/>
      <c r="AR31" s="46"/>
      <c r="AS31" s="46"/>
      <c r="AT31" s="46"/>
      <c r="AU31" s="37"/>
    </row>
    <row r="32" spans="1:52" ht="14.95" customHeight="1" thickBot="1" x14ac:dyDescent="0.3">
      <c r="A32" s="195" t="s">
        <v>615</v>
      </c>
      <c r="B32" s="193">
        <v>0</v>
      </c>
      <c r="C32" s="294">
        <v>0</v>
      </c>
      <c r="D32" s="239">
        <v>1</v>
      </c>
      <c r="E32" s="197">
        <f t="shared" si="15"/>
        <v>1</v>
      </c>
      <c r="F32" s="300" t="s">
        <v>615</v>
      </c>
      <c r="G32" s="304">
        <v>0</v>
      </c>
      <c r="H32" s="297">
        <v>0</v>
      </c>
      <c r="I32" s="298">
        <v>5</v>
      </c>
      <c r="J32" s="302">
        <f t="shared" si="16"/>
        <v>5</v>
      </c>
      <c r="K32" s="195" t="s">
        <v>32</v>
      </c>
      <c r="L32" s="197" t="s">
        <v>21</v>
      </c>
      <c r="M32" s="197" t="s">
        <v>21</v>
      </c>
      <c r="N32" s="198" t="s">
        <v>21</v>
      </c>
      <c r="O32" s="7" t="s">
        <v>21</v>
      </c>
      <c r="P32" s="7" t="s">
        <v>21</v>
      </c>
      <c r="Q32" s="156" t="s">
        <v>21</v>
      </c>
      <c r="R32" s="7" t="s">
        <v>21</v>
      </c>
      <c r="S32" s="7" t="s">
        <v>21</v>
      </c>
      <c r="T32" s="156" t="s">
        <v>21</v>
      </c>
      <c r="U32" s="7">
        <v>20</v>
      </c>
      <c r="V32" s="7">
        <v>25</v>
      </c>
      <c r="W32" s="156">
        <f>(U32/V32)*100</f>
        <v>80</v>
      </c>
      <c r="AC32" s="151">
        <v>3</v>
      </c>
      <c r="AD32" s="7">
        <v>4</v>
      </c>
      <c r="AE32" s="156">
        <f t="shared" ref="AE32" si="31">SUM(AC32/AD32)*100</f>
        <v>75</v>
      </c>
      <c r="AF32" s="151" t="s">
        <v>21</v>
      </c>
      <c r="AG32" s="7" t="s">
        <v>21</v>
      </c>
      <c r="AH32" s="7" t="s">
        <v>21</v>
      </c>
      <c r="AI32" s="151" t="s">
        <v>21</v>
      </c>
      <c r="AJ32" s="7" t="s">
        <v>21</v>
      </c>
      <c r="AK32" s="7" t="s">
        <v>21</v>
      </c>
      <c r="AL32" s="151" t="s">
        <v>21</v>
      </c>
      <c r="AM32" s="7" t="s">
        <v>21</v>
      </c>
      <c r="AN32" s="7" t="s">
        <v>21</v>
      </c>
      <c r="AO32" s="151" t="s">
        <v>21</v>
      </c>
      <c r="AP32" s="7" t="s">
        <v>21</v>
      </c>
      <c r="AQ32" s="7" t="s">
        <v>21</v>
      </c>
      <c r="AR32" s="120"/>
      <c r="AS32" s="120"/>
      <c r="AT32" s="120"/>
      <c r="AU32" s="37"/>
    </row>
    <row r="33" spans="1:23" ht="14.95" customHeight="1" thickBot="1" x14ac:dyDescent="0.3">
      <c r="A33" s="195" t="s">
        <v>490</v>
      </c>
      <c r="B33" s="193">
        <v>1</v>
      </c>
      <c r="C33" s="294">
        <v>0</v>
      </c>
      <c r="D33" s="239">
        <v>0</v>
      </c>
      <c r="E33" s="197">
        <f t="shared" si="15"/>
        <v>1</v>
      </c>
      <c r="F33" s="300" t="s">
        <v>490</v>
      </c>
      <c r="G33" s="304">
        <v>5</v>
      </c>
      <c r="H33" s="297">
        <v>0</v>
      </c>
      <c r="I33" s="298">
        <v>0</v>
      </c>
      <c r="J33" s="302">
        <f t="shared" si="16"/>
        <v>5</v>
      </c>
      <c r="K33" s="492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</row>
    <row r="34" spans="1:23" ht="14.95" customHeight="1" thickBot="1" x14ac:dyDescent="0.3">
      <c r="A34" s="195" t="s">
        <v>385</v>
      </c>
      <c r="B34" s="193">
        <v>0</v>
      </c>
      <c r="C34" s="294">
        <v>0</v>
      </c>
      <c r="D34" s="239">
        <v>0</v>
      </c>
      <c r="E34" s="197">
        <f t="shared" si="15"/>
        <v>0</v>
      </c>
      <c r="F34" s="300" t="s">
        <v>385</v>
      </c>
      <c r="G34" s="304">
        <v>0</v>
      </c>
      <c r="H34" s="297">
        <v>0</v>
      </c>
      <c r="I34" s="298">
        <v>0</v>
      </c>
      <c r="J34" s="302">
        <f t="shared" si="16"/>
        <v>0</v>
      </c>
      <c r="K34" s="492" t="s">
        <v>1023</v>
      </c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</row>
    <row r="35" spans="1:23" ht="14.95" customHeight="1" thickBot="1" x14ac:dyDescent="0.3">
      <c r="A35" s="195" t="s">
        <v>104</v>
      </c>
      <c r="B35" s="193">
        <v>4</v>
      </c>
      <c r="C35" s="294">
        <v>0</v>
      </c>
      <c r="D35" s="239">
        <v>0</v>
      </c>
      <c r="E35" s="197">
        <f t="shared" si="15"/>
        <v>4</v>
      </c>
      <c r="F35" s="300" t="s">
        <v>104</v>
      </c>
      <c r="G35" s="304">
        <v>20</v>
      </c>
      <c r="H35" s="297">
        <v>0</v>
      </c>
      <c r="I35" s="298">
        <v>0</v>
      </c>
      <c r="J35" s="302">
        <f t="shared" si="16"/>
        <v>20</v>
      </c>
      <c r="K35" s="94"/>
      <c r="L35" s="95"/>
      <c r="M35" s="95"/>
      <c r="N35" s="95"/>
      <c r="O35" s="95"/>
      <c r="P35" s="95"/>
      <c r="Q35" s="95"/>
    </row>
    <row r="36" spans="1:23" ht="14.95" customHeight="1" thickBot="1" x14ac:dyDescent="0.3">
      <c r="A36" s="195" t="s">
        <v>323</v>
      </c>
      <c r="B36" s="193">
        <v>0</v>
      </c>
      <c r="C36" s="294">
        <v>0</v>
      </c>
      <c r="D36" s="239">
        <v>0</v>
      </c>
      <c r="E36" s="197">
        <f t="shared" si="15"/>
        <v>0</v>
      </c>
      <c r="F36" s="300" t="s">
        <v>323</v>
      </c>
      <c r="G36" s="304">
        <v>0</v>
      </c>
      <c r="H36" s="297">
        <v>0</v>
      </c>
      <c r="I36" s="298">
        <v>0</v>
      </c>
      <c r="J36" s="302">
        <f t="shared" si="16"/>
        <v>0</v>
      </c>
      <c r="K36" s="94"/>
      <c r="L36" s="95"/>
      <c r="M36" s="95"/>
      <c r="N36" s="95"/>
      <c r="O36" s="95"/>
      <c r="P36" s="95"/>
      <c r="Q36" s="95"/>
    </row>
    <row r="37" spans="1:23" ht="14.95" customHeight="1" thickBot="1" x14ac:dyDescent="0.3">
      <c r="A37" s="195" t="s">
        <v>317</v>
      </c>
      <c r="B37" s="193">
        <v>1</v>
      </c>
      <c r="C37" s="294">
        <v>0</v>
      </c>
      <c r="D37" s="239">
        <v>0</v>
      </c>
      <c r="E37" s="197">
        <f t="shared" si="15"/>
        <v>1</v>
      </c>
      <c r="F37" s="300" t="s">
        <v>317</v>
      </c>
      <c r="G37" s="304">
        <v>5</v>
      </c>
      <c r="H37" s="297">
        <v>0</v>
      </c>
      <c r="I37" s="298">
        <v>0</v>
      </c>
      <c r="J37" s="302">
        <f t="shared" si="16"/>
        <v>5</v>
      </c>
      <c r="K37" s="94"/>
      <c r="L37" s="95"/>
      <c r="M37" s="95"/>
      <c r="N37" s="95"/>
      <c r="O37" s="95"/>
      <c r="P37" s="95"/>
      <c r="Q37" s="95"/>
    </row>
    <row r="38" spans="1:23" ht="14.95" customHeight="1" thickBot="1" x14ac:dyDescent="0.3">
      <c r="A38" s="195" t="s">
        <v>986</v>
      </c>
      <c r="B38" s="193">
        <v>0</v>
      </c>
      <c r="C38" s="294">
        <v>1</v>
      </c>
      <c r="D38" s="239">
        <v>0</v>
      </c>
      <c r="E38" s="197">
        <f t="shared" si="15"/>
        <v>1</v>
      </c>
      <c r="F38" s="300" t="s">
        <v>986</v>
      </c>
      <c r="G38" s="304">
        <v>0</v>
      </c>
      <c r="H38" s="297">
        <v>5</v>
      </c>
      <c r="I38" s="298">
        <v>0</v>
      </c>
      <c r="J38" s="302">
        <f t="shared" si="16"/>
        <v>5</v>
      </c>
      <c r="K38" s="94"/>
      <c r="L38" s="95"/>
      <c r="M38" s="95"/>
      <c r="N38" s="95"/>
      <c r="O38" s="95"/>
      <c r="P38" s="95"/>
      <c r="Q38" s="95"/>
    </row>
    <row r="39" spans="1:23" ht="14.95" customHeight="1" thickBot="1" x14ac:dyDescent="0.3">
      <c r="A39" s="195" t="s">
        <v>452</v>
      </c>
      <c r="B39" s="193">
        <v>6</v>
      </c>
      <c r="C39" s="294">
        <v>2</v>
      </c>
      <c r="D39" s="239">
        <v>1</v>
      </c>
      <c r="E39" s="197">
        <f t="shared" si="15"/>
        <v>9</v>
      </c>
      <c r="F39" s="300" t="s">
        <v>452</v>
      </c>
      <c r="G39" s="304">
        <v>30</v>
      </c>
      <c r="H39" s="297">
        <v>10</v>
      </c>
      <c r="I39" s="298">
        <v>5</v>
      </c>
      <c r="J39" s="302">
        <f t="shared" si="16"/>
        <v>45</v>
      </c>
    </row>
    <row r="40" spans="1:23" ht="14.95" customHeight="1" thickBot="1" x14ac:dyDescent="0.3">
      <c r="A40" s="195" t="s">
        <v>8</v>
      </c>
      <c r="B40" s="193">
        <v>0</v>
      </c>
      <c r="C40" s="294">
        <v>0</v>
      </c>
      <c r="D40" s="239">
        <v>0</v>
      </c>
      <c r="E40" s="197">
        <f t="shared" si="15"/>
        <v>0</v>
      </c>
      <c r="F40" s="300" t="s">
        <v>8</v>
      </c>
      <c r="G40" s="304">
        <v>0</v>
      </c>
      <c r="H40" s="297">
        <v>0</v>
      </c>
      <c r="I40" s="298">
        <v>0</v>
      </c>
      <c r="J40" s="302">
        <f t="shared" si="16"/>
        <v>0</v>
      </c>
    </row>
    <row r="41" spans="1:23" ht="14.95" customHeight="1" thickBot="1" x14ac:dyDescent="0.3">
      <c r="A41" s="195" t="s">
        <v>262</v>
      </c>
      <c r="B41" s="193">
        <v>3</v>
      </c>
      <c r="C41" s="294">
        <v>2</v>
      </c>
      <c r="D41" s="239">
        <v>1</v>
      </c>
      <c r="E41" s="197">
        <f t="shared" si="15"/>
        <v>6</v>
      </c>
      <c r="F41" s="300" t="s">
        <v>262</v>
      </c>
      <c r="G41" s="304">
        <v>15</v>
      </c>
      <c r="H41" s="297">
        <v>10</v>
      </c>
      <c r="I41" s="298">
        <v>5</v>
      </c>
      <c r="J41" s="302">
        <f t="shared" si="16"/>
        <v>30</v>
      </c>
    </row>
    <row r="42" spans="1:23" ht="14.95" customHeight="1" thickBot="1" x14ac:dyDescent="0.3">
      <c r="A42" s="195" t="s">
        <v>740</v>
      </c>
      <c r="B42" s="193">
        <v>0</v>
      </c>
      <c r="C42" s="294">
        <v>0</v>
      </c>
      <c r="D42" s="239">
        <v>0</v>
      </c>
      <c r="E42" s="197">
        <f t="shared" si="15"/>
        <v>0</v>
      </c>
      <c r="F42" s="300" t="s">
        <v>740</v>
      </c>
      <c r="G42" s="304">
        <v>0</v>
      </c>
      <c r="H42" s="297">
        <v>0</v>
      </c>
      <c r="I42" s="298">
        <v>0</v>
      </c>
      <c r="J42" s="302">
        <f t="shared" si="16"/>
        <v>0</v>
      </c>
    </row>
    <row r="43" spans="1:23" ht="14.95" customHeight="1" thickBot="1" x14ac:dyDescent="0.3">
      <c r="A43" s="195" t="s">
        <v>752</v>
      </c>
      <c r="B43" s="193">
        <v>0</v>
      </c>
      <c r="C43" s="294">
        <v>0</v>
      </c>
      <c r="D43" s="239">
        <v>1</v>
      </c>
      <c r="E43" s="197">
        <f t="shared" si="15"/>
        <v>1</v>
      </c>
      <c r="F43" s="300" t="s">
        <v>752</v>
      </c>
      <c r="G43" s="304">
        <v>0</v>
      </c>
      <c r="H43" s="297">
        <v>0</v>
      </c>
      <c r="I43" s="298">
        <v>5</v>
      </c>
      <c r="J43" s="302">
        <f t="shared" si="16"/>
        <v>5</v>
      </c>
    </row>
    <row r="44" spans="1:23" ht="14.95" customHeight="1" thickBot="1" x14ac:dyDescent="0.3">
      <c r="A44" s="195" t="s">
        <v>319</v>
      </c>
      <c r="B44" s="193">
        <v>5</v>
      </c>
      <c r="C44" s="294">
        <v>0</v>
      </c>
      <c r="D44" s="239">
        <v>0</v>
      </c>
      <c r="E44" s="197">
        <f t="shared" si="15"/>
        <v>5</v>
      </c>
      <c r="F44" s="300" t="s">
        <v>319</v>
      </c>
      <c r="G44" s="304">
        <v>25</v>
      </c>
      <c r="H44" s="297">
        <v>0</v>
      </c>
      <c r="I44" s="298">
        <v>0</v>
      </c>
      <c r="J44" s="302">
        <f t="shared" si="16"/>
        <v>25</v>
      </c>
    </row>
    <row r="45" spans="1:23" ht="14.95" customHeight="1" thickBot="1" x14ac:dyDescent="0.3">
      <c r="A45" s="195" t="s">
        <v>771</v>
      </c>
      <c r="B45" s="193">
        <v>0</v>
      </c>
      <c r="C45" s="294">
        <v>0</v>
      </c>
      <c r="D45" s="239">
        <v>0</v>
      </c>
      <c r="E45" s="197">
        <f t="shared" si="15"/>
        <v>0</v>
      </c>
      <c r="F45" s="300" t="s">
        <v>771</v>
      </c>
      <c r="G45" s="304">
        <v>0</v>
      </c>
      <c r="H45" s="297">
        <v>0</v>
      </c>
      <c r="I45" s="298">
        <v>0</v>
      </c>
      <c r="J45" s="302">
        <f t="shared" si="16"/>
        <v>0</v>
      </c>
    </row>
    <row r="46" spans="1:23" ht="14.95" customHeight="1" thickBot="1" x14ac:dyDescent="0.3">
      <c r="A46" s="195" t="s">
        <v>736</v>
      </c>
      <c r="B46" s="193">
        <v>0</v>
      </c>
      <c r="C46" s="294">
        <v>0</v>
      </c>
      <c r="D46" s="239">
        <v>0</v>
      </c>
      <c r="E46" s="197">
        <f t="shared" si="15"/>
        <v>0</v>
      </c>
      <c r="F46" s="300" t="s">
        <v>736</v>
      </c>
      <c r="G46" s="304">
        <v>0</v>
      </c>
      <c r="H46" s="297">
        <v>0</v>
      </c>
      <c r="I46" s="298">
        <v>0</v>
      </c>
      <c r="J46" s="302">
        <f t="shared" si="16"/>
        <v>0</v>
      </c>
    </row>
    <row r="47" spans="1:23" ht="14.95" customHeight="1" thickBot="1" x14ac:dyDescent="0.3">
      <c r="A47" s="195" t="s">
        <v>5</v>
      </c>
      <c r="B47" s="193">
        <v>0</v>
      </c>
      <c r="C47" s="294">
        <v>1</v>
      </c>
      <c r="D47" s="239">
        <v>0</v>
      </c>
      <c r="E47" s="197">
        <f t="shared" si="15"/>
        <v>1</v>
      </c>
      <c r="F47" s="300" t="s">
        <v>5</v>
      </c>
      <c r="G47" s="304">
        <v>0</v>
      </c>
      <c r="H47" s="297">
        <v>7</v>
      </c>
      <c r="I47" s="298">
        <v>0</v>
      </c>
      <c r="J47" s="302">
        <f t="shared" si="16"/>
        <v>7</v>
      </c>
    </row>
    <row r="48" spans="1:23" ht="14.95" customHeight="1" thickBot="1" x14ac:dyDescent="0.3">
      <c r="A48" s="195" t="s">
        <v>425</v>
      </c>
      <c r="B48" s="193">
        <v>3</v>
      </c>
      <c r="C48" s="294">
        <v>2</v>
      </c>
      <c r="D48" s="239">
        <v>0</v>
      </c>
      <c r="E48" s="197">
        <f t="shared" si="15"/>
        <v>5</v>
      </c>
      <c r="F48" s="300" t="s">
        <v>425</v>
      </c>
      <c r="G48" s="304">
        <v>15</v>
      </c>
      <c r="H48" s="297">
        <v>10</v>
      </c>
      <c r="I48" s="298">
        <v>0</v>
      </c>
      <c r="J48" s="302">
        <f t="shared" si="16"/>
        <v>25</v>
      </c>
    </row>
    <row r="49" spans="1:10" ht="14.95" customHeight="1" thickBot="1" x14ac:dyDescent="0.3">
      <c r="A49" s="195" t="s">
        <v>715</v>
      </c>
      <c r="B49" s="193">
        <v>2</v>
      </c>
      <c r="C49" s="294">
        <v>1</v>
      </c>
      <c r="D49" s="239">
        <v>1</v>
      </c>
      <c r="E49" s="197">
        <f t="shared" si="15"/>
        <v>4</v>
      </c>
      <c r="F49" s="300" t="s">
        <v>715</v>
      </c>
      <c r="G49" s="304">
        <v>10</v>
      </c>
      <c r="H49" s="297">
        <v>5</v>
      </c>
      <c r="I49" s="298">
        <v>5</v>
      </c>
      <c r="J49" s="302">
        <f t="shared" si="16"/>
        <v>20</v>
      </c>
    </row>
    <row r="50" spans="1:10" ht="14.95" customHeight="1" thickBot="1" x14ac:dyDescent="0.3">
      <c r="A50" s="195" t="s">
        <v>739</v>
      </c>
      <c r="B50" s="193">
        <v>0</v>
      </c>
      <c r="C50" s="294">
        <v>0</v>
      </c>
      <c r="D50" s="239">
        <v>1</v>
      </c>
      <c r="E50" s="197">
        <f t="shared" si="15"/>
        <v>1</v>
      </c>
      <c r="F50" s="300" t="s">
        <v>739</v>
      </c>
      <c r="G50" s="304">
        <v>0</v>
      </c>
      <c r="H50" s="297">
        <v>0</v>
      </c>
      <c r="I50" s="298">
        <v>32</v>
      </c>
      <c r="J50" s="302">
        <f t="shared" si="16"/>
        <v>32</v>
      </c>
    </row>
    <row r="51" spans="1:10" ht="14.95" customHeight="1" thickBot="1" x14ac:dyDescent="0.3">
      <c r="A51" s="195" t="s">
        <v>32</v>
      </c>
      <c r="B51" s="193">
        <v>3</v>
      </c>
      <c r="C51" s="294">
        <v>4</v>
      </c>
      <c r="D51" s="239">
        <v>0</v>
      </c>
      <c r="E51" s="197">
        <f t="shared" si="15"/>
        <v>7</v>
      </c>
      <c r="F51" s="300" t="s">
        <v>32</v>
      </c>
      <c r="G51" s="304">
        <v>88</v>
      </c>
      <c r="H51" s="297">
        <v>74</v>
      </c>
      <c r="I51" s="298">
        <v>0</v>
      </c>
      <c r="J51" s="302">
        <f t="shared" si="16"/>
        <v>162</v>
      </c>
    </row>
    <row r="52" spans="1:10" ht="14.95" customHeight="1" thickBot="1" x14ac:dyDescent="0.3">
      <c r="A52" s="195" t="s">
        <v>891</v>
      </c>
      <c r="B52" s="193">
        <v>0</v>
      </c>
      <c r="C52" s="294">
        <v>0</v>
      </c>
      <c r="D52" s="239">
        <v>2</v>
      </c>
      <c r="E52" s="197">
        <f t="shared" ref="E52" si="32">SUM(B52:D52)</f>
        <v>2</v>
      </c>
      <c r="F52" s="300" t="s">
        <v>891</v>
      </c>
      <c r="G52" s="304">
        <v>0</v>
      </c>
      <c r="H52" s="297">
        <v>0</v>
      </c>
      <c r="I52" s="298">
        <v>10</v>
      </c>
      <c r="J52" s="302">
        <f t="shared" ref="J52" si="33">SUM(G52:I52)</f>
        <v>10</v>
      </c>
    </row>
    <row r="53" spans="1:10" ht="14.95" customHeight="1" thickBot="1" x14ac:dyDescent="0.3">
      <c r="A53" s="195" t="s">
        <v>28</v>
      </c>
      <c r="B53" s="193">
        <v>4</v>
      </c>
      <c r="C53" s="294">
        <v>2</v>
      </c>
      <c r="D53" s="239">
        <v>0</v>
      </c>
      <c r="E53" s="197">
        <f t="shared" si="15"/>
        <v>6</v>
      </c>
      <c r="F53" s="300" t="s">
        <v>28</v>
      </c>
      <c r="G53" s="304">
        <v>20</v>
      </c>
      <c r="H53" s="297">
        <v>10</v>
      </c>
      <c r="I53" s="298">
        <v>0</v>
      </c>
      <c r="J53" s="302">
        <f t="shared" si="16"/>
        <v>30</v>
      </c>
    </row>
    <row r="54" spans="1:10" ht="14.95" customHeight="1" thickBot="1" x14ac:dyDescent="0.3">
      <c r="A54" s="195" t="s">
        <v>626</v>
      </c>
      <c r="B54" s="193">
        <v>0</v>
      </c>
      <c r="C54" s="294">
        <v>0</v>
      </c>
      <c r="D54" s="239">
        <v>1</v>
      </c>
      <c r="E54" s="197">
        <f t="shared" si="15"/>
        <v>1</v>
      </c>
      <c r="F54" s="300" t="s">
        <v>626</v>
      </c>
      <c r="G54" s="304">
        <v>0</v>
      </c>
      <c r="H54" s="297">
        <v>0</v>
      </c>
      <c r="I54" s="298">
        <v>5</v>
      </c>
      <c r="J54" s="302">
        <f t="shared" si="16"/>
        <v>5</v>
      </c>
    </row>
    <row r="55" spans="1:10" ht="14.95" customHeight="1" thickBot="1" x14ac:dyDescent="0.3">
      <c r="A55" s="195" t="s">
        <v>103</v>
      </c>
      <c r="B55" s="193">
        <v>0</v>
      </c>
      <c r="C55" s="294">
        <v>0</v>
      </c>
      <c r="D55" s="239">
        <v>1</v>
      </c>
      <c r="E55" s="197">
        <f t="shared" si="15"/>
        <v>1</v>
      </c>
      <c r="F55" s="300" t="s">
        <v>103</v>
      </c>
      <c r="G55" s="304">
        <v>0</v>
      </c>
      <c r="H55" s="297">
        <v>0</v>
      </c>
      <c r="I55" s="298">
        <v>5</v>
      </c>
      <c r="J55" s="302">
        <f t="shared" si="16"/>
        <v>5</v>
      </c>
    </row>
    <row r="56" spans="1:10" ht="14.95" thickBot="1" x14ac:dyDescent="0.3">
      <c r="A56" s="195" t="s">
        <v>3</v>
      </c>
      <c r="B56" s="193">
        <f>SUM(B3:B55)</f>
        <v>71</v>
      </c>
      <c r="C56" s="294">
        <f>SUM(C3:C55)</f>
        <v>36</v>
      </c>
      <c r="D56" s="239">
        <f>SUM(D3:D55)</f>
        <v>25</v>
      </c>
      <c r="E56" s="197">
        <f t="shared" si="15"/>
        <v>132</v>
      </c>
      <c r="F56" s="299" t="s">
        <v>3</v>
      </c>
      <c r="G56" s="303">
        <f>SUM(G3:G55)</f>
        <v>486</v>
      </c>
      <c r="H56" s="295">
        <f>SUM(H3:H55)</f>
        <v>236</v>
      </c>
      <c r="I56" s="298">
        <f>SUM(I3:I55)</f>
        <v>173</v>
      </c>
      <c r="J56" s="302">
        <f t="shared" si="16"/>
        <v>895</v>
      </c>
    </row>
    <row r="57" spans="1:10" ht="16.3" x14ac:dyDescent="0.25">
      <c r="B57" s="135"/>
      <c r="C57" s="68"/>
      <c r="D57" s="68"/>
      <c r="F57" s="13"/>
      <c r="G57" s="143"/>
      <c r="H57" s="70"/>
      <c r="I57" s="70"/>
      <c r="J57" s="13"/>
    </row>
    <row r="58" spans="1:10" ht="17" thickBot="1" x14ac:dyDescent="0.3">
      <c r="A58" t="s">
        <v>18</v>
      </c>
      <c r="B58" s="135"/>
      <c r="C58" s="68"/>
      <c r="D58" s="68"/>
      <c r="F58" s="13"/>
      <c r="G58" s="143"/>
      <c r="H58" s="70"/>
      <c r="I58" s="70"/>
    </row>
    <row r="59" spans="1:10" ht="14.95" thickBot="1" x14ac:dyDescent="0.3">
      <c r="A59" s="194" t="s">
        <v>0</v>
      </c>
      <c r="B59" s="192" t="s">
        <v>355</v>
      </c>
      <c r="C59" s="293" t="s">
        <v>42</v>
      </c>
      <c r="D59" s="238" t="s">
        <v>564</v>
      </c>
      <c r="E59" s="196" t="s">
        <v>1</v>
      </c>
      <c r="F59" s="299" t="s">
        <v>2</v>
      </c>
      <c r="G59" s="303" t="s">
        <v>355</v>
      </c>
      <c r="H59" s="295" t="s">
        <v>42</v>
      </c>
      <c r="I59" s="296" t="s">
        <v>564</v>
      </c>
      <c r="J59" s="301" t="s">
        <v>1</v>
      </c>
    </row>
    <row r="60" spans="1:10" ht="14.95" thickBot="1" x14ac:dyDescent="0.3">
      <c r="A60" s="195" t="s">
        <v>156</v>
      </c>
      <c r="B60" s="193">
        <v>8</v>
      </c>
      <c r="C60" s="294">
        <v>2</v>
      </c>
      <c r="D60" s="239">
        <v>0</v>
      </c>
      <c r="E60" s="197">
        <f t="shared" ref="E60:E91" si="34">SUM(B60:D60)</f>
        <v>10</v>
      </c>
      <c r="F60" s="300" t="s">
        <v>32</v>
      </c>
      <c r="G60" s="304">
        <v>88</v>
      </c>
      <c r="H60" s="297">
        <v>74</v>
      </c>
      <c r="I60" s="298">
        <v>0</v>
      </c>
      <c r="J60" s="302">
        <f t="shared" ref="J60:J91" si="35">SUM(G60:I60)</f>
        <v>162</v>
      </c>
    </row>
    <row r="61" spans="1:10" ht="14.95" thickBot="1" x14ac:dyDescent="0.3">
      <c r="A61" s="195" t="s">
        <v>461</v>
      </c>
      <c r="B61" s="193">
        <v>4</v>
      </c>
      <c r="C61" s="294">
        <v>5</v>
      </c>
      <c r="D61" s="239">
        <v>0</v>
      </c>
      <c r="E61" s="197">
        <f t="shared" si="34"/>
        <v>9</v>
      </c>
      <c r="F61" s="300" t="s">
        <v>156</v>
      </c>
      <c r="G61" s="304">
        <v>40</v>
      </c>
      <c r="H61" s="297">
        <v>10</v>
      </c>
      <c r="I61" s="298">
        <v>0</v>
      </c>
      <c r="J61" s="302">
        <f t="shared" si="35"/>
        <v>50</v>
      </c>
    </row>
    <row r="62" spans="1:10" ht="14.95" thickBot="1" x14ac:dyDescent="0.3">
      <c r="A62" s="195" t="s">
        <v>452</v>
      </c>
      <c r="B62" s="193">
        <v>6</v>
      </c>
      <c r="C62" s="294">
        <v>2</v>
      </c>
      <c r="D62" s="239">
        <v>1</v>
      </c>
      <c r="E62" s="197">
        <f t="shared" si="34"/>
        <v>9</v>
      </c>
      <c r="F62" s="300" t="s">
        <v>921</v>
      </c>
      <c r="G62" s="304">
        <v>47</v>
      </c>
      <c r="H62" s="297">
        <v>0</v>
      </c>
      <c r="I62" s="298">
        <v>0</v>
      </c>
      <c r="J62" s="302">
        <f t="shared" si="35"/>
        <v>47</v>
      </c>
    </row>
    <row r="63" spans="1:10" ht="14.95" thickBot="1" x14ac:dyDescent="0.3">
      <c r="A63" s="195" t="s">
        <v>267</v>
      </c>
      <c r="B63" s="193">
        <v>5</v>
      </c>
      <c r="C63" s="294">
        <v>2</v>
      </c>
      <c r="D63" s="239">
        <v>1</v>
      </c>
      <c r="E63" s="197">
        <f t="shared" si="34"/>
        <v>8</v>
      </c>
      <c r="F63" s="300" t="s">
        <v>461</v>
      </c>
      <c r="G63" s="304">
        <v>20</v>
      </c>
      <c r="H63" s="297">
        <v>25</v>
      </c>
      <c r="I63" s="298">
        <v>0</v>
      </c>
      <c r="J63" s="302">
        <f t="shared" si="35"/>
        <v>45</v>
      </c>
    </row>
    <row r="64" spans="1:10" ht="14.95" thickBot="1" x14ac:dyDescent="0.3">
      <c r="A64" s="195" t="s">
        <v>469</v>
      </c>
      <c r="B64" s="193">
        <v>5</v>
      </c>
      <c r="C64" s="294">
        <v>3</v>
      </c>
      <c r="D64" s="239">
        <v>0</v>
      </c>
      <c r="E64" s="197">
        <f t="shared" si="34"/>
        <v>8</v>
      </c>
      <c r="F64" s="300" t="s">
        <v>452</v>
      </c>
      <c r="G64" s="304">
        <v>30</v>
      </c>
      <c r="H64" s="297">
        <v>10</v>
      </c>
      <c r="I64" s="298">
        <v>5</v>
      </c>
      <c r="J64" s="302">
        <f t="shared" si="35"/>
        <v>45</v>
      </c>
    </row>
    <row r="65" spans="1:10" ht="14.3" customHeight="1" thickBot="1" x14ac:dyDescent="0.3">
      <c r="A65" s="195" t="s">
        <v>451</v>
      </c>
      <c r="B65" s="193">
        <v>3</v>
      </c>
      <c r="C65" s="294">
        <v>4</v>
      </c>
      <c r="D65" s="239">
        <v>0</v>
      </c>
      <c r="E65" s="197">
        <f t="shared" si="34"/>
        <v>7</v>
      </c>
      <c r="F65" s="300" t="s">
        <v>267</v>
      </c>
      <c r="G65" s="304">
        <v>25</v>
      </c>
      <c r="H65" s="297">
        <v>10</v>
      </c>
      <c r="I65" s="298">
        <v>5</v>
      </c>
      <c r="J65" s="302">
        <f t="shared" si="35"/>
        <v>40</v>
      </c>
    </row>
    <row r="66" spans="1:10" ht="14.95" thickBot="1" x14ac:dyDescent="0.3">
      <c r="A66" s="195" t="s">
        <v>32</v>
      </c>
      <c r="B66" s="193">
        <v>3</v>
      </c>
      <c r="C66" s="294">
        <v>4</v>
      </c>
      <c r="D66" s="239">
        <v>0</v>
      </c>
      <c r="E66" s="197">
        <f t="shared" si="34"/>
        <v>7</v>
      </c>
      <c r="F66" s="300" t="s">
        <v>469</v>
      </c>
      <c r="G66" s="304">
        <v>25</v>
      </c>
      <c r="H66" s="297">
        <v>15</v>
      </c>
      <c r="I66" s="298">
        <v>0</v>
      </c>
      <c r="J66" s="369">
        <f t="shared" si="35"/>
        <v>40</v>
      </c>
    </row>
    <row r="67" spans="1:10" ht="14.95" thickBot="1" x14ac:dyDescent="0.3">
      <c r="A67" s="195" t="s">
        <v>262</v>
      </c>
      <c r="B67" s="193">
        <v>3</v>
      </c>
      <c r="C67" s="294">
        <v>2</v>
      </c>
      <c r="D67" s="239">
        <v>1</v>
      </c>
      <c r="E67" s="197">
        <f t="shared" si="34"/>
        <v>6</v>
      </c>
      <c r="F67" s="300" t="s">
        <v>492</v>
      </c>
      <c r="G67" s="304">
        <v>11</v>
      </c>
      <c r="H67" s="297">
        <v>0</v>
      </c>
      <c r="I67" s="298">
        <v>24</v>
      </c>
      <c r="J67" s="369">
        <f t="shared" si="35"/>
        <v>35</v>
      </c>
    </row>
    <row r="68" spans="1:10" ht="14.95" thickBot="1" x14ac:dyDescent="0.3">
      <c r="A68" s="195" t="s">
        <v>28</v>
      </c>
      <c r="B68" s="193">
        <v>4</v>
      </c>
      <c r="C68" s="294">
        <v>2</v>
      </c>
      <c r="D68" s="239">
        <v>0</v>
      </c>
      <c r="E68" s="197">
        <f t="shared" si="34"/>
        <v>6</v>
      </c>
      <c r="F68" s="300" t="s">
        <v>451</v>
      </c>
      <c r="G68" s="304">
        <v>15</v>
      </c>
      <c r="H68" s="297">
        <v>20</v>
      </c>
      <c r="I68" s="298">
        <v>0</v>
      </c>
      <c r="J68" s="302">
        <f t="shared" si="35"/>
        <v>35</v>
      </c>
    </row>
    <row r="69" spans="1:10" ht="14.95" thickBot="1" x14ac:dyDescent="0.3">
      <c r="A69" s="195" t="s">
        <v>7</v>
      </c>
      <c r="B69" s="193">
        <v>3</v>
      </c>
      <c r="C69" s="294">
        <v>0</v>
      </c>
      <c r="D69" s="239">
        <v>2</v>
      </c>
      <c r="E69" s="197">
        <f t="shared" si="34"/>
        <v>5</v>
      </c>
      <c r="F69" s="300" t="s">
        <v>739</v>
      </c>
      <c r="G69" s="304">
        <v>0</v>
      </c>
      <c r="H69" s="297">
        <v>0</v>
      </c>
      <c r="I69" s="298">
        <v>32</v>
      </c>
      <c r="J69" s="302">
        <f t="shared" si="35"/>
        <v>32</v>
      </c>
    </row>
    <row r="70" spans="1:10" ht="14.95" thickBot="1" x14ac:dyDescent="0.3">
      <c r="A70" s="195" t="s">
        <v>319</v>
      </c>
      <c r="B70" s="193">
        <v>5</v>
      </c>
      <c r="C70" s="294">
        <v>0</v>
      </c>
      <c r="D70" s="239">
        <v>0</v>
      </c>
      <c r="E70" s="197">
        <f t="shared" si="34"/>
        <v>5</v>
      </c>
      <c r="F70" s="300" t="s">
        <v>262</v>
      </c>
      <c r="G70" s="304">
        <v>15</v>
      </c>
      <c r="H70" s="297">
        <v>10</v>
      </c>
      <c r="I70" s="298">
        <v>5</v>
      </c>
      <c r="J70" s="302">
        <f t="shared" si="35"/>
        <v>30</v>
      </c>
    </row>
    <row r="71" spans="1:10" ht="14.95" thickBot="1" x14ac:dyDescent="0.3">
      <c r="A71" s="195" t="s">
        <v>425</v>
      </c>
      <c r="B71" s="193">
        <v>3</v>
      </c>
      <c r="C71" s="294">
        <v>2</v>
      </c>
      <c r="D71" s="239">
        <v>0</v>
      </c>
      <c r="E71" s="197">
        <f t="shared" si="34"/>
        <v>5</v>
      </c>
      <c r="F71" s="300" t="s">
        <v>28</v>
      </c>
      <c r="G71" s="304">
        <v>20</v>
      </c>
      <c r="H71" s="297">
        <v>10</v>
      </c>
      <c r="I71" s="298">
        <v>0</v>
      </c>
      <c r="J71" s="302">
        <f t="shared" si="35"/>
        <v>30</v>
      </c>
    </row>
    <row r="72" spans="1:10" ht="14.95" thickBot="1" x14ac:dyDescent="0.3">
      <c r="A72" s="195" t="s">
        <v>652</v>
      </c>
      <c r="B72" s="193">
        <v>4</v>
      </c>
      <c r="C72" s="294">
        <v>0</v>
      </c>
      <c r="D72" s="239">
        <v>0</v>
      </c>
      <c r="E72" s="197">
        <f t="shared" si="34"/>
        <v>4</v>
      </c>
      <c r="F72" s="300" t="s">
        <v>7</v>
      </c>
      <c r="G72" s="304">
        <v>15</v>
      </c>
      <c r="H72" s="297">
        <v>0</v>
      </c>
      <c r="I72" s="298">
        <v>10</v>
      </c>
      <c r="J72" s="302">
        <f t="shared" si="35"/>
        <v>25</v>
      </c>
    </row>
    <row r="73" spans="1:10" ht="14.95" thickBot="1" x14ac:dyDescent="0.3">
      <c r="A73" s="195" t="s">
        <v>104</v>
      </c>
      <c r="B73" s="193">
        <v>4</v>
      </c>
      <c r="C73" s="294">
        <v>0</v>
      </c>
      <c r="D73" s="239">
        <v>0</v>
      </c>
      <c r="E73" s="197">
        <f t="shared" si="34"/>
        <v>4</v>
      </c>
      <c r="F73" s="300" t="s">
        <v>319</v>
      </c>
      <c r="G73" s="304">
        <v>25</v>
      </c>
      <c r="H73" s="297">
        <v>0</v>
      </c>
      <c r="I73" s="298">
        <v>0</v>
      </c>
      <c r="J73" s="302">
        <f t="shared" si="35"/>
        <v>25</v>
      </c>
    </row>
    <row r="74" spans="1:10" ht="14.95" thickBot="1" x14ac:dyDescent="0.3">
      <c r="A74" s="195" t="s">
        <v>715</v>
      </c>
      <c r="B74" s="193">
        <v>2</v>
      </c>
      <c r="C74" s="294">
        <v>1</v>
      </c>
      <c r="D74" s="239">
        <v>1</v>
      </c>
      <c r="E74" s="197">
        <f t="shared" si="34"/>
        <v>4</v>
      </c>
      <c r="F74" s="300" t="s">
        <v>425</v>
      </c>
      <c r="G74" s="304">
        <v>15</v>
      </c>
      <c r="H74" s="297">
        <v>10</v>
      </c>
      <c r="I74" s="298">
        <v>0</v>
      </c>
      <c r="J74" s="302">
        <f t="shared" si="35"/>
        <v>25</v>
      </c>
    </row>
    <row r="75" spans="1:10" ht="14.95" thickBot="1" x14ac:dyDescent="0.3">
      <c r="A75" s="195" t="s">
        <v>10</v>
      </c>
      <c r="B75" s="193">
        <v>2</v>
      </c>
      <c r="C75" s="294">
        <v>1</v>
      </c>
      <c r="D75" s="239">
        <v>0</v>
      </c>
      <c r="E75" s="197">
        <f t="shared" si="34"/>
        <v>3</v>
      </c>
      <c r="F75" s="300" t="s">
        <v>652</v>
      </c>
      <c r="G75" s="304">
        <v>20</v>
      </c>
      <c r="H75" s="297">
        <v>0</v>
      </c>
      <c r="I75" s="298">
        <v>0</v>
      </c>
      <c r="J75" s="302">
        <f t="shared" si="35"/>
        <v>20</v>
      </c>
    </row>
    <row r="76" spans="1:10" ht="14.95" thickBot="1" x14ac:dyDescent="0.3">
      <c r="A76" s="195" t="s">
        <v>687</v>
      </c>
      <c r="B76" s="193">
        <v>0</v>
      </c>
      <c r="C76" s="294">
        <v>0</v>
      </c>
      <c r="D76" s="239">
        <v>3</v>
      </c>
      <c r="E76" s="197">
        <f t="shared" si="34"/>
        <v>3</v>
      </c>
      <c r="F76" s="300" t="s">
        <v>104</v>
      </c>
      <c r="G76" s="304">
        <v>20</v>
      </c>
      <c r="H76" s="297">
        <v>0</v>
      </c>
      <c r="I76" s="298">
        <v>0</v>
      </c>
      <c r="J76" s="302">
        <f t="shared" si="35"/>
        <v>20</v>
      </c>
    </row>
    <row r="77" spans="1:10" ht="14.95" thickBot="1" x14ac:dyDescent="0.3">
      <c r="A77" s="195" t="s">
        <v>810</v>
      </c>
      <c r="B77" s="193">
        <v>0</v>
      </c>
      <c r="C77" s="294">
        <v>0</v>
      </c>
      <c r="D77" s="239">
        <v>2</v>
      </c>
      <c r="E77" s="197">
        <f t="shared" si="34"/>
        <v>2</v>
      </c>
      <c r="F77" s="300" t="s">
        <v>715</v>
      </c>
      <c r="G77" s="304">
        <v>10</v>
      </c>
      <c r="H77" s="297">
        <v>5</v>
      </c>
      <c r="I77" s="298">
        <v>5</v>
      </c>
      <c r="J77" s="302">
        <f t="shared" si="35"/>
        <v>20</v>
      </c>
    </row>
    <row r="78" spans="1:10" ht="14.95" thickBot="1" x14ac:dyDescent="0.3">
      <c r="A78" s="195" t="s">
        <v>638</v>
      </c>
      <c r="B78" s="193">
        <v>1</v>
      </c>
      <c r="C78" s="294">
        <v>1</v>
      </c>
      <c r="D78" s="239">
        <v>0</v>
      </c>
      <c r="E78" s="197">
        <f t="shared" si="34"/>
        <v>2</v>
      </c>
      <c r="F78" s="300" t="s">
        <v>10</v>
      </c>
      <c r="G78" s="304">
        <v>10</v>
      </c>
      <c r="H78" s="297">
        <v>5</v>
      </c>
      <c r="I78" s="298">
        <v>0</v>
      </c>
      <c r="J78" s="302">
        <f t="shared" si="35"/>
        <v>15</v>
      </c>
    </row>
    <row r="79" spans="1:10" ht="14.95" thickBot="1" x14ac:dyDescent="0.3">
      <c r="A79" s="195" t="s">
        <v>1038</v>
      </c>
      <c r="B79" s="193">
        <v>2</v>
      </c>
      <c r="C79" s="294">
        <v>0</v>
      </c>
      <c r="D79" s="239">
        <v>0</v>
      </c>
      <c r="E79" s="197">
        <f t="shared" si="34"/>
        <v>2</v>
      </c>
      <c r="F79" s="300" t="s">
        <v>687</v>
      </c>
      <c r="G79" s="304">
        <v>0</v>
      </c>
      <c r="H79" s="297">
        <v>0</v>
      </c>
      <c r="I79" s="298">
        <v>15</v>
      </c>
      <c r="J79" s="302">
        <f t="shared" si="35"/>
        <v>15</v>
      </c>
    </row>
    <row r="80" spans="1:10" ht="14.95" thickBot="1" x14ac:dyDescent="0.3">
      <c r="A80" s="195" t="s">
        <v>969</v>
      </c>
      <c r="B80" s="193">
        <v>0</v>
      </c>
      <c r="C80" s="294">
        <v>2</v>
      </c>
      <c r="D80" s="239">
        <v>0</v>
      </c>
      <c r="E80" s="197">
        <f t="shared" si="34"/>
        <v>2</v>
      </c>
      <c r="F80" s="300" t="s">
        <v>810</v>
      </c>
      <c r="G80" s="304">
        <v>0</v>
      </c>
      <c r="H80" s="297">
        <v>0</v>
      </c>
      <c r="I80" s="298">
        <v>10</v>
      </c>
      <c r="J80" s="302">
        <f t="shared" si="35"/>
        <v>10</v>
      </c>
    </row>
    <row r="81" spans="1:10" ht="14.95" thickBot="1" x14ac:dyDescent="0.3">
      <c r="A81" s="195" t="s">
        <v>737</v>
      </c>
      <c r="B81" s="193">
        <v>1</v>
      </c>
      <c r="C81" s="294">
        <v>0</v>
      </c>
      <c r="D81" s="239">
        <v>1</v>
      </c>
      <c r="E81" s="197">
        <f t="shared" si="34"/>
        <v>2</v>
      </c>
      <c r="F81" s="300" t="s">
        <v>638</v>
      </c>
      <c r="G81" s="304">
        <v>5</v>
      </c>
      <c r="H81" s="297">
        <v>5</v>
      </c>
      <c r="I81" s="298">
        <v>0</v>
      </c>
      <c r="J81" s="302">
        <f t="shared" si="35"/>
        <v>10</v>
      </c>
    </row>
    <row r="82" spans="1:10" ht="14.95" thickBot="1" x14ac:dyDescent="0.3">
      <c r="A82" s="195" t="s">
        <v>891</v>
      </c>
      <c r="B82" s="193">
        <v>0</v>
      </c>
      <c r="C82" s="294">
        <v>0</v>
      </c>
      <c r="D82" s="239">
        <v>2</v>
      </c>
      <c r="E82" s="197">
        <f t="shared" si="34"/>
        <v>2</v>
      </c>
      <c r="F82" s="300" t="s">
        <v>1038</v>
      </c>
      <c r="G82" s="304">
        <v>10</v>
      </c>
      <c r="H82" s="297">
        <v>0</v>
      </c>
      <c r="I82" s="298">
        <v>0</v>
      </c>
      <c r="J82" s="302">
        <f t="shared" si="35"/>
        <v>10</v>
      </c>
    </row>
    <row r="83" spans="1:10" ht="14.95" thickBot="1" x14ac:dyDescent="0.3">
      <c r="A83" s="195" t="s">
        <v>845</v>
      </c>
      <c r="B83" s="193">
        <v>0</v>
      </c>
      <c r="C83" s="294">
        <v>1</v>
      </c>
      <c r="D83" s="239">
        <v>0</v>
      </c>
      <c r="E83" s="197">
        <f t="shared" si="34"/>
        <v>1</v>
      </c>
      <c r="F83" s="300" t="s">
        <v>969</v>
      </c>
      <c r="G83" s="304">
        <v>0</v>
      </c>
      <c r="H83" s="297">
        <v>10</v>
      </c>
      <c r="I83" s="298">
        <v>0</v>
      </c>
      <c r="J83" s="302">
        <f t="shared" si="35"/>
        <v>10</v>
      </c>
    </row>
    <row r="84" spans="1:10" ht="14.95" thickBot="1" x14ac:dyDescent="0.3">
      <c r="A84" s="195" t="s">
        <v>738</v>
      </c>
      <c r="B84" s="193">
        <v>0</v>
      </c>
      <c r="C84" s="294">
        <v>0</v>
      </c>
      <c r="D84" s="239">
        <v>1</v>
      </c>
      <c r="E84" s="197">
        <f t="shared" si="34"/>
        <v>1</v>
      </c>
      <c r="F84" s="300" t="s">
        <v>737</v>
      </c>
      <c r="G84" s="304">
        <v>5</v>
      </c>
      <c r="H84" s="297">
        <v>0</v>
      </c>
      <c r="I84" s="298">
        <v>5</v>
      </c>
      <c r="J84" s="302">
        <f t="shared" si="35"/>
        <v>10</v>
      </c>
    </row>
    <row r="85" spans="1:10" ht="14.95" thickBot="1" x14ac:dyDescent="0.3">
      <c r="A85" s="195" t="s">
        <v>889</v>
      </c>
      <c r="B85" s="193">
        <v>0</v>
      </c>
      <c r="C85" s="294">
        <v>0</v>
      </c>
      <c r="D85" s="239">
        <v>1</v>
      </c>
      <c r="E85" s="197">
        <f t="shared" si="34"/>
        <v>1</v>
      </c>
      <c r="F85" s="300" t="s">
        <v>891</v>
      </c>
      <c r="G85" s="304">
        <v>0</v>
      </c>
      <c r="H85" s="297">
        <v>0</v>
      </c>
      <c r="I85" s="298">
        <v>10</v>
      </c>
      <c r="J85" s="302">
        <f t="shared" si="35"/>
        <v>10</v>
      </c>
    </row>
    <row r="86" spans="1:10" ht="14.95" thickBot="1" x14ac:dyDescent="0.3">
      <c r="A86" s="195" t="s">
        <v>954</v>
      </c>
      <c r="B86" s="193">
        <v>1</v>
      </c>
      <c r="C86" s="294">
        <v>0</v>
      </c>
      <c r="D86" s="239">
        <v>0</v>
      </c>
      <c r="E86" s="197">
        <f t="shared" si="34"/>
        <v>1</v>
      </c>
      <c r="F86" s="300" t="s">
        <v>5</v>
      </c>
      <c r="G86" s="304">
        <v>0</v>
      </c>
      <c r="H86" s="297">
        <v>7</v>
      </c>
      <c r="I86" s="298">
        <v>0</v>
      </c>
      <c r="J86" s="302">
        <f t="shared" si="35"/>
        <v>7</v>
      </c>
    </row>
    <row r="87" spans="1:10" ht="14.95" thickBot="1" x14ac:dyDescent="0.3">
      <c r="A87" s="195" t="s">
        <v>50</v>
      </c>
      <c r="B87" s="193">
        <v>0</v>
      </c>
      <c r="C87" s="294">
        <v>0</v>
      </c>
      <c r="D87" s="239">
        <v>1</v>
      </c>
      <c r="E87" s="197">
        <f t="shared" si="34"/>
        <v>1</v>
      </c>
      <c r="F87" s="300" t="s">
        <v>845</v>
      </c>
      <c r="G87" s="304">
        <v>0</v>
      </c>
      <c r="H87" s="297">
        <v>5</v>
      </c>
      <c r="I87" s="298">
        <v>0</v>
      </c>
      <c r="J87" s="302">
        <f t="shared" si="35"/>
        <v>5</v>
      </c>
    </row>
    <row r="88" spans="1:10" ht="14.95" thickBot="1" x14ac:dyDescent="0.3">
      <c r="A88" s="195" t="s">
        <v>492</v>
      </c>
      <c r="B88" s="193">
        <v>0</v>
      </c>
      <c r="C88" s="294">
        <v>0</v>
      </c>
      <c r="D88" s="239">
        <v>1</v>
      </c>
      <c r="E88" s="197">
        <f t="shared" si="34"/>
        <v>1</v>
      </c>
      <c r="F88" s="300" t="s">
        <v>738</v>
      </c>
      <c r="G88" s="304">
        <v>0</v>
      </c>
      <c r="H88" s="297">
        <v>0</v>
      </c>
      <c r="I88" s="298">
        <v>5</v>
      </c>
      <c r="J88" s="302">
        <f t="shared" si="35"/>
        <v>5</v>
      </c>
    </row>
    <row r="89" spans="1:10" ht="14.95" thickBot="1" x14ac:dyDescent="0.3">
      <c r="A89" s="195" t="s">
        <v>671</v>
      </c>
      <c r="B89" s="193">
        <v>0</v>
      </c>
      <c r="C89" s="294">
        <v>0</v>
      </c>
      <c r="D89" s="239">
        <v>1</v>
      </c>
      <c r="E89" s="197">
        <f t="shared" si="34"/>
        <v>1</v>
      </c>
      <c r="F89" s="300" t="s">
        <v>889</v>
      </c>
      <c r="G89" s="304">
        <v>0</v>
      </c>
      <c r="H89" s="297">
        <v>0</v>
      </c>
      <c r="I89" s="298">
        <v>5</v>
      </c>
      <c r="J89" s="302">
        <f t="shared" si="35"/>
        <v>5</v>
      </c>
    </row>
    <row r="90" spans="1:10" ht="14.95" thickBot="1" x14ac:dyDescent="0.3">
      <c r="A90" s="195" t="s">
        <v>705</v>
      </c>
      <c r="B90" s="193">
        <v>0</v>
      </c>
      <c r="C90" s="294">
        <v>0</v>
      </c>
      <c r="D90" s="239">
        <v>1</v>
      </c>
      <c r="E90" s="197">
        <f t="shared" si="34"/>
        <v>1</v>
      </c>
      <c r="F90" s="300" t="s">
        <v>954</v>
      </c>
      <c r="G90" s="304">
        <v>5</v>
      </c>
      <c r="H90" s="297">
        <v>0</v>
      </c>
      <c r="I90" s="298">
        <v>0</v>
      </c>
      <c r="J90" s="302">
        <f t="shared" si="35"/>
        <v>5</v>
      </c>
    </row>
    <row r="91" spans="1:10" ht="14.95" thickBot="1" x14ac:dyDescent="0.3">
      <c r="A91" s="195" t="s">
        <v>615</v>
      </c>
      <c r="B91" s="193">
        <v>0</v>
      </c>
      <c r="C91" s="294">
        <v>0</v>
      </c>
      <c r="D91" s="239">
        <v>1</v>
      </c>
      <c r="E91" s="197">
        <f t="shared" si="34"/>
        <v>1</v>
      </c>
      <c r="F91" s="300" t="s">
        <v>50</v>
      </c>
      <c r="G91" s="304">
        <v>0</v>
      </c>
      <c r="H91" s="297">
        <v>0</v>
      </c>
      <c r="I91" s="298">
        <v>5</v>
      </c>
      <c r="J91" s="302">
        <f t="shared" si="35"/>
        <v>5</v>
      </c>
    </row>
    <row r="92" spans="1:10" ht="14.95" thickBot="1" x14ac:dyDescent="0.3">
      <c r="A92" s="195" t="s">
        <v>490</v>
      </c>
      <c r="B92" s="193">
        <v>1</v>
      </c>
      <c r="C92" s="294">
        <v>0</v>
      </c>
      <c r="D92" s="239">
        <v>0</v>
      </c>
      <c r="E92" s="197">
        <f t="shared" ref="E92:E112" si="36">SUM(B92:D92)</f>
        <v>1</v>
      </c>
      <c r="F92" s="300" t="s">
        <v>671</v>
      </c>
      <c r="G92" s="304">
        <v>0</v>
      </c>
      <c r="H92" s="297">
        <v>0</v>
      </c>
      <c r="I92" s="298">
        <v>5</v>
      </c>
      <c r="J92" s="302">
        <f t="shared" ref="J92:J112" si="37">SUM(G92:I92)</f>
        <v>5</v>
      </c>
    </row>
    <row r="93" spans="1:10" ht="14.95" thickBot="1" x14ac:dyDescent="0.3">
      <c r="A93" s="195" t="s">
        <v>317</v>
      </c>
      <c r="B93" s="193">
        <v>1</v>
      </c>
      <c r="C93" s="294">
        <v>0</v>
      </c>
      <c r="D93" s="239">
        <v>0</v>
      </c>
      <c r="E93" s="197">
        <f t="shared" si="36"/>
        <v>1</v>
      </c>
      <c r="F93" s="300" t="s">
        <v>705</v>
      </c>
      <c r="G93" s="304">
        <v>0</v>
      </c>
      <c r="H93" s="297">
        <v>0</v>
      </c>
      <c r="I93" s="298">
        <v>5</v>
      </c>
      <c r="J93" s="302">
        <f t="shared" si="37"/>
        <v>5</v>
      </c>
    </row>
    <row r="94" spans="1:10" ht="14.95" thickBot="1" x14ac:dyDescent="0.3">
      <c r="A94" s="195" t="s">
        <v>986</v>
      </c>
      <c r="B94" s="193">
        <v>0</v>
      </c>
      <c r="C94" s="294">
        <v>1</v>
      </c>
      <c r="D94" s="239">
        <v>0</v>
      </c>
      <c r="E94" s="197">
        <f t="shared" si="36"/>
        <v>1</v>
      </c>
      <c r="F94" s="300" t="s">
        <v>615</v>
      </c>
      <c r="G94" s="304">
        <v>0</v>
      </c>
      <c r="H94" s="297">
        <v>0</v>
      </c>
      <c r="I94" s="298">
        <v>5</v>
      </c>
      <c r="J94" s="302">
        <f t="shared" si="37"/>
        <v>5</v>
      </c>
    </row>
    <row r="95" spans="1:10" ht="14.95" thickBot="1" x14ac:dyDescent="0.3">
      <c r="A95" s="195" t="s">
        <v>752</v>
      </c>
      <c r="B95" s="193">
        <v>0</v>
      </c>
      <c r="C95" s="294">
        <v>0</v>
      </c>
      <c r="D95" s="239">
        <v>1</v>
      </c>
      <c r="E95" s="197">
        <f t="shared" si="36"/>
        <v>1</v>
      </c>
      <c r="F95" s="300" t="s">
        <v>490</v>
      </c>
      <c r="G95" s="304">
        <v>5</v>
      </c>
      <c r="H95" s="297">
        <v>0</v>
      </c>
      <c r="I95" s="298">
        <v>0</v>
      </c>
      <c r="J95" s="302">
        <f t="shared" si="37"/>
        <v>5</v>
      </c>
    </row>
    <row r="96" spans="1:10" ht="14.95" thickBot="1" x14ac:dyDescent="0.3">
      <c r="A96" s="195" t="s">
        <v>5</v>
      </c>
      <c r="B96" s="193">
        <v>0</v>
      </c>
      <c r="C96" s="294">
        <v>1</v>
      </c>
      <c r="D96" s="239">
        <v>0</v>
      </c>
      <c r="E96" s="197">
        <f t="shared" si="36"/>
        <v>1</v>
      </c>
      <c r="F96" s="300" t="s">
        <v>317</v>
      </c>
      <c r="G96" s="304">
        <v>5</v>
      </c>
      <c r="H96" s="297">
        <v>0</v>
      </c>
      <c r="I96" s="298">
        <v>0</v>
      </c>
      <c r="J96" s="302">
        <f t="shared" si="37"/>
        <v>5</v>
      </c>
    </row>
    <row r="97" spans="1:10" ht="14.95" thickBot="1" x14ac:dyDescent="0.3">
      <c r="A97" s="195" t="s">
        <v>739</v>
      </c>
      <c r="B97" s="193">
        <v>0</v>
      </c>
      <c r="C97" s="294">
        <v>0</v>
      </c>
      <c r="D97" s="239">
        <v>1</v>
      </c>
      <c r="E97" s="197">
        <f t="shared" si="36"/>
        <v>1</v>
      </c>
      <c r="F97" s="300" t="s">
        <v>986</v>
      </c>
      <c r="G97" s="304">
        <v>0</v>
      </c>
      <c r="H97" s="297">
        <v>5</v>
      </c>
      <c r="I97" s="298">
        <v>0</v>
      </c>
      <c r="J97" s="302">
        <f t="shared" si="37"/>
        <v>5</v>
      </c>
    </row>
    <row r="98" spans="1:10" ht="14.95" thickBot="1" x14ac:dyDescent="0.3">
      <c r="A98" s="195" t="s">
        <v>626</v>
      </c>
      <c r="B98" s="193">
        <v>0</v>
      </c>
      <c r="C98" s="294">
        <v>0</v>
      </c>
      <c r="D98" s="239">
        <v>1</v>
      </c>
      <c r="E98" s="197">
        <f t="shared" si="36"/>
        <v>1</v>
      </c>
      <c r="F98" s="300" t="s">
        <v>752</v>
      </c>
      <c r="G98" s="304">
        <v>0</v>
      </c>
      <c r="H98" s="297">
        <v>0</v>
      </c>
      <c r="I98" s="298">
        <v>5</v>
      </c>
      <c r="J98" s="302">
        <f t="shared" si="37"/>
        <v>5</v>
      </c>
    </row>
    <row r="99" spans="1:10" ht="14.95" thickBot="1" x14ac:dyDescent="0.3">
      <c r="A99" s="195" t="s">
        <v>103</v>
      </c>
      <c r="B99" s="193">
        <v>0</v>
      </c>
      <c r="C99" s="294">
        <v>0</v>
      </c>
      <c r="D99" s="239">
        <v>1</v>
      </c>
      <c r="E99" s="197">
        <f t="shared" si="36"/>
        <v>1</v>
      </c>
      <c r="F99" s="300" t="s">
        <v>626</v>
      </c>
      <c r="G99" s="304">
        <v>0</v>
      </c>
      <c r="H99" s="297">
        <v>0</v>
      </c>
      <c r="I99" s="298">
        <v>5</v>
      </c>
      <c r="J99" s="302">
        <f t="shared" si="37"/>
        <v>5</v>
      </c>
    </row>
    <row r="100" spans="1:10" ht="14.95" thickBot="1" x14ac:dyDescent="0.3">
      <c r="A100" s="195" t="s">
        <v>625</v>
      </c>
      <c r="B100" s="193">
        <v>0</v>
      </c>
      <c r="C100" s="294">
        <v>0</v>
      </c>
      <c r="D100" s="239">
        <v>0</v>
      </c>
      <c r="E100" s="197">
        <f t="shared" si="36"/>
        <v>0</v>
      </c>
      <c r="F100" s="300" t="s">
        <v>103</v>
      </c>
      <c r="G100" s="304">
        <v>0</v>
      </c>
      <c r="H100" s="297">
        <v>0</v>
      </c>
      <c r="I100" s="298">
        <v>5</v>
      </c>
      <c r="J100" s="302">
        <f t="shared" si="37"/>
        <v>5</v>
      </c>
    </row>
    <row r="101" spans="1:10" ht="14.95" thickBot="1" x14ac:dyDescent="0.3">
      <c r="A101" s="195" t="s">
        <v>808</v>
      </c>
      <c r="B101" s="193">
        <v>0</v>
      </c>
      <c r="C101" s="294">
        <v>0</v>
      </c>
      <c r="D101" s="239">
        <v>0</v>
      </c>
      <c r="E101" s="197">
        <f t="shared" si="36"/>
        <v>0</v>
      </c>
      <c r="F101" s="300" t="s">
        <v>617</v>
      </c>
      <c r="G101" s="304">
        <v>0</v>
      </c>
      <c r="H101" s="297">
        <v>0</v>
      </c>
      <c r="I101" s="298">
        <v>2</v>
      </c>
      <c r="J101" s="302">
        <f t="shared" si="37"/>
        <v>2</v>
      </c>
    </row>
    <row r="102" spans="1:10" ht="14.95" thickBot="1" x14ac:dyDescent="0.3">
      <c r="A102" s="195" t="s">
        <v>617</v>
      </c>
      <c r="B102" s="193">
        <v>0</v>
      </c>
      <c r="C102" s="294">
        <v>0</v>
      </c>
      <c r="D102" s="239">
        <v>0</v>
      </c>
      <c r="E102" s="197">
        <f t="shared" si="36"/>
        <v>0</v>
      </c>
      <c r="F102" s="300" t="s">
        <v>625</v>
      </c>
      <c r="G102" s="304">
        <v>0</v>
      </c>
      <c r="H102" s="297">
        <v>0</v>
      </c>
      <c r="I102" s="298">
        <v>0</v>
      </c>
      <c r="J102" s="302">
        <f t="shared" si="37"/>
        <v>0</v>
      </c>
    </row>
    <row r="103" spans="1:10" ht="14.95" thickBot="1" x14ac:dyDescent="0.3">
      <c r="A103" s="195" t="s">
        <v>677</v>
      </c>
      <c r="B103" s="193">
        <v>0</v>
      </c>
      <c r="C103" s="294">
        <v>0</v>
      </c>
      <c r="D103" s="239">
        <v>0</v>
      </c>
      <c r="E103" s="197">
        <f t="shared" si="36"/>
        <v>0</v>
      </c>
      <c r="F103" s="300" t="s">
        <v>808</v>
      </c>
      <c r="G103" s="304">
        <v>0</v>
      </c>
      <c r="H103" s="297">
        <v>0</v>
      </c>
      <c r="I103" s="298">
        <v>0</v>
      </c>
      <c r="J103" s="302">
        <f t="shared" si="37"/>
        <v>0</v>
      </c>
    </row>
    <row r="104" spans="1:10" ht="14.95" thickBot="1" x14ac:dyDescent="0.3">
      <c r="A104" s="195" t="s">
        <v>383</v>
      </c>
      <c r="B104" s="193">
        <v>0</v>
      </c>
      <c r="C104" s="294">
        <v>0</v>
      </c>
      <c r="D104" s="239">
        <v>0</v>
      </c>
      <c r="E104" s="197">
        <f t="shared" si="36"/>
        <v>0</v>
      </c>
      <c r="F104" s="300" t="s">
        <v>677</v>
      </c>
      <c r="G104" s="304">
        <v>0</v>
      </c>
      <c r="H104" s="297">
        <v>0</v>
      </c>
      <c r="I104" s="298">
        <v>0</v>
      </c>
      <c r="J104" s="302">
        <f t="shared" si="37"/>
        <v>0</v>
      </c>
    </row>
    <row r="105" spans="1:10" ht="14.95" thickBot="1" x14ac:dyDescent="0.3">
      <c r="A105" s="195" t="s">
        <v>921</v>
      </c>
      <c r="B105" s="193">
        <v>0</v>
      </c>
      <c r="C105" s="294">
        <v>0</v>
      </c>
      <c r="D105" s="239">
        <v>0</v>
      </c>
      <c r="E105" s="197">
        <f t="shared" si="36"/>
        <v>0</v>
      </c>
      <c r="F105" s="300" t="s">
        <v>383</v>
      </c>
      <c r="G105" s="304">
        <v>0</v>
      </c>
      <c r="H105" s="297">
        <v>0</v>
      </c>
      <c r="I105" s="298">
        <v>0</v>
      </c>
      <c r="J105" s="302">
        <f t="shared" si="37"/>
        <v>0</v>
      </c>
    </row>
    <row r="106" spans="1:10" ht="14.95" thickBot="1" x14ac:dyDescent="0.3">
      <c r="A106" s="195" t="s">
        <v>714</v>
      </c>
      <c r="B106" s="193">
        <v>0</v>
      </c>
      <c r="C106" s="294">
        <v>0</v>
      </c>
      <c r="D106" s="239">
        <v>0</v>
      </c>
      <c r="E106" s="197">
        <f t="shared" si="36"/>
        <v>0</v>
      </c>
      <c r="F106" s="300" t="s">
        <v>714</v>
      </c>
      <c r="G106" s="304">
        <v>0</v>
      </c>
      <c r="H106" s="297">
        <v>0</v>
      </c>
      <c r="I106" s="298">
        <v>0</v>
      </c>
      <c r="J106" s="302">
        <f t="shared" si="37"/>
        <v>0</v>
      </c>
    </row>
    <row r="107" spans="1:10" ht="14.95" thickBot="1" x14ac:dyDescent="0.3">
      <c r="A107" s="195" t="s">
        <v>385</v>
      </c>
      <c r="B107" s="193">
        <v>0</v>
      </c>
      <c r="C107" s="294">
        <v>0</v>
      </c>
      <c r="D107" s="239">
        <v>0</v>
      </c>
      <c r="E107" s="197">
        <f t="shared" si="36"/>
        <v>0</v>
      </c>
      <c r="F107" s="300" t="s">
        <v>385</v>
      </c>
      <c r="G107" s="304">
        <v>0</v>
      </c>
      <c r="H107" s="297">
        <v>0</v>
      </c>
      <c r="I107" s="298">
        <v>0</v>
      </c>
      <c r="J107" s="302">
        <f t="shared" si="37"/>
        <v>0</v>
      </c>
    </row>
    <row r="108" spans="1:10" ht="14.95" thickBot="1" x14ac:dyDescent="0.3">
      <c r="A108" s="195" t="s">
        <v>323</v>
      </c>
      <c r="B108" s="193">
        <v>0</v>
      </c>
      <c r="C108" s="294">
        <v>0</v>
      </c>
      <c r="D108" s="239">
        <v>0</v>
      </c>
      <c r="E108" s="197">
        <f t="shared" si="36"/>
        <v>0</v>
      </c>
      <c r="F108" s="300" t="s">
        <v>323</v>
      </c>
      <c r="G108" s="304">
        <v>0</v>
      </c>
      <c r="H108" s="297">
        <v>0</v>
      </c>
      <c r="I108" s="298">
        <v>0</v>
      </c>
      <c r="J108" s="302">
        <f t="shared" si="37"/>
        <v>0</v>
      </c>
    </row>
    <row r="109" spans="1:10" ht="14.3" customHeight="1" thickBot="1" x14ac:dyDescent="0.3">
      <c r="A109" s="195" t="s">
        <v>8</v>
      </c>
      <c r="B109" s="193">
        <v>0</v>
      </c>
      <c r="C109" s="294">
        <v>0</v>
      </c>
      <c r="D109" s="239">
        <v>0</v>
      </c>
      <c r="E109" s="197">
        <f t="shared" si="36"/>
        <v>0</v>
      </c>
      <c r="F109" s="300" t="s">
        <v>8</v>
      </c>
      <c r="G109" s="304">
        <v>0</v>
      </c>
      <c r="H109" s="297">
        <v>0</v>
      </c>
      <c r="I109" s="298">
        <v>0</v>
      </c>
      <c r="J109" s="302">
        <f t="shared" si="37"/>
        <v>0</v>
      </c>
    </row>
    <row r="110" spans="1:10" ht="14.95" thickBot="1" x14ac:dyDescent="0.3">
      <c r="A110" s="195" t="s">
        <v>740</v>
      </c>
      <c r="B110" s="193">
        <v>0</v>
      </c>
      <c r="C110" s="294">
        <v>0</v>
      </c>
      <c r="D110" s="239">
        <v>0</v>
      </c>
      <c r="E110" s="197">
        <f t="shared" si="36"/>
        <v>0</v>
      </c>
      <c r="F110" s="300" t="s">
        <v>740</v>
      </c>
      <c r="G110" s="304">
        <v>0</v>
      </c>
      <c r="H110" s="297">
        <v>0</v>
      </c>
      <c r="I110" s="298">
        <v>0</v>
      </c>
      <c r="J110" s="302">
        <f t="shared" si="37"/>
        <v>0</v>
      </c>
    </row>
    <row r="111" spans="1:10" ht="14.3" customHeight="1" thickBot="1" x14ac:dyDescent="0.3">
      <c r="A111" s="195" t="s">
        <v>771</v>
      </c>
      <c r="B111" s="193">
        <v>0</v>
      </c>
      <c r="C111" s="294">
        <v>0</v>
      </c>
      <c r="D111" s="239">
        <v>0</v>
      </c>
      <c r="E111" s="197">
        <f t="shared" si="36"/>
        <v>0</v>
      </c>
      <c r="F111" s="300" t="s">
        <v>771</v>
      </c>
      <c r="G111" s="304">
        <v>0</v>
      </c>
      <c r="H111" s="297">
        <v>0</v>
      </c>
      <c r="I111" s="298">
        <v>0</v>
      </c>
      <c r="J111" s="302">
        <f t="shared" si="37"/>
        <v>0</v>
      </c>
    </row>
    <row r="112" spans="1:10" ht="14.95" thickBot="1" x14ac:dyDescent="0.3">
      <c r="A112" s="195" t="s">
        <v>736</v>
      </c>
      <c r="B112" s="193">
        <v>0</v>
      </c>
      <c r="C112" s="294">
        <v>0</v>
      </c>
      <c r="D112" s="239">
        <v>0</v>
      </c>
      <c r="E112" s="197">
        <f t="shared" si="36"/>
        <v>0</v>
      </c>
      <c r="F112" s="300" t="s">
        <v>736</v>
      </c>
      <c r="G112" s="304">
        <v>0</v>
      </c>
      <c r="H112" s="297">
        <v>0</v>
      </c>
      <c r="I112" s="298">
        <v>0</v>
      </c>
      <c r="J112" s="302">
        <f t="shared" si="37"/>
        <v>0</v>
      </c>
    </row>
    <row r="113" spans="1:10" ht="14.3" customHeight="1" thickBot="1" x14ac:dyDescent="0.3">
      <c r="A113" s="195" t="s">
        <v>3</v>
      </c>
      <c r="B113" s="193">
        <f>SUM(B60:B112)</f>
        <v>71</v>
      </c>
      <c r="C113" s="294">
        <f>SUM(C60:C112)</f>
        <v>36</v>
      </c>
      <c r="D113" s="239">
        <f>SUM(D60:D112)</f>
        <v>25</v>
      </c>
      <c r="E113" s="197">
        <f t="shared" ref="E113" si="38">SUM(B113:D113)</f>
        <v>132</v>
      </c>
      <c r="F113" s="299" t="s">
        <v>3</v>
      </c>
      <c r="G113" s="303">
        <f>SUM(G60:G112)</f>
        <v>486</v>
      </c>
      <c r="H113" s="295">
        <f>SUM(H60:H112)</f>
        <v>236</v>
      </c>
      <c r="I113" s="298">
        <f>SUM(I60:I112)</f>
        <v>173</v>
      </c>
      <c r="J113" s="302">
        <f t="shared" ref="J113" si="39">SUM(G113:I113)</f>
        <v>895</v>
      </c>
    </row>
  </sheetData>
  <sortState xmlns:xlrd2="http://schemas.microsoft.com/office/spreadsheetml/2017/richdata2" ref="F60:J112">
    <sortCondition descending="1" ref="J60:J112"/>
  </sortState>
  <mergeCells count="54">
    <mergeCell ref="AX1:AZ2"/>
    <mergeCell ref="R1:S2"/>
    <mergeCell ref="K12:K13"/>
    <mergeCell ref="AR12:AT13"/>
    <mergeCell ref="K1:K2"/>
    <mergeCell ref="L1:N2"/>
    <mergeCell ref="O1:Q2"/>
    <mergeCell ref="AU1:AW2"/>
    <mergeCell ref="L12:N13"/>
    <mergeCell ref="AR1:AT2"/>
    <mergeCell ref="AU12:AW13"/>
    <mergeCell ref="AX12:AZ13"/>
    <mergeCell ref="AO12:AQ13"/>
    <mergeCell ref="AO1:AQ2"/>
    <mergeCell ref="W1:Y2"/>
    <mergeCell ref="R12:T13"/>
    <mergeCell ref="R19:T20"/>
    <mergeCell ref="AL1:AN2"/>
    <mergeCell ref="AI1:AK2"/>
    <mergeCell ref="AI12:AK13"/>
    <mergeCell ref="AI19:AK20"/>
    <mergeCell ref="AL12:AN13"/>
    <mergeCell ref="AC1:AE2"/>
    <mergeCell ref="AC12:AE13"/>
    <mergeCell ref="AC19:AE20"/>
    <mergeCell ref="AX19:AZ20"/>
    <mergeCell ref="AL19:AN20"/>
    <mergeCell ref="AO19:AQ20"/>
    <mergeCell ref="AR19:AT20"/>
    <mergeCell ref="A1:J1"/>
    <mergeCell ref="T1:V2"/>
    <mergeCell ref="O12:Q13"/>
    <mergeCell ref="O19:Q20"/>
    <mergeCell ref="AU19:AW20"/>
    <mergeCell ref="AF1:AH2"/>
    <mergeCell ref="AF12:AH13"/>
    <mergeCell ref="AF19:AH20"/>
    <mergeCell ref="K19:K20"/>
    <mergeCell ref="L19:N20"/>
    <mergeCell ref="U19:W20"/>
    <mergeCell ref="U12:W13"/>
    <mergeCell ref="AR25:AT26"/>
    <mergeCell ref="AO25:AQ26"/>
    <mergeCell ref="K33:W33"/>
    <mergeCell ref="AL25:AN26"/>
    <mergeCell ref="K34:W34"/>
    <mergeCell ref="AI25:AK26"/>
    <mergeCell ref="AF25:AH26"/>
    <mergeCell ref="K25:K26"/>
    <mergeCell ref="L25:N26"/>
    <mergeCell ref="U25:W26"/>
    <mergeCell ref="R25:T26"/>
    <mergeCell ref="O25:Q26"/>
    <mergeCell ref="AC25:AE26"/>
  </mergeCells>
  <pageMargins left="0.7" right="0.7" top="0.75" bottom="0.75" header="0.3" footer="0.3"/>
  <pageSetup paperSize="9" orientation="portrait" r:id="rId1"/>
  <ignoredErrors>
    <ignoredError sqref="E52 J5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129"/>
  <sheetViews>
    <sheetView topLeftCell="A100" workbookViewId="0">
      <selection activeCell="A66" sqref="A66:J127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54" width="5.625" customWidth="1"/>
  </cols>
  <sheetData>
    <row r="1" spans="1:61" ht="16.149999999999999" customHeight="1" thickBot="1" x14ac:dyDescent="0.3">
      <c r="A1" s="506" t="s">
        <v>867</v>
      </c>
      <c r="B1" s="507"/>
      <c r="C1" s="507"/>
      <c r="D1" s="507"/>
      <c r="E1" s="507"/>
      <c r="F1" s="507"/>
      <c r="G1" s="507"/>
      <c r="H1" s="507"/>
      <c r="I1" s="507"/>
      <c r="J1" s="508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204"/>
      <c r="AA1" s="206"/>
      <c r="AB1" s="422" t="s">
        <v>700</v>
      </c>
      <c r="AC1" s="423"/>
      <c r="AD1" s="424"/>
      <c r="AE1" s="422" t="s">
        <v>518</v>
      </c>
      <c r="AF1" s="423"/>
      <c r="AG1" s="424"/>
      <c r="AH1" s="422" t="s">
        <v>356</v>
      </c>
      <c r="AI1" s="423"/>
      <c r="AJ1" s="424"/>
      <c r="AK1" s="422" t="s">
        <v>272</v>
      </c>
      <c r="AL1" s="423"/>
      <c r="AM1" s="424"/>
      <c r="AN1" s="422" t="s">
        <v>115</v>
      </c>
      <c r="AO1" s="423"/>
      <c r="AP1" s="424"/>
      <c r="AQ1" s="422" t="s">
        <v>83</v>
      </c>
      <c r="AR1" s="423"/>
      <c r="AS1" s="424"/>
      <c r="AT1" s="422" t="s">
        <v>78</v>
      </c>
      <c r="AU1" s="423"/>
      <c r="AV1" s="424"/>
      <c r="AW1" s="422" t="s">
        <v>67</v>
      </c>
      <c r="AX1" s="423"/>
      <c r="AY1" s="424"/>
      <c r="AZ1" s="422" t="s">
        <v>73</v>
      </c>
      <c r="BA1" s="423"/>
      <c r="BB1" s="424"/>
      <c r="BD1" s="4"/>
      <c r="BE1" s="4"/>
      <c r="BF1" s="4"/>
      <c r="BI1" s="4"/>
    </row>
    <row r="2" spans="1:61" ht="14.95" customHeight="1" thickBot="1" x14ac:dyDescent="0.3">
      <c r="A2" s="380" t="s">
        <v>0</v>
      </c>
      <c r="B2" s="390" t="s">
        <v>355</v>
      </c>
      <c r="C2" s="381" t="s">
        <v>42</v>
      </c>
      <c r="D2" s="382" t="s">
        <v>564</v>
      </c>
      <c r="E2" s="383" t="s">
        <v>1</v>
      </c>
      <c r="F2" s="169" t="s">
        <v>2</v>
      </c>
      <c r="G2" s="144" t="s">
        <v>355</v>
      </c>
      <c r="H2" s="305" t="s">
        <v>42</v>
      </c>
      <c r="I2" s="231" t="s">
        <v>564</v>
      </c>
      <c r="J2" s="172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94"/>
      <c r="AA2" s="206"/>
      <c r="AB2" s="425"/>
      <c r="AC2" s="426"/>
      <c r="AD2" s="427"/>
      <c r="AE2" s="425"/>
      <c r="AF2" s="426"/>
      <c r="AG2" s="427"/>
      <c r="AH2" s="425"/>
      <c r="AI2" s="426"/>
      <c r="AJ2" s="427"/>
      <c r="AK2" s="425"/>
      <c r="AL2" s="426"/>
      <c r="AM2" s="427"/>
      <c r="AN2" s="425"/>
      <c r="AO2" s="426"/>
      <c r="AP2" s="427"/>
      <c r="AQ2" s="425"/>
      <c r="AR2" s="426"/>
      <c r="AS2" s="427"/>
      <c r="AT2" s="425"/>
      <c r="AU2" s="426"/>
      <c r="AV2" s="427"/>
      <c r="AW2" s="425"/>
      <c r="AX2" s="426"/>
      <c r="AY2" s="427"/>
      <c r="AZ2" s="425"/>
      <c r="BA2" s="426"/>
      <c r="BB2" s="427"/>
    </row>
    <row r="3" spans="1:61" ht="14.95" customHeight="1" thickBot="1" x14ac:dyDescent="0.3">
      <c r="A3" s="384" t="s">
        <v>48</v>
      </c>
      <c r="B3" s="391">
        <v>0</v>
      </c>
      <c r="C3" s="385">
        <v>0</v>
      </c>
      <c r="D3" s="386">
        <v>1</v>
      </c>
      <c r="E3" s="387">
        <f t="shared" ref="E3:E63" si="0">SUM(B3:D3)</f>
        <v>1</v>
      </c>
      <c r="F3" s="170" t="s">
        <v>48</v>
      </c>
      <c r="G3" s="145">
        <v>4</v>
      </c>
      <c r="H3" s="306">
        <v>0</v>
      </c>
      <c r="I3" s="232">
        <v>21</v>
      </c>
      <c r="J3" s="173">
        <f t="shared" ref="J3:J63" si="1">SUM(G3:I3)</f>
        <v>25</v>
      </c>
      <c r="K3" s="233" t="s">
        <v>30</v>
      </c>
      <c r="L3" s="3" t="s">
        <v>74</v>
      </c>
      <c r="M3" s="3" t="s">
        <v>15</v>
      </c>
      <c r="N3" s="3" t="s">
        <v>16</v>
      </c>
      <c r="O3" s="166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7" t="s">
        <v>74</v>
      </c>
      <c r="X3" s="7" t="s">
        <v>15</v>
      </c>
      <c r="Y3" s="7" t="s">
        <v>16</v>
      </c>
      <c r="Z3" s="94"/>
      <c r="AA3" s="206"/>
      <c r="AB3" s="151" t="s">
        <v>74</v>
      </c>
      <c r="AC3" s="7" t="s">
        <v>15</v>
      </c>
      <c r="AD3" s="7" t="s">
        <v>16</v>
      </c>
      <c r="AE3" s="151" t="s">
        <v>74</v>
      </c>
      <c r="AF3" s="7" t="s">
        <v>15</v>
      </c>
      <c r="AG3" s="7" t="s">
        <v>16</v>
      </c>
      <c r="AH3" s="151" t="s">
        <v>74</v>
      </c>
      <c r="AI3" s="7" t="s">
        <v>15</v>
      </c>
      <c r="AJ3" s="7" t="s">
        <v>16</v>
      </c>
      <c r="AK3" s="151" t="s">
        <v>74</v>
      </c>
      <c r="AL3" s="7" t="s">
        <v>15</v>
      </c>
      <c r="AM3" s="7" t="s">
        <v>16</v>
      </c>
      <c r="AN3" s="151" t="s">
        <v>74</v>
      </c>
      <c r="AO3" s="7" t="s">
        <v>15</v>
      </c>
      <c r="AP3" s="7" t="s">
        <v>16</v>
      </c>
      <c r="AQ3" s="151" t="s">
        <v>74</v>
      </c>
      <c r="AR3" s="7" t="s">
        <v>15</v>
      </c>
      <c r="AS3" s="7" t="s">
        <v>16</v>
      </c>
      <c r="AT3" s="7" t="s">
        <v>74</v>
      </c>
      <c r="AU3" s="7" t="s">
        <v>15</v>
      </c>
      <c r="AV3" s="7" t="s">
        <v>16</v>
      </c>
      <c r="AW3" s="7" t="s">
        <v>74</v>
      </c>
      <c r="AX3" s="7" t="s">
        <v>15</v>
      </c>
      <c r="AY3" s="7" t="s">
        <v>16</v>
      </c>
      <c r="AZ3" s="7" t="s">
        <v>74</v>
      </c>
      <c r="BA3" s="7" t="s">
        <v>15</v>
      </c>
      <c r="BB3" s="7" t="s">
        <v>16</v>
      </c>
    </row>
    <row r="4" spans="1:61" ht="14.95" customHeight="1" thickBot="1" x14ac:dyDescent="0.3">
      <c r="A4" s="384" t="s">
        <v>11</v>
      </c>
      <c r="B4" s="391">
        <v>0</v>
      </c>
      <c r="C4" s="385">
        <v>1</v>
      </c>
      <c r="D4" s="386">
        <v>1</v>
      </c>
      <c r="E4" s="387">
        <f t="shared" ref="E4" si="2">SUM(B4:D4)</f>
        <v>2</v>
      </c>
      <c r="F4" s="170" t="s">
        <v>11</v>
      </c>
      <c r="G4" s="145">
        <v>0</v>
      </c>
      <c r="H4" s="306">
        <v>5</v>
      </c>
      <c r="I4" s="232">
        <v>5</v>
      </c>
      <c r="J4" s="173">
        <f t="shared" ref="J4" si="3">SUM(G4:I4)</f>
        <v>10</v>
      </c>
      <c r="K4" s="384" t="s">
        <v>443</v>
      </c>
      <c r="L4" s="387" t="s">
        <v>21</v>
      </c>
      <c r="M4" s="387" t="s">
        <v>21</v>
      </c>
      <c r="N4" s="389" t="s">
        <v>21</v>
      </c>
      <c r="O4" s="387" t="s">
        <v>21</v>
      </c>
      <c r="P4" s="387" t="s">
        <v>21</v>
      </c>
      <c r="Q4" s="389" t="s">
        <v>21</v>
      </c>
      <c r="R4" s="387">
        <v>1</v>
      </c>
      <c r="S4" s="387">
        <v>1</v>
      </c>
      <c r="T4" s="7" t="s">
        <v>21</v>
      </c>
      <c r="U4" s="7" t="s">
        <v>21</v>
      </c>
      <c r="V4" s="156" t="s">
        <v>21</v>
      </c>
      <c r="W4" s="7">
        <v>1</v>
      </c>
      <c r="X4" s="7">
        <v>1</v>
      </c>
      <c r="Y4" s="156">
        <f>SUM(W4/X4)*100</f>
        <v>100</v>
      </c>
      <c r="Z4" s="95"/>
      <c r="AA4" s="95"/>
      <c r="AB4" s="151" t="s">
        <v>21</v>
      </c>
      <c r="AC4" s="7" t="s">
        <v>21</v>
      </c>
      <c r="AD4" s="156" t="s">
        <v>21</v>
      </c>
      <c r="AE4" s="151" t="s">
        <v>21</v>
      </c>
      <c r="AF4" s="7" t="s">
        <v>21</v>
      </c>
      <c r="AG4" s="156" t="s">
        <v>21</v>
      </c>
      <c r="AH4" s="151" t="s">
        <v>21</v>
      </c>
      <c r="AI4" s="7" t="s">
        <v>21</v>
      </c>
      <c r="AJ4" s="156" t="s">
        <v>21</v>
      </c>
      <c r="AK4" s="151" t="s">
        <v>21</v>
      </c>
      <c r="AL4" s="7" t="s">
        <v>21</v>
      </c>
      <c r="AM4" s="7" t="s">
        <v>21</v>
      </c>
      <c r="AN4" s="151" t="s">
        <v>21</v>
      </c>
      <c r="AO4" s="7" t="s">
        <v>21</v>
      </c>
      <c r="AP4" s="7" t="s">
        <v>21</v>
      </c>
      <c r="AQ4" s="151" t="s">
        <v>21</v>
      </c>
      <c r="AR4" s="7" t="s">
        <v>21</v>
      </c>
      <c r="AS4" s="7" t="s">
        <v>21</v>
      </c>
      <c r="AT4" s="7" t="s">
        <v>21</v>
      </c>
      <c r="AU4" s="7" t="s">
        <v>21</v>
      </c>
      <c r="AV4" s="7" t="s">
        <v>21</v>
      </c>
      <c r="AW4" s="7" t="s">
        <v>21</v>
      </c>
      <c r="AX4" s="7" t="s">
        <v>21</v>
      </c>
      <c r="AY4" s="7" t="s">
        <v>21</v>
      </c>
      <c r="AZ4" s="7" t="s">
        <v>21</v>
      </c>
      <c r="BA4" s="7" t="s">
        <v>21</v>
      </c>
      <c r="BB4" s="7" t="s">
        <v>21</v>
      </c>
    </row>
    <row r="5" spans="1:61" ht="14.95" customHeight="1" thickBot="1" x14ac:dyDescent="0.3">
      <c r="A5" s="384" t="s">
        <v>9</v>
      </c>
      <c r="B5" s="391">
        <v>5</v>
      </c>
      <c r="C5" s="385">
        <v>0</v>
      </c>
      <c r="D5" s="386">
        <v>0</v>
      </c>
      <c r="E5" s="387">
        <f t="shared" si="0"/>
        <v>5</v>
      </c>
      <c r="F5" s="170" t="s">
        <v>9</v>
      </c>
      <c r="G5" s="145">
        <v>25</v>
      </c>
      <c r="H5" s="306">
        <v>0</v>
      </c>
      <c r="I5" s="232">
        <v>0</v>
      </c>
      <c r="J5" s="173">
        <f t="shared" si="1"/>
        <v>25</v>
      </c>
      <c r="K5" s="384" t="s">
        <v>732</v>
      </c>
      <c r="L5" s="387" t="s">
        <v>21</v>
      </c>
      <c r="M5" s="387" t="s">
        <v>21</v>
      </c>
      <c r="N5" s="389" t="s">
        <v>21</v>
      </c>
      <c r="O5" s="387" t="s">
        <v>21</v>
      </c>
      <c r="P5" s="387" t="s">
        <v>21</v>
      </c>
      <c r="Q5" s="389" t="s">
        <v>21</v>
      </c>
      <c r="R5" s="387" t="s">
        <v>26</v>
      </c>
      <c r="S5" s="387">
        <v>2</v>
      </c>
      <c r="T5" s="7" t="s">
        <v>21</v>
      </c>
      <c r="U5" s="7" t="s">
        <v>21</v>
      </c>
      <c r="V5" s="156" t="s">
        <v>21</v>
      </c>
      <c r="W5" s="7" t="s">
        <v>21</v>
      </c>
      <c r="X5" s="7" t="s">
        <v>21</v>
      </c>
      <c r="Y5" s="156" t="s">
        <v>21</v>
      </c>
      <c r="Z5" s="95"/>
      <c r="AA5" s="95"/>
      <c r="AB5" s="151" t="s">
        <v>21</v>
      </c>
      <c r="AC5" s="7" t="s">
        <v>21</v>
      </c>
      <c r="AD5" s="156" t="s">
        <v>21</v>
      </c>
      <c r="AE5" s="151" t="s">
        <v>21</v>
      </c>
      <c r="AF5" s="7" t="s">
        <v>21</v>
      </c>
      <c r="AG5" s="156" t="s">
        <v>21</v>
      </c>
      <c r="AH5" s="151" t="s">
        <v>21</v>
      </c>
      <c r="AI5" s="7" t="s">
        <v>21</v>
      </c>
      <c r="AJ5" s="7" t="s">
        <v>21</v>
      </c>
      <c r="AK5" s="151" t="s">
        <v>21</v>
      </c>
      <c r="AL5" s="7" t="s">
        <v>21</v>
      </c>
      <c r="AM5" s="7" t="s">
        <v>21</v>
      </c>
      <c r="AN5" s="151" t="s">
        <v>21</v>
      </c>
      <c r="AO5" s="7" t="s">
        <v>21</v>
      </c>
      <c r="AP5" s="7" t="s">
        <v>21</v>
      </c>
      <c r="AQ5" s="151" t="s">
        <v>21</v>
      </c>
      <c r="AR5" s="7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</row>
    <row r="6" spans="1:61" ht="14.95" customHeight="1" thickBot="1" x14ac:dyDescent="0.3">
      <c r="A6" s="384" t="s">
        <v>730</v>
      </c>
      <c r="B6" s="391">
        <v>0</v>
      </c>
      <c r="C6" s="385">
        <v>0</v>
      </c>
      <c r="D6" s="386">
        <v>0</v>
      </c>
      <c r="E6" s="387">
        <f t="shared" si="0"/>
        <v>0</v>
      </c>
      <c r="F6" s="170" t="s">
        <v>730</v>
      </c>
      <c r="G6" s="145">
        <v>0</v>
      </c>
      <c r="H6" s="306">
        <v>0</v>
      </c>
      <c r="I6" s="232">
        <v>0</v>
      </c>
      <c r="J6" s="173">
        <f t="shared" si="1"/>
        <v>0</v>
      </c>
      <c r="K6" s="384" t="s">
        <v>828</v>
      </c>
      <c r="L6" s="387">
        <v>45</v>
      </c>
      <c r="M6" s="387">
        <v>54</v>
      </c>
      <c r="N6" s="389">
        <f t="shared" ref="N6" si="4">(L6/M6)*100</f>
        <v>83.333333333333343</v>
      </c>
      <c r="O6" s="387">
        <v>6</v>
      </c>
      <c r="P6" s="387">
        <v>6</v>
      </c>
      <c r="Q6" s="389">
        <f t="shared" ref="Q6" si="5">(O6/P6)*100</f>
        <v>100</v>
      </c>
      <c r="R6" s="387">
        <v>7</v>
      </c>
      <c r="S6" s="387">
        <v>7</v>
      </c>
      <c r="T6" s="7">
        <v>33</v>
      </c>
      <c r="U6" s="7">
        <v>41</v>
      </c>
      <c r="V6" s="156">
        <v>80.487804878048792</v>
      </c>
      <c r="W6" s="7">
        <v>13</v>
      </c>
      <c r="X6" s="7">
        <v>18</v>
      </c>
      <c r="Y6" s="156">
        <v>72</v>
      </c>
      <c r="Z6" s="95"/>
      <c r="AA6" s="95"/>
      <c r="AB6" s="151">
        <v>14</v>
      </c>
      <c r="AC6" s="7">
        <v>18</v>
      </c>
      <c r="AD6" s="156">
        <v>77.777777777777786</v>
      </c>
      <c r="AE6" s="151">
        <v>28</v>
      </c>
      <c r="AF6" s="7">
        <v>36</v>
      </c>
      <c r="AG6" s="156">
        <v>77.777777777777786</v>
      </c>
      <c r="AH6" s="151" t="s">
        <v>21</v>
      </c>
      <c r="AI6" s="7" t="s">
        <v>21</v>
      </c>
      <c r="AJ6" s="7" t="s">
        <v>21</v>
      </c>
      <c r="AK6" s="151" t="s">
        <v>21</v>
      </c>
      <c r="AL6" s="7" t="s">
        <v>21</v>
      </c>
      <c r="AM6" s="7" t="s">
        <v>21</v>
      </c>
      <c r="AN6" s="151" t="s">
        <v>21</v>
      </c>
      <c r="AO6" s="7" t="s">
        <v>21</v>
      </c>
      <c r="AP6" s="7" t="s">
        <v>21</v>
      </c>
      <c r="AQ6" s="151" t="s">
        <v>21</v>
      </c>
      <c r="AR6" s="7" t="s">
        <v>21</v>
      </c>
      <c r="AS6" s="7" t="s">
        <v>21</v>
      </c>
      <c r="AT6" s="151" t="s">
        <v>21</v>
      </c>
      <c r="AU6" s="7" t="s">
        <v>21</v>
      </c>
      <c r="AV6" s="7" t="s">
        <v>21</v>
      </c>
      <c r="AW6" s="151" t="s">
        <v>21</v>
      </c>
      <c r="AX6" s="7" t="s">
        <v>21</v>
      </c>
      <c r="AY6" s="7" t="s">
        <v>21</v>
      </c>
      <c r="AZ6" s="151" t="s">
        <v>21</v>
      </c>
      <c r="BA6" s="7" t="s">
        <v>21</v>
      </c>
      <c r="BB6" s="7" t="s">
        <v>21</v>
      </c>
    </row>
    <row r="7" spans="1:61" ht="14.95" customHeight="1" thickBot="1" x14ac:dyDescent="0.3">
      <c r="A7" s="384" t="s">
        <v>472</v>
      </c>
      <c r="B7" s="391">
        <v>0</v>
      </c>
      <c r="C7" s="385">
        <v>0</v>
      </c>
      <c r="D7" s="386">
        <v>0</v>
      </c>
      <c r="E7" s="387">
        <f t="shared" si="0"/>
        <v>0</v>
      </c>
      <c r="F7" s="170" t="s">
        <v>472</v>
      </c>
      <c r="G7" s="145">
        <v>0</v>
      </c>
      <c r="H7" s="306">
        <v>0</v>
      </c>
      <c r="I7" s="232">
        <v>0</v>
      </c>
      <c r="J7" s="173">
        <f t="shared" si="1"/>
        <v>0</v>
      </c>
      <c r="K7" s="384" t="s">
        <v>914</v>
      </c>
      <c r="L7" s="387">
        <v>17</v>
      </c>
      <c r="M7" s="387">
        <v>24</v>
      </c>
      <c r="N7" s="389">
        <f t="shared" ref="N7" si="6">(L7/M7)*100</f>
        <v>70.833333333333343</v>
      </c>
      <c r="O7" s="387" t="s">
        <v>21</v>
      </c>
      <c r="P7" s="387" t="s">
        <v>21</v>
      </c>
      <c r="Q7" s="389" t="s">
        <v>21</v>
      </c>
      <c r="R7" s="387">
        <v>3</v>
      </c>
      <c r="S7" s="387">
        <v>3</v>
      </c>
      <c r="T7" s="7" t="s">
        <v>21</v>
      </c>
      <c r="U7" s="7" t="s">
        <v>21</v>
      </c>
      <c r="V7" s="156" t="s">
        <v>21</v>
      </c>
      <c r="W7" s="7">
        <v>0</v>
      </c>
      <c r="X7" s="7">
        <v>2</v>
      </c>
      <c r="Y7" s="156">
        <v>0</v>
      </c>
      <c r="Z7" s="95"/>
      <c r="AA7" s="95"/>
      <c r="AB7" s="151">
        <v>19</v>
      </c>
      <c r="AC7" s="7">
        <v>24</v>
      </c>
      <c r="AD7" s="156">
        <v>79.166666666666657</v>
      </c>
      <c r="AE7" s="151" t="s">
        <v>21</v>
      </c>
      <c r="AF7" s="7" t="s">
        <v>21</v>
      </c>
      <c r="AG7" s="156" t="s">
        <v>21</v>
      </c>
      <c r="AH7" s="151">
        <v>0</v>
      </c>
      <c r="AI7" s="7">
        <v>1</v>
      </c>
      <c r="AJ7" s="7">
        <v>0</v>
      </c>
      <c r="AK7" s="151">
        <v>8</v>
      </c>
      <c r="AL7" s="7">
        <v>14</v>
      </c>
      <c r="AM7" s="7">
        <v>57</v>
      </c>
      <c r="AN7" s="151">
        <v>13</v>
      </c>
      <c r="AO7" s="7">
        <v>18</v>
      </c>
      <c r="AP7" s="7">
        <v>72</v>
      </c>
      <c r="AQ7" s="151" t="s">
        <v>21</v>
      </c>
      <c r="AR7" s="7" t="s">
        <v>21</v>
      </c>
      <c r="AS7" s="7" t="s">
        <v>21</v>
      </c>
      <c r="AT7" s="7" t="s">
        <v>21</v>
      </c>
      <c r="AU7" s="7" t="s">
        <v>21</v>
      </c>
      <c r="AV7" s="7" t="s">
        <v>21</v>
      </c>
      <c r="AW7" s="7" t="s">
        <v>21</v>
      </c>
      <c r="AX7" s="7" t="s">
        <v>21</v>
      </c>
      <c r="AY7" s="7" t="s">
        <v>21</v>
      </c>
      <c r="AZ7" s="7" t="s">
        <v>21</v>
      </c>
      <c r="BA7" s="7" t="s">
        <v>21</v>
      </c>
      <c r="BB7" s="7" t="s">
        <v>21</v>
      </c>
      <c r="BC7" t="s">
        <v>30</v>
      </c>
    </row>
    <row r="8" spans="1:61" ht="14.95" customHeight="1" thickBot="1" x14ac:dyDescent="0.3">
      <c r="A8" s="384" t="s">
        <v>428</v>
      </c>
      <c r="B8" s="391">
        <v>1</v>
      </c>
      <c r="C8" s="385">
        <v>1</v>
      </c>
      <c r="D8" s="386">
        <v>2</v>
      </c>
      <c r="E8" s="387">
        <f t="shared" si="0"/>
        <v>4</v>
      </c>
      <c r="F8" s="170" t="s">
        <v>428</v>
      </c>
      <c r="G8" s="145">
        <v>5</v>
      </c>
      <c r="H8" s="306">
        <v>5</v>
      </c>
      <c r="I8" s="232">
        <v>10</v>
      </c>
      <c r="J8" s="173">
        <f t="shared" si="1"/>
        <v>20</v>
      </c>
      <c r="K8" s="384" t="s">
        <v>312</v>
      </c>
      <c r="L8" s="387" t="s">
        <v>21</v>
      </c>
      <c r="M8" s="387" t="s">
        <v>21</v>
      </c>
      <c r="N8" s="389" t="s">
        <v>21</v>
      </c>
      <c r="O8" s="387" t="s">
        <v>21</v>
      </c>
      <c r="P8" s="387" t="s">
        <v>21</v>
      </c>
      <c r="Q8" s="389" t="s">
        <v>21</v>
      </c>
      <c r="R8" s="387">
        <v>-1</v>
      </c>
      <c r="S8" s="387">
        <v>-1</v>
      </c>
      <c r="T8" s="7" t="s">
        <v>21</v>
      </c>
      <c r="U8" s="7" t="s">
        <v>21</v>
      </c>
      <c r="V8" s="156" t="s">
        <v>21</v>
      </c>
      <c r="W8" s="7">
        <v>0</v>
      </c>
      <c r="X8" s="7">
        <v>1</v>
      </c>
      <c r="Y8" s="156">
        <f t="shared" ref="Y8" si="7">SUM(W8/X8)*100</f>
        <v>0</v>
      </c>
      <c r="Z8" s="95"/>
      <c r="AA8" s="95"/>
      <c r="AB8" s="151" t="s">
        <v>21</v>
      </c>
      <c r="AC8" s="7" t="s">
        <v>21</v>
      </c>
      <c r="AD8" s="156" t="s">
        <v>21</v>
      </c>
      <c r="AE8" s="151">
        <v>1</v>
      </c>
      <c r="AF8" s="7">
        <v>1</v>
      </c>
      <c r="AG8" s="156">
        <f>(AE8/AF8)*100</f>
        <v>100</v>
      </c>
      <c r="AH8" s="151" t="s">
        <v>21</v>
      </c>
      <c r="AI8" s="7" t="s">
        <v>21</v>
      </c>
      <c r="AJ8" s="7" t="s">
        <v>21</v>
      </c>
      <c r="AK8" s="151" t="s">
        <v>21</v>
      </c>
      <c r="AL8" s="7" t="s">
        <v>21</v>
      </c>
      <c r="AM8" s="7" t="s">
        <v>21</v>
      </c>
      <c r="AN8" s="151" t="s">
        <v>21</v>
      </c>
      <c r="AO8" s="7" t="s">
        <v>21</v>
      </c>
      <c r="AP8" s="7" t="s">
        <v>21</v>
      </c>
      <c r="AQ8" s="151" t="s">
        <v>21</v>
      </c>
      <c r="AR8" s="7" t="s">
        <v>21</v>
      </c>
      <c r="AS8" s="7" t="s">
        <v>21</v>
      </c>
      <c r="AT8" s="7" t="s">
        <v>21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</row>
    <row r="9" spans="1:61" ht="14.95" customHeight="1" thickBot="1" x14ac:dyDescent="0.3">
      <c r="A9" s="384" t="s">
        <v>95</v>
      </c>
      <c r="B9" s="391">
        <v>0</v>
      </c>
      <c r="C9" s="385">
        <v>0</v>
      </c>
      <c r="D9" s="386">
        <v>3</v>
      </c>
      <c r="E9" s="387">
        <f t="shared" si="0"/>
        <v>3</v>
      </c>
      <c r="F9" s="170" t="s">
        <v>95</v>
      </c>
      <c r="G9" s="145">
        <v>0</v>
      </c>
      <c r="H9" s="306">
        <v>0</v>
      </c>
      <c r="I9" s="232">
        <v>15</v>
      </c>
      <c r="J9" s="173">
        <f t="shared" si="1"/>
        <v>15</v>
      </c>
      <c r="K9" s="388" t="s">
        <v>956</v>
      </c>
      <c r="L9" s="387">
        <v>2</v>
      </c>
      <c r="M9" s="387">
        <v>2</v>
      </c>
      <c r="N9" s="389">
        <f t="shared" ref="N9" si="8">(L9/M9)*100</f>
        <v>100</v>
      </c>
      <c r="O9" s="387">
        <v>2</v>
      </c>
      <c r="P9" s="387">
        <v>2</v>
      </c>
      <c r="Q9" s="389">
        <f t="shared" ref="Q9" si="9">(O9/P9)*100</f>
        <v>100</v>
      </c>
      <c r="R9" s="387">
        <v>6</v>
      </c>
      <c r="S9" s="387">
        <v>6</v>
      </c>
      <c r="T9" s="7" t="s">
        <v>21</v>
      </c>
      <c r="U9" s="7" t="s">
        <v>21</v>
      </c>
      <c r="V9" s="156" t="s">
        <v>21</v>
      </c>
      <c r="W9" s="7">
        <v>11</v>
      </c>
      <c r="X9" s="7">
        <v>16</v>
      </c>
      <c r="Y9" s="156">
        <v>69</v>
      </c>
      <c r="Z9" s="95"/>
      <c r="AA9" s="95"/>
      <c r="AB9" s="151">
        <v>2</v>
      </c>
      <c r="AC9" s="7">
        <v>2</v>
      </c>
      <c r="AD9" s="156">
        <v>100</v>
      </c>
      <c r="AE9" s="151" t="s">
        <v>21</v>
      </c>
      <c r="AF9" s="7" t="s">
        <v>21</v>
      </c>
      <c r="AG9" s="156" t="s">
        <v>21</v>
      </c>
      <c r="AH9" s="151" t="s">
        <v>21</v>
      </c>
      <c r="AI9" s="7" t="s">
        <v>21</v>
      </c>
      <c r="AJ9" s="156" t="s">
        <v>21</v>
      </c>
      <c r="AK9" s="151" t="s">
        <v>21</v>
      </c>
      <c r="AL9" s="7" t="s">
        <v>21</v>
      </c>
      <c r="AM9" s="156" t="s">
        <v>21</v>
      </c>
      <c r="AN9" s="151" t="s">
        <v>21</v>
      </c>
      <c r="AO9" s="7" t="s">
        <v>21</v>
      </c>
      <c r="AP9" s="156" t="s">
        <v>21</v>
      </c>
      <c r="AQ9" s="151" t="s">
        <v>21</v>
      </c>
      <c r="AR9" s="7" t="s">
        <v>21</v>
      </c>
      <c r="AS9" s="156" t="s">
        <v>21</v>
      </c>
      <c r="AT9" s="151" t="s">
        <v>21</v>
      </c>
      <c r="AU9" s="7" t="s">
        <v>21</v>
      </c>
      <c r="AV9" s="156" t="s">
        <v>21</v>
      </c>
      <c r="AW9" s="151" t="s">
        <v>21</v>
      </c>
      <c r="AX9" s="7" t="s">
        <v>21</v>
      </c>
      <c r="AY9" s="156" t="s">
        <v>21</v>
      </c>
      <c r="AZ9" s="151" t="s">
        <v>21</v>
      </c>
      <c r="BA9" s="7" t="s">
        <v>21</v>
      </c>
      <c r="BB9" s="156" t="s">
        <v>21</v>
      </c>
    </row>
    <row r="10" spans="1:61" ht="14.95" customHeight="1" thickBot="1" x14ac:dyDescent="0.3">
      <c r="A10" s="384" t="s">
        <v>52</v>
      </c>
      <c r="B10" s="391">
        <v>1</v>
      </c>
      <c r="C10" s="385">
        <v>0</v>
      </c>
      <c r="D10" s="386">
        <v>0</v>
      </c>
      <c r="E10" s="387">
        <f t="shared" si="0"/>
        <v>1</v>
      </c>
      <c r="F10" s="170" t="s">
        <v>52</v>
      </c>
      <c r="G10" s="145">
        <v>5</v>
      </c>
      <c r="H10" s="306">
        <v>0</v>
      </c>
      <c r="I10" s="232">
        <v>0</v>
      </c>
      <c r="J10" s="173">
        <f t="shared" si="1"/>
        <v>5</v>
      </c>
      <c r="K10" s="384" t="s">
        <v>698</v>
      </c>
      <c r="L10" s="387" t="s">
        <v>21</v>
      </c>
      <c r="M10" s="387" t="s">
        <v>21</v>
      </c>
      <c r="N10" s="389" t="s">
        <v>21</v>
      </c>
      <c r="O10" s="387" t="s">
        <v>21</v>
      </c>
      <c r="P10" s="387" t="s">
        <v>21</v>
      </c>
      <c r="Q10" s="389" t="s">
        <v>21</v>
      </c>
      <c r="R10" s="387">
        <v>-1</v>
      </c>
      <c r="S10" s="387">
        <v>-1</v>
      </c>
      <c r="T10" s="7" t="s">
        <v>21</v>
      </c>
      <c r="U10" s="7" t="s">
        <v>21</v>
      </c>
      <c r="V10" s="156" t="s">
        <v>21</v>
      </c>
      <c r="W10" s="7" t="s">
        <v>21</v>
      </c>
      <c r="X10" s="7" t="s">
        <v>21</v>
      </c>
      <c r="Y10" s="156" t="s">
        <v>21</v>
      </c>
      <c r="Z10" s="95"/>
      <c r="AA10" s="95"/>
      <c r="AB10" s="151" t="s">
        <v>21</v>
      </c>
      <c r="AC10" s="7" t="s">
        <v>21</v>
      </c>
      <c r="AD10" s="156" t="s">
        <v>21</v>
      </c>
      <c r="AE10" s="151" t="s">
        <v>21</v>
      </c>
      <c r="AF10" s="7" t="s">
        <v>21</v>
      </c>
      <c r="AG10" s="156" t="s">
        <v>21</v>
      </c>
      <c r="AH10" s="151" t="s">
        <v>21</v>
      </c>
      <c r="AI10" s="7" t="s">
        <v>21</v>
      </c>
      <c r="AJ10" s="7" t="s">
        <v>21</v>
      </c>
      <c r="AK10" s="151" t="s">
        <v>21</v>
      </c>
      <c r="AL10" s="7" t="s">
        <v>21</v>
      </c>
      <c r="AM10" s="7" t="s">
        <v>21</v>
      </c>
      <c r="AN10" s="151" t="s">
        <v>21</v>
      </c>
      <c r="AO10" s="7" t="s">
        <v>21</v>
      </c>
      <c r="AP10" s="7" t="s">
        <v>21</v>
      </c>
      <c r="AQ10" s="151" t="s">
        <v>21</v>
      </c>
      <c r="AR10" s="7" t="s">
        <v>21</v>
      </c>
      <c r="AS10" s="7" t="s">
        <v>21</v>
      </c>
      <c r="AT10" s="7" t="s">
        <v>21</v>
      </c>
      <c r="AU10" s="7" t="s">
        <v>21</v>
      </c>
      <c r="AV10" s="7" t="s">
        <v>21</v>
      </c>
      <c r="AW10" s="7" t="s">
        <v>21</v>
      </c>
      <c r="AX10" s="7" t="s">
        <v>21</v>
      </c>
      <c r="AY10" s="7" t="s">
        <v>21</v>
      </c>
      <c r="AZ10" s="7">
        <v>0</v>
      </c>
      <c r="BA10" s="7">
        <v>1</v>
      </c>
      <c r="BB10" s="7">
        <v>0</v>
      </c>
    </row>
    <row r="11" spans="1:61" ht="14.95" customHeight="1" thickBot="1" x14ac:dyDescent="0.3">
      <c r="A11" s="384" t="s">
        <v>644</v>
      </c>
      <c r="B11" s="391">
        <v>0</v>
      </c>
      <c r="C11" s="385">
        <v>0</v>
      </c>
      <c r="D11" s="386">
        <v>0</v>
      </c>
      <c r="E11" s="387">
        <f t="shared" si="0"/>
        <v>0</v>
      </c>
      <c r="F11" s="170" t="s">
        <v>644</v>
      </c>
      <c r="G11" s="145">
        <v>0</v>
      </c>
      <c r="H11" s="306">
        <v>0</v>
      </c>
      <c r="I11" s="232">
        <v>0</v>
      </c>
      <c r="J11" s="173">
        <f t="shared" si="1"/>
        <v>0</v>
      </c>
      <c r="K11" s="26"/>
      <c r="AB11" s="163"/>
      <c r="AC11" s="163"/>
    </row>
    <row r="12" spans="1:61" ht="14.95" customHeight="1" thickBot="1" x14ac:dyDescent="0.3">
      <c r="A12" s="384" t="s">
        <v>711</v>
      </c>
      <c r="B12" s="391">
        <v>1</v>
      </c>
      <c r="C12" s="385">
        <v>1</v>
      </c>
      <c r="D12" s="386">
        <v>0</v>
      </c>
      <c r="E12" s="387">
        <f t="shared" si="0"/>
        <v>2</v>
      </c>
      <c r="F12" s="170" t="s">
        <v>711</v>
      </c>
      <c r="G12" s="145">
        <v>5</v>
      </c>
      <c r="H12" s="306">
        <v>5</v>
      </c>
      <c r="I12" s="232">
        <v>0</v>
      </c>
      <c r="J12" s="173">
        <f t="shared" si="1"/>
        <v>10</v>
      </c>
      <c r="K12" s="455" t="s">
        <v>302</v>
      </c>
      <c r="L12" s="436" t="s">
        <v>20</v>
      </c>
      <c r="M12" s="437"/>
      <c r="N12" s="438"/>
      <c r="O12" s="422" t="s">
        <v>365</v>
      </c>
      <c r="P12" s="423"/>
      <c r="Q12" s="424"/>
      <c r="R12" s="422" t="s">
        <v>854</v>
      </c>
      <c r="S12" s="423"/>
      <c r="T12" s="424"/>
      <c r="U12" s="422" t="s">
        <v>700</v>
      </c>
      <c r="V12" s="423"/>
      <c r="W12" s="424"/>
      <c r="X12" s="163"/>
      <c r="AB12" s="422" t="s">
        <v>518</v>
      </c>
      <c r="AC12" s="423"/>
      <c r="AD12" s="424"/>
      <c r="AE12" s="422" t="s">
        <v>356</v>
      </c>
      <c r="AF12" s="423"/>
      <c r="AG12" s="424"/>
      <c r="AH12" s="422" t="s">
        <v>272</v>
      </c>
      <c r="AI12" s="423"/>
      <c r="AJ12" s="424"/>
      <c r="AK12" s="422" t="s">
        <v>115</v>
      </c>
      <c r="AL12" s="423"/>
      <c r="AM12" s="424"/>
      <c r="AN12" s="422" t="s">
        <v>83</v>
      </c>
      <c r="AO12" s="423"/>
      <c r="AP12" s="424"/>
      <c r="AQ12" s="422" t="s">
        <v>78</v>
      </c>
      <c r="AR12" s="423"/>
      <c r="AS12" s="424"/>
      <c r="AT12" s="422" t="s">
        <v>273</v>
      </c>
      <c r="AU12" s="423"/>
      <c r="AV12" s="424"/>
      <c r="AW12" s="63"/>
    </row>
    <row r="13" spans="1:61" ht="14.95" customHeight="1" thickBot="1" x14ac:dyDescent="0.3">
      <c r="A13" s="384" t="s">
        <v>567</v>
      </c>
      <c r="B13" s="391">
        <v>0</v>
      </c>
      <c r="C13" s="385">
        <v>0</v>
      </c>
      <c r="D13" s="386">
        <v>3</v>
      </c>
      <c r="E13" s="387">
        <f t="shared" si="0"/>
        <v>3</v>
      </c>
      <c r="F13" s="170" t="s">
        <v>567</v>
      </c>
      <c r="G13" s="145">
        <v>0</v>
      </c>
      <c r="H13" s="306">
        <v>0</v>
      </c>
      <c r="I13" s="232">
        <v>15</v>
      </c>
      <c r="J13" s="173">
        <f t="shared" si="1"/>
        <v>15</v>
      </c>
      <c r="K13" s="456"/>
      <c r="L13" s="439"/>
      <c r="M13" s="440"/>
      <c r="N13" s="441"/>
      <c r="O13" s="425"/>
      <c r="P13" s="426"/>
      <c r="Q13" s="427"/>
      <c r="R13" s="425"/>
      <c r="S13" s="426"/>
      <c r="T13" s="427"/>
      <c r="U13" s="425"/>
      <c r="V13" s="426"/>
      <c r="W13" s="427"/>
      <c r="AB13" s="425"/>
      <c r="AC13" s="426"/>
      <c r="AD13" s="427"/>
      <c r="AE13" s="425"/>
      <c r="AF13" s="426"/>
      <c r="AG13" s="427"/>
      <c r="AH13" s="425"/>
      <c r="AI13" s="426"/>
      <c r="AJ13" s="427"/>
      <c r="AK13" s="425"/>
      <c r="AL13" s="426"/>
      <c r="AM13" s="427"/>
      <c r="AN13" s="425"/>
      <c r="AO13" s="426"/>
      <c r="AP13" s="427"/>
      <c r="AQ13" s="425"/>
      <c r="AR13" s="426"/>
      <c r="AS13" s="427"/>
      <c r="AT13" s="425"/>
      <c r="AU13" s="426"/>
      <c r="AV13" s="427"/>
      <c r="AW13" s="63"/>
    </row>
    <row r="14" spans="1:61" ht="14.95" customHeight="1" thickBot="1" x14ac:dyDescent="0.3">
      <c r="A14" s="384" t="s">
        <v>492</v>
      </c>
      <c r="B14" s="391">
        <v>0</v>
      </c>
      <c r="C14" s="385">
        <v>0</v>
      </c>
      <c r="D14" s="386">
        <v>0</v>
      </c>
      <c r="E14" s="387">
        <f t="shared" si="0"/>
        <v>0</v>
      </c>
      <c r="F14" s="170" t="s">
        <v>492</v>
      </c>
      <c r="G14" s="145">
        <v>0</v>
      </c>
      <c r="H14" s="306">
        <v>0</v>
      </c>
      <c r="I14" s="232">
        <v>0</v>
      </c>
      <c r="J14" s="173">
        <f t="shared" si="1"/>
        <v>0</v>
      </c>
      <c r="K14" s="278" t="s">
        <v>30</v>
      </c>
      <c r="L14" s="3" t="s">
        <v>74</v>
      </c>
      <c r="M14" s="3" t="s">
        <v>15</v>
      </c>
      <c r="N14" s="3" t="s">
        <v>16</v>
      </c>
      <c r="O14" s="7" t="s">
        <v>74</v>
      </c>
      <c r="P14" s="7" t="s">
        <v>15</v>
      </c>
      <c r="Q14" s="7" t="s">
        <v>16</v>
      </c>
      <c r="R14" s="7" t="s">
        <v>74</v>
      </c>
      <c r="S14" s="7" t="s">
        <v>15</v>
      </c>
      <c r="T14" s="7" t="s">
        <v>16</v>
      </c>
      <c r="U14" s="7" t="s">
        <v>74</v>
      </c>
      <c r="V14" s="7" t="s">
        <v>15</v>
      </c>
      <c r="W14" s="7" t="s">
        <v>16</v>
      </c>
      <c r="AB14" s="151" t="s">
        <v>74</v>
      </c>
      <c r="AC14" s="7" t="s">
        <v>15</v>
      </c>
      <c r="AD14" s="7" t="s">
        <v>16</v>
      </c>
      <c r="AE14" s="151" t="s">
        <v>74</v>
      </c>
      <c r="AF14" s="7" t="s">
        <v>15</v>
      </c>
      <c r="AG14" s="7" t="s">
        <v>16</v>
      </c>
      <c r="AH14" s="151" t="s">
        <v>74</v>
      </c>
      <c r="AI14" s="7" t="s">
        <v>15</v>
      </c>
      <c r="AJ14" s="7" t="s">
        <v>16</v>
      </c>
      <c r="AK14" s="151" t="s">
        <v>74</v>
      </c>
      <c r="AL14" s="7" t="s">
        <v>15</v>
      </c>
      <c r="AM14" s="7" t="s">
        <v>16</v>
      </c>
      <c r="AN14" s="151" t="s">
        <v>74</v>
      </c>
      <c r="AO14" s="7" t="s">
        <v>15</v>
      </c>
      <c r="AP14" s="7" t="s">
        <v>16</v>
      </c>
      <c r="AQ14" s="151" t="s">
        <v>74</v>
      </c>
      <c r="AR14" s="7" t="s">
        <v>15</v>
      </c>
      <c r="AS14" s="7" t="s">
        <v>16</v>
      </c>
      <c r="AT14" s="6" t="s">
        <v>74</v>
      </c>
      <c r="AU14" s="7" t="s">
        <v>15</v>
      </c>
      <c r="AV14" s="7" t="s">
        <v>16</v>
      </c>
      <c r="AW14" s="63"/>
    </row>
    <row r="15" spans="1:61" ht="14.95" customHeight="1" thickBot="1" x14ac:dyDescent="0.3">
      <c r="A15" s="384" t="s">
        <v>360</v>
      </c>
      <c r="B15" s="391">
        <v>0</v>
      </c>
      <c r="C15" s="385">
        <v>0</v>
      </c>
      <c r="D15" s="386">
        <v>0</v>
      </c>
      <c r="E15" s="387">
        <f t="shared" si="0"/>
        <v>0</v>
      </c>
      <c r="F15" s="171" t="s">
        <v>360</v>
      </c>
      <c r="G15" s="145">
        <v>0</v>
      </c>
      <c r="H15" s="306">
        <v>0</v>
      </c>
      <c r="I15" s="232">
        <v>0</v>
      </c>
      <c r="J15" s="173">
        <f t="shared" si="1"/>
        <v>0</v>
      </c>
      <c r="K15" s="384" t="s">
        <v>828</v>
      </c>
      <c r="L15" s="387">
        <v>11</v>
      </c>
      <c r="M15" s="387">
        <v>14</v>
      </c>
      <c r="N15" s="389">
        <f t="shared" ref="N15" si="10">(L15/M15)*100</f>
        <v>78.571428571428569</v>
      </c>
      <c r="O15" s="6">
        <v>19</v>
      </c>
      <c r="P15" s="6">
        <v>21</v>
      </c>
      <c r="Q15" s="160">
        <v>90.476190476190482</v>
      </c>
      <c r="R15" s="6">
        <v>3</v>
      </c>
      <c r="S15" s="6">
        <v>4</v>
      </c>
      <c r="T15" s="160">
        <v>75</v>
      </c>
      <c r="U15" s="7" t="s">
        <v>21</v>
      </c>
      <c r="V15" s="7" t="s">
        <v>21</v>
      </c>
      <c r="W15" s="7" t="s">
        <v>21</v>
      </c>
      <c r="AB15" s="6">
        <v>5</v>
      </c>
      <c r="AC15" s="6">
        <v>5</v>
      </c>
      <c r="AD15" s="6">
        <v>100</v>
      </c>
      <c r="AE15" s="151" t="s">
        <v>21</v>
      </c>
      <c r="AF15" s="7" t="s">
        <v>21</v>
      </c>
      <c r="AG15" s="7" t="s">
        <v>21</v>
      </c>
      <c r="AH15" s="151" t="s">
        <v>21</v>
      </c>
      <c r="AI15" s="7" t="s">
        <v>21</v>
      </c>
      <c r="AJ15" s="7" t="s">
        <v>21</v>
      </c>
      <c r="AK15" s="151" t="s">
        <v>21</v>
      </c>
      <c r="AL15" s="7" t="s">
        <v>21</v>
      </c>
      <c r="AM15" s="7" t="s">
        <v>21</v>
      </c>
      <c r="AN15" s="151" t="s">
        <v>21</v>
      </c>
      <c r="AO15" s="7" t="s">
        <v>21</v>
      </c>
      <c r="AP15" s="7" t="s">
        <v>21</v>
      </c>
      <c r="AQ15" s="6" t="s">
        <v>21</v>
      </c>
      <c r="AR15" s="7" t="s">
        <v>21</v>
      </c>
      <c r="AS15" s="7" t="s">
        <v>21</v>
      </c>
      <c r="AT15" s="7" t="s">
        <v>21</v>
      </c>
      <c r="AU15" s="7" t="s">
        <v>21</v>
      </c>
      <c r="AV15" s="7" t="s">
        <v>21</v>
      </c>
      <c r="AW15" s="63"/>
    </row>
    <row r="16" spans="1:61" ht="14.95" customHeight="1" thickBot="1" x14ac:dyDescent="0.3">
      <c r="A16" s="384" t="s">
        <v>892</v>
      </c>
      <c r="B16" s="391">
        <v>8</v>
      </c>
      <c r="C16" s="385">
        <v>0</v>
      </c>
      <c r="D16" s="386">
        <v>2</v>
      </c>
      <c r="E16" s="387">
        <f t="shared" ref="E16" si="11">SUM(B16:D16)</f>
        <v>10</v>
      </c>
      <c r="F16" s="171" t="s">
        <v>892</v>
      </c>
      <c r="G16" s="145">
        <v>40</v>
      </c>
      <c r="H16" s="306">
        <v>0</v>
      </c>
      <c r="I16" s="232">
        <v>10</v>
      </c>
      <c r="J16" s="173">
        <f t="shared" ref="J16" si="12">SUM(G16:I16)</f>
        <v>50</v>
      </c>
      <c r="K16" s="384" t="s">
        <v>914</v>
      </c>
      <c r="L16" s="393">
        <v>6</v>
      </c>
      <c r="M16" s="393">
        <v>6</v>
      </c>
      <c r="N16" s="394">
        <f t="shared" ref="N16" si="13">(L16/M16)*100</f>
        <v>100</v>
      </c>
      <c r="O16" s="7" t="s">
        <v>21</v>
      </c>
      <c r="P16" s="7" t="s">
        <v>21</v>
      </c>
      <c r="Q16" s="156" t="s">
        <v>21</v>
      </c>
      <c r="R16" s="7" t="s">
        <v>21</v>
      </c>
      <c r="S16" s="7" t="s">
        <v>21</v>
      </c>
      <c r="T16" s="156" t="s">
        <v>21</v>
      </c>
      <c r="U16" s="7" t="s">
        <v>21</v>
      </c>
      <c r="V16" s="7" t="s">
        <v>21</v>
      </c>
      <c r="W16" s="156" t="s">
        <v>21</v>
      </c>
      <c r="AB16" s="6" t="s">
        <v>21</v>
      </c>
      <c r="AC16" s="7" t="s">
        <v>21</v>
      </c>
      <c r="AD16" s="156" t="s">
        <v>21</v>
      </c>
      <c r="AE16" s="7" t="s">
        <v>21</v>
      </c>
      <c r="AF16" s="7" t="s">
        <v>21</v>
      </c>
      <c r="AG16" s="156" t="s">
        <v>21</v>
      </c>
      <c r="AH16" s="7" t="s">
        <v>21</v>
      </c>
      <c r="AI16" s="7" t="s">
        <v>21</v>
      </c>
      <c r="AJ16" s="156" t="s">
        <v>21</v>
      </c>
      <c r="AK16" s="7" t="s">
        <v>21</v>
      </c>
      <c r="AL16" s="7" t="s">
        <v>21</v>
      </c>
      <c r="AM16" s="156" t="s">
        <v>21</v>
      </c>
      <c r="AN16" s="7" t="s">
        <v>21</v>
      </c>
      <c r="AO16" s="7" t="s">
        <v>21</v>
      </c>
      <c r="AP16" s="156" t="s">
        <v>21</v>
      </c>
      <c r="AQ16" s="7" t="s">
        <v>21</v>
      </c>
      <c r="AR16" s="7" t="s">
        <v>21</v>
      </c>
      <c r="AS16" s="156" t="s">
        <v>21</v>
      </c>
      <c r="AT16" s="7" t="s">
        <v>21</v>
      </c>
      <c r="AU16" s="7" t="s">
        <v>21</v>
      </c>
      <c r="AV16" s="156" t="s">
        <v>21</v>
      </c>
      <c r="AW16" s="63"/>
    </row>
    <row r="17" spans="1:57" ht="14.95" customHeight="1" thickBot="1" x14ac:dyDescent="0.3">
      <c r="A17" s="384" t="s">
        <v>893</v>
      </c>
      <c r="B17" s="391">
        <v>0</v>
      </c>
      <c r="C17" s="385">
        <v>0</v>
      </c>
      <c r="D17" s="386">
        <v>1</v>
      </c>
      <c r="E17" s="387">
        <f t="shared" ref="E17" si="14">SUM(B17:D17)</f>
        <v>1</v>
      </c>
      <c r="F17" s="171" t="s">
        <v>893</v>
      </c>
      <c r="G17" s="145">
        <v>0</v>
      </c>
      <c r="H17" s="306">
        <v>0</v>
      </c>
      <c r="I17" s="232">
        <v>5</v>
      </c>
      <c r="J17" s="173">
        <f t="shared" ref="J17" si="15">SUM(G17:I17)</f>
        <v>5</v>
      </c>
      <c r="O17" s="63"/>
      <c r="P17" s="63"/>
      <c r="Q17" s="63"/>
      <c r="R17" s="63"/>
      <c r="S17" s="63"/>
      <c r="T17" s="63"/>
      <c r="U17" s="63"/>
      <c r="V17" s="63"/>
      <c r="W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1:57" ht="14.95" customHeight="1" thickBot="1" x14ac:dyDescent="0.3">
      <c r="A18" s="384" t="s">
        <v>335</v>
      </c>
      <c r="B18" s="391">
        <v>0</v>
      </c>
      <c r="C18" s="385">
        <v>0</v>
      </c>
      <c r="D18" s="386">
        <v>0</v>
      </c>
      <c r="E18" s="387">
        <f t="shared" si="0"/>
        <v>0</v>
      </c>
      <c r="F18" s="171" t="s">
        <v>335</v>
      </c>
      <c r="G18" s="145">
        <v>0</v>
      </c>
      <c r="H18" s="306">
        <v>0</v>
      </c>
      <c r="I18" s="232">
        <v>0</v>
      </c>
      <c r="J18" s="173">
        <f t="shared" si="1"/>
        <v>0</v>
      </c>
      <c r="K18" s="442" t="s">
        <v>303</v>
      </c>
      <c r="L18" s="422" t="s">
        <v>20</v>
      </c>
      <c r="M18" s="423"/>
      <c r="N18" s="424"/>
      <c r="O18" s="422" t="s">
        <v>365</v>
      </c>
      <c r="P18" s="423"/>
      <c r="Q18" s="424"/>
      <c r="R18" s="422" t="s">
        <v>854</v>
      </c>
      <c r="S18" s="423"/>
      <c r="T18" s="424"/>
      <c r="U18" s="422" t="s">
        <v>700</v>
      </c>
      <c r="V18" s="423"/>
      <c r="W18" s="424"/>
      <c r="AB18" s="422" t="s">
        <v>518</v>
      </c>
      <c r="AC18" s="423"/>
      <c r="AD18" s="424"/>
      <c r="AE18" s="422" t="s">
        <v>356</v>
      </c>
      <c r="AF18" s="423"/>
      <c r="AG18" s="424"/>
      <c r="AH18" s="422" t="s">
        <v>272</v>
      </c>
      <c r="AI18" s="423"/>
      <c r="AJ18" s="424"/>
      <c r="AK18" s="422" t="s">
        <v>115</v>
      </c>
      <c r="AL18" s="423"/>
      <c r="AM18" s="424"/>
      <c r="AN18" s="422" t="s">
        <v>83</v>
      </c>
      <c r="AO18" s="423"/>
      <c r="AP18" s="424"/>
      <c r="AQ18" s="422" t="s">
        <v>78</v>
      </c>
      <c r="AR18" s="423"/>
      <c r="AS18" s="424"/>
      <c r="AT18" s="422" t="s">
        <v>60</v>
      </c>
      <c r="AU18" s="423"/>
      <c r="AV18" s="424"/>
      <c r="AW18" s="63"/>
    </row>
    <row r="19" spans="1:57" ht="14.95" customHeight="1" thickBot="1" x14ac:dyDescent="0.3">
      <c r="A19" s="384" t="s">
        <v>387</v>
      </c>
      <c r="B19" s="391">
        <v>0</v>
      </c>
      <c r="C19" s="385">
        <v>0</v>
      </c>
      <c r="D19" s="386">
        <v>0</v>
      </c>
      <c r="E19" s="387">
        <f t="shared" si="0"/>
        <v>0</v>
      </c>
      <c r="F19" s="171" t="s">
        <v>387</v>
      </c>
      <c r="G19" s="145">
        <v>0</v>
      </c>
      <c r="H19" s="306">
        <v>0</v>
      </c>
      <c r="I19" s="232">
        <v>0</v>
      </c>
      <c r="J19" s="173">
        <f t="shared" si="1"/>
        <v>0</v>
      </c>
      <c r="K19" s="443"/>
      <c r="L19" s="425"/>
      <c r="M19" s="426"/>
      <c r="N19" s="427"/>
      <c r="O19" s="425"/>
      <c r="P19" s="426"/>
      <c r="Q19" s="427"/>
      <c r="R19" s="425"/>
      <c r="S19" s="426"/>
      <c r="T19" s="427"/>
      <c r="U19" s="425"/>
      <c r="V19" s="426"/>
      <c r="W19" s="427"/>
      <c r="AB19" s="425"/>
      <c r="AC19" s="426"/>
      <c r="AD19" s="427"/>
      <c r="AE19" s="425"/>
      <c r="AF19" s="426"/>
      <c r="AG19" s="427"/>
      <c r="AH19" s="425"/>
      <c r="AI19" s="426"/>
      <c r="AJ19" s="427"/>
      <c r="AK19" s="425"/>
      <c r="AL19" s="426"/>
      <c r="AM19" s="427"/>
      <c r="AN19" s="425"/>
      <c r="AO19" s="426"/>
      <c r="AP19" s="427"/>
      <c r="AQ19" s="425"/>
      <c r="AR19" s="426"/>
      <c r="AS19" s="427"/>
      <c r="AT19" s="425"/>
      <c r="AU19" s="426"/>
      <c r="AV19" s="427"/>
      <c r="AW19" s="63"/>
    </row>
    <row r="20" spans="1:57" ht="14.95" customHeight="1" thickBot="1" x14ac:dyDescent="0.3">
      <c r="A20" s="384" t="s">
        <v>729</v>
      </c>
      <c r="B20" s="391">
        <v>0</v>
      </c>
      <c r="C20" s="385">
        <v>0</v>
      </c>
      <c r="D20" s="386">
        <v>0</v>
      </c>
      <c r="E20" s="387">
        <f t="shared" si="0"/>
        <v>0</v>
      </c>
      <c r="F20" s="171" t="s">
        <v>729</v>
      </c>
      <c r="G20" s="145">
        <v>0</v>
      </c>
      <c r="H20" s="306">
        <v>0</v>
      </c>
      <c r="I20" s="232">
        <v>0</v>
      </c>
      <c r="J20" s="173">
        <f t="shared" si="1"/>
        <v>0</v>
      </c>
      <c r="K20" s="272" t="s">
        <v>30</v>
      </c>
      <c r="L20" s="7" t="s">
        <v>74</v>
      </c>
      <c r="M20" s="7" t="s">
        <v>15</v>
      </c>
      <c r="N20" s="7" t="s">
        <v>16</v>
      </c>
      <c r="O20" s="7" t="s">
        <v>74</v>
      </c>
      <c r="P20" s="7" t="s">
        <v>15</v>
      </c>
      <c r="Q20" s="7" t="s">
        <v>16</v>
      </c>
      <c r="R20" s="7" t="s">
        <v>74</v>
      </c>
      <c r="S20" s="7" t="s">
        <v>15</v>
      </c>
      <c r="T20" s="7" t="s">
        <v>16</v>
      </c>
      <c r="U20" s="7" t="s">
        <v>74</v>
      </c>
      <c r="V20" s="7" t="s">
        <v>15</v>
      </c>
      <c r="W20" s="7" t="s">
        <v>16</v>
      </c>
      <c r="AB20" s="151" t="s">
        <v>74</v>
      </c>
      <c r="AC20" s="7" t="s">
        <v>15</v>
      </c>
      <c r="AD20" s="7" t="s">
        <v>16</v>
      </c>
      <c r="AE20" s="151" t="s">
        <v>74</v>
      </c>
      <c r="AF20" s="7" t="s">
        <v>15</v>
      </c>
      <c r="AG20" s="7" t="s">
        <v>16</v>
      </c>
      <c r="AH20" s="151" t="s">
        <v>74</v>
      </c>
      <c r="AI20" s="7" t="s">
        <v>15</v>
      </c>
      <c r="AJ20" s="7" t="s">
        <v>16</v>
      </c>
      <c r="AK20" s="151" t="s">
        <v>74</v>
      </c>
      <c r="AL20" s="7" t="s">
        <v>15</v>
      </c>
      <c r="AM20" s="7" t="s">
        <v>16</v>
      </c>
      <c r="AN20" s="151" t="s">
        <v>74</v>
      </c>
      <c r="AO20" s="7" t="s">
        <v>15</v>
      </c>
      <c r="AP20" s="7" t="s">
        <v>16</v>
      </c>
      <c r="AQ20" s="151" t="s">
        <v>74</v>
      </c>
      <c r="AR20" s="7" t="s">
        <v>15</v>
      </c>
      <c r="AS20" s="7" t="s">
        <v>16</v>
      </c>
      <c r="AT20" s="6" t="s">
        <v>74</v>
      </c>
      <c r="AU20" s="7" t="s">
        <v>15</v>
      </c>
      <c r="AV20" s="7" t="s">
        <v>16</v>
      </c>
      <c r="AW20" s="63"/>
    </row>
    <row r="21" spans="1:57" ht="14.95" customHeight="1" thickBot="1" x14ac:dyDescent="0.3">
      <c r="A21" s="384" t="s">
        <v>569</v>
      </c>
      <c r="B21" s="391">
        <v>0</v>
      </c>
      <c r="C21" s="385">
        <v>0</v>
      </c>
      <c r="D21" s="386">
        <v>0</v>
      </c>
      <c r="E21" s="387">
        <f t="shared" si="0"/>
        <v>0</v>
      </c>
      <c r="F21" s="171" t="s">
        <v>569</v>
      </c>
      <c r="G21" s="145">
        <v>0</v>
      </c>
      <c r="H21" s="306">
        <v>0</v>
      </c>
      <c r="I21" s="232">
        <v>0</v>
      </c>
      <c r="J21" s="173">
        <f t="shared" si="1"/>
        <v>0</v>
      </c>
      <c r="K21" s="384" t="s">
        <v>828</v>
      </c>
      <c r="L21" s="7" t="s">
        <v>21</v>
      </c>
      <c r="M21" s="156" t="s">
        <v>21</v>
      </c>
      <c r="N21" s="6" t="s">
        <v>21</v>
      </c>
      <c r="O21" s="7" t="s">
        <v>21</v>
      </c>
      <c r="P21" s="156" t="s">
        <v>21</v>
      </c>
      <c r="Q21" s="6" t="s">
        <v>21</v>
      </c>
      <c r="R21" s="7" t="s">
        <v>21</v>
      </c>
      <c r="S21" s="156" t="s">
        <v>21</v>
      </c>
      <c r="T21" s="6" t="s">
        <v>21</v>
      </c>
      <c r="U21" s="7">
        <v>1</v>
      </c>
      <c r="V21" s="156">
        <v>2</v>
      </c>
      <c r="W21" s="6">
        <v>50</v>
      </c>
      <c r="AB21" s="151" t="s">
        <v>21</v>
      </c>
      <c r="AC21" s="156" t="s">
        <v>21</v>
      </c>
      <c r="AD21" s="6" t="s">
        <v>21</v>
      </c>
      <c r="AE21" s="151" t="s">
        <v>21</v>
      </c>
      <c r="AF21" s="156" t="s">
        <v>21</v>
      </c>
      <c r="AG21" s="6" t="s">
        <v>21</v>
      </c>
      <c r="AH21" s="151" t="s">
        <v>21</v>
      </c>
      <c r="AI21" s="156" t="s">
        <v>21</v>
      </c>
      <c r="AJ21" s="6" t="s">
        <v>21</v>
      </c>
      <c r="AK21" s="151" t="s">
        <v>21</v>
      </c>
      <c r="AL21" s="7" t="s">
        <v>21</v>
      </c>
      <c r="AM21" s="7" t="s">
        <v>21</v>
      </c>
      <c r="AN21" s="151" t="s">
        <v>21</v>
      </c>
      <c r="AO21" s="156" t="s">
        <v>21</v>
      </c>
      <c r="AP21" s="6" t="s">
        <v>21</v>
      </c>
      <c r="AQ21" s="151" t="s">
        <v>21</v>
      </c>
      <c r="AR21" s="156" t="s">
        <v>21</v>
      </c>
      <c r="AS21" s="6" t="s">
        <v>21</v>
      </c>
      <c r="AT21" s="151" t="s">
        <v>21</v>
      </c>
      <c r="AU21" s="156" t="s">
        <v>21</v>
      </c>
      <c r="AV21" s="6" t="s">
        <v>21</v>
      </c>
      <c r="AW21" s="63"/>
    </row>
    <row r="22" spans="1:57" ht="14.95" customHeight="1" thickBot="1" x14ac:dyDescent="0.3">
      <c r="A22" s="384" t="s">
        <v>734</v>
      </c>
      <c r="B22" s="391">
        <v>0</v>
      </c>
      <c r="C22" s="385">
        <v>0</v>
      </c>
      <c r="D22" s="386">
        <v>3</v>
      </c>
      <c r="E22" s="387">
        <f t="shared" si="0"/>
        <v>3</v>
      </c>
      <c r="F22" s="171" t="s">
        <v>734</v>
      </c>
      <c r="G22" s="145">
        <v>0</v>
      </c>
      <c r="H22" s="306">
        <v>0</v>
      </c>
      <c r="I22" s="232">
        <v>15</v>
      </c>
      <c r="J22" s="173">
        <f t="shared" si="1"/>
        <v>15</v>
      </c>
      <c r="K22" s="384" t="s">
        <v>914</v>
      </c>
      <c r="L22" s="7" t="s">
        <v>21</v>
      </c>
      <c r="M22" s="156" t="s">
        <v>21</v>
      </c>
      <c r="N22" s="6" t="s">
        <v>21</v>
      </c>
      <c r="O22" s="7" t="s">
        <v>21</v>
      </c>
      <c r="P22" s="156" t="s">
        <v>21</v>
      </c>
      <c r="Q22" s="6" t="s">
        <v>21</v>
      </c>
      <c r="R22" s="7" t="s">
        <v>21</v>
      </c>
      <c r="S22" s="156" t="s">
        <v>21</v>
      </c>
      <c r="T22" s="6" t="s">
        <v>21</v>
      </c>
      <c r="U22" s="7">
        <v>7</v>
      </c>
      <c r="V22" s="7">
        <v>11</v>
      </c>
      <c r="W22" s="156">
        <f>(U22/V22)*100</f>
        <v>63.636363636363633</v>
      </c>
      <c r="AB22" s="151">
        <v>20</v>
      </c>
      <c r="AC22" s="7">
        <v>25</v>
      </c>
      <c r="AD22" s="156">
        <f>(AB22/AC22)*100</f>
        <v>80</v>
      </c>
      <c r="AE22" s="151">
        <v>7</v>
      </c>
      <c r="AF22" s="7">
        <v>8</v>
      </c>
      <c r="AG22" s="156">
        <f t="shared" ref="AG22" si="16">SUM(AE22/AF22)*100</f>
        <v>87.5</v>
      </c>
      <c r="AH22" s="151">
        <v>0</v>
      </c>
      <c r="AI22" s="7">
        <v>3</v>
      </c>
      <c r="AJ22" s="156">
        <f>SUM(AH22/AI22)*100</f>
        <v>0</v>
      </c>
      <c r="AK22" s="151">
        <v>3</v>
      </c>
      <c r="AL22" s="7">
        <v>4</v>
      </c>
      <c r="AM22" s="156">
        <f>SUM(AK22/AL22)*100</f>
        <v>75</v>
      </c>
      <c r="AN22" s="151" t="s">
        <v>21</v>
      </c>
      <c r="AO22" s="7" t="s">
        <v>21</v>
      </c>
      <c r="AP22" s="7" t="s">
        <v>21</v>
      </c>
      <c r="AQ22" s="151" t="s">
        <v>21</v>
      </c>
      <c r="AR22" s="7" t="s">
        <v>21</v>
      </c>
      <c r="AS22" s="7" t="s">
        <v>21</v>
      </c>
      <c r="AT22" s="151" t="s">
        <v>21</v>
      </c>
      <c r="AU22" s="7" t="s">
        <v>21</v>
      </c>
      <c r="AV22" s="7" t="s">
        <v>21</v>
      </c>
      <c r="AW22" s="63"/>
    </row>
    <row r="23" spans="1:57" ht="14.95" customHeight="1" thickBot="1" x14ac:dyDescent="0.3">
      <c r="A23" s="384" t="s">
        <v>703</v>
      </c>
      <c r="B23" s="391">
        <v>2</v>
      </c>
      <c r="C23" s="385">
        <v>2</v>
      </c>
      <c r="D23" s="386">
        <v>0</v>
      </c>
      <c r="E23" s="387">
        <f t="shared" si="0"/>
        <v>4</v>
      </c>
      <c r="F23" s="171" t="s">
        <v>703</v>
      </c>
      <c r="G23" s="145">
        <v>10</v>
      </c>
      <c r="H23" s="306">
        <v>10</v>
      </c>
      <c r="I23" s="232">
        <v>0</v>
      </c>
      <c r="J23" s="173">
        <f t="shared" si="1"/>
        <v>20</v>
      </c>
      <c r="O23" s="63"/>
      <c r="P23" s="63"/>
      <c r="Q23" s="63"/>
      <c r="R23" s="63"/>
      <c r="S23" s="63"/>
      <c r="T23" s="63"/>
      <c r="U23" s="63"/>
      <c r="V23" s="63"/>
      <c r="W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1:57" ht="14.95" customHeight="1" thickBot="1" x14ac:dyDescent="0.3">
      <c r="A24" s="384" t="s">
        <v>443</v>
      </c>
      <c r="B24" s="391">
        <v>2</v>
      </c>
      <c r="C24" s="385">
        <v>1</v>
      </c>
      <c r="D24" s="386">
        <v>0</v>
      </c>
      <c r="E24" s="387">
        <f t="shared" si="0"/>
        <v>3</v>
      </c>
      <c r="F24" s="171" t="s">
        <v>443</v>
      </c>
      <c r="G24" s="145">
        <v>10</v>
      </c>
      <c r="H24" s="306">
        <v>5</v>
      </c>
      <c r="I24" s="232">
        <v>0</v>
      </c>
      <c r="J24" s="173">
        <f t="shared" si="1"/>
        <v>15</v>
      </c>
      <c r="K24" s="463" t="s">
        <v>116</v>
      </c>
      <c r="L24" s="476" t="s">
        <v>20</v>
      </c>
      <c r="M24" s="477"/>
      <c r="N24" s="478"/>
      <c r="O24" s="422" t="s">
        <v>365</v>
      </c>
      <c r="P24" s="423"/>
      <c r="Q24" s="424"/>
      <c r="R24" s="422" t="s">
        <v>854</v>
      </c>
      <c r="S24" s="423"/>
      <c r="T24" s="424"/>
      <c r="U24" s="422" t="s">
        <v>518</v>
      </c>
      <c r="V24" s="423"/>
      <c r="W24" s="424"/>
      <c r="AB24" s="422" t="s">
        <v>356</v>
      </c>
      <c r="AC24" s="423"/>
      <c r="AD24" s="424"/>
      <c r="AE24" s="422" t="s">
        <v>272</v>
      </c>
      <c r="AF24" s="423"/>
      <c r="AG24" s="424"/>
      <c r="AH24" s="422" t="s">
        <v>115</v>
      </c>
      <c r="AI24" s="423"/>
      <c r="AJ24" s="424"/>
      <c r="AK24" s="422" t="s">
        <v>83</v>
      </c>
      <c r="AL24" s="423"/>
      <c r="AM24" s="424"/>
      <c r="AN24" s="422" t="s">
        <v>78</v>
      </c>
      <c r="AO24" s="423"/>
      <c r="AP24" s="424"/>
      <c r="AQ24" s="422" t="s">
        <v>60</v>
      </c>
      <c r="AR24" s="423"/>
      <c r="AS24" s="424"/>
      <c r="AT24" s="217"/>
    </row>
    <row r="25" spans="1:57" ht="14.95" customHeight="1" thickBot="1" x14ac:dyDescent="0.3">
      <c r="A25" s="384" t="s">
        <v>314</v>
      </c>
      <c r="B25" s="391">
        <v>0</v>
      </c>
      <c r="C25" s="385">
        <v>0</v>
      </c>
      <c r="D25" s="386">
        <v>0</v>
      </c>
      <c r="E25" s="387">
        <f t="shared" si="0"/>
        <v>0</v>
      </c>
      <c r="F25" s="171" t="s">
        <v>314</v>
      </c>
      <c r="G25" s="145">
        <v>0</v>
      </c>
      <c r="H25" s="306">
        <v>0</v>
      </c>
      <c r="I25" s="232">
        <v>0</v>
      </c>
      <c r="J25" s="173">
        <f t="shared" si="1"/>
        <v>0</v>
      </c>
      <c r="K25" s="464"/>
      <c r="L25" s="479"/>
      <c r="M25" s="480"/>
      <c r="N25" s="481"/>
      <c r="O25" s="425"/>
      <c r="P25" s="426"/>
      <c r="Q25" s="427"/>
      <c r="R25" s="425"/>
      <c r="S25" s="426"/>
      <c r="T25" s="427"/>
      <c r="U25" s="425"/>
      <c r="V25" s="426"/>
      <c r="W25" s="427"/>
      <c r="AB25" s="425"/>
      <c r="AC25" s="426"/>
      <c r="AD25" s="427"/>
      <c r="AE25" s="425"/>
      <c r="AF25" s="426"/>
      <c r="AG25" s="427"/>
      <c r="AH25" s="425"/>
      <c r="AI25" s="426"/>
      <c r="AJ25" s="427"/>
      <c r="AK25" s="425"/>
      <c r="AL25" s="426"/>
      <c r="AM25" s="427"/>
      <c r="AN25" s="425"/>
      <c r="AO25" s="426"/>
      <c r="AP25" s="427"/>
      <c r="AQ25" s="425"/>
      <c r="AR25" s="426"/>
      <c r="AS25" s="427"/>
      <c r="AT25" s="93"/>
    </row>
    <row r="26" spans="1:57" ht="14.95" customHeight="1" thickBot="1" x14ac:dyDescent="0.3">
      <c r="A26" s="384" t="s">
        <v>339</v>
      </c>
      <c r="B26" s="391">
        <v>4</v>
      </c>
      <c r="C26" s="385">
        <v>1</v>
      </c>
      <c r="D26" s="386">
        <v>3</v>
      </c>
      <c r="E26" s="387">
        <f t="shared" si="0"/>
        <v>8</v>
      </c>
      <c r="F26" s="171" t="s">
        <v>339</v>
      </c>
      <c r="G26" s="145">
        <v>20</v>
      </c>
      <c r="H26" s="306">
        <v>5</v>
      </c>
      <c r="I26" s="232">
        <v>15</v>
      </c>
      <c r="J26" s="173">
        <f t="shared" si="1"/>
        <v>40</v>
      </c>
      <c r="K26" s="236" t="s">
        <v>30</v>
      </c>
      <c r="L26" s="167" t="s">
        <v>74</v>
      </c>
      <c r="M26" s="167" t="s">
        <v>15</v>
      </c>
      <c r="N26" s="167" t="s">
        <v>16</v>
      </c>
      <c r="O26" s="7" t="s">
        <v>74</v>
      </c>
      <c r="P26" s="7" t="s">
        <v>15</v>
      </c>
      <c r="Q26" s="7" t="s">
        <v>16</v>
      </c>
      <c r="R26" s="7" t="s">
        <v>74</v>
      </c>
      <c r="S26" s="7" t="s">
        <v>15</v>
      </c>
      <c r="T26" s="7" t="s">
        <v>16</v>
      </c>
      <c r="U26" s="7" t="s">
        <v>74</v>
      </c>
      <c r="V26" s="7" t="s">
        <v>15</v>
      </c>
      <c r="W26" s="7" t="s">
        <v>16</v>
      </c>
      <c r="AB26" s="151" t="s">
        <v>74</v>
      </c>
      <c r="AC26" s="7" t="s">
        <v>15</v>
      </c>
      <c r="AD26" s="7" t="s">
        <v>16</v>
      </c>
      <c r="AE26" s="151" t="s">
        <v>74</v>
      </c>
      <c r="AF26" s="7" t="s">
        <v>15</v>
      </c>
      <c r="AG26" s="7" t="s">
        <v>16</v>
      </c>
      <c r="AH26" s="151" t="s">
        <v>74</v>
      </c>
      <c r="AI26" s="7" t="s">
        <v>15</v>
      </c>
      <c r="AJ26" s="7" t="s">
        <v>16</v>
      </c>
      <c r="AK26" s="151" t="s">
        <v>74</v>
      </c>
      <c r="AL26" s="7" t="s">
        <v>15</v>
      </c>
      <c r="AM26" s="7" t="s">
        <v>16</v>
      </c>
      <c r="AN26" s="151" t="s">
        <v>74</v>
      </c>
      <c r="AO26" s="7" t="s">
        <v>15</v>
      </c>
      <c r="AP26" s="7" t="s">
        <v>16</v>
      </c>
      <c r="AQ26" s="151" t="s">
        <v>74</v>
      </c>
      <c r="AR26" s="7" t="s">
        <v>15</v>
      </c>
      <c r="AS26" s="7" t="s">
        <v>16</v>
      </c>
      <c r="AT26" s="93"/>
    </row>
    <row r="27" spans="1:57" ht="14.95" customHeight="1" thickBot="1" x14ac:dyDescent="0.3">
      <c r="A27" s="384" t="s">
        <v>786</v>
      </c>
      <c r="B27" s="391">
        <v>0</v>
      </c>
      <c r="C27" s="385">
        <v>0</v>
      </c>
      <c r="D27" s="386">
        <v>0</v>
      </c>
      <c r="E27" s="387">
        <f t="shared" si="0"/>
        <v>0</v>
      </c>
      <c r="F27" s="171" t="s">
        <v>786</v>
      </c>
      <c r="G27" s="145">
        <v>0</v>
      </c>
      <c r="H27" s="306">
        <v>0</v>
      </c>
      <c r="I27" s="232">
        <v>0</v>
      </c>
      <c r="J27" s="173">
        <f t="shared" si="1"/>
        <v>0</v>
      </c>
      <c r="K27" s="388" t="s">
        <v>797</v>
      </c>
      <c r="L27" s="387">
        <v>7</v>
      </c>
      <c r="M27" s="387">
        <v>13</v>
      </c>
      <c r="N27" s="387">
        <v>54</v>
      </c>
      <c r="O27" s="7">
        <v>5</v>
      </c>
      <c r="P27" s="7">
        <v>7</v>
      </c>
      <c r="Q27" s="156">
        <v>71.428571428571431</v>
      </c>
      <c r="R27" s="7">
        <v>1</v>
      </c>
      <c r="S27" s="7">
        <v>1</v>
      </c>
      <c r="T27" s="156">
        <f>SUM(R27/S27)*100</f>
        <v>100</v>
      </c>
      <c r="U27" s="151" t="s">
        <v>21</v>
      </c>
      <c r="V27" s="7" t="s">
        <v>21</v>
      </c>
      <c r="W27" s="7" t="s">
        <v>21</v>
      </c>
      <c r="AB27" s="151" t="s">
        <v>21</v>
      </c>
      <c r="AC27" s="7" t="s">
        <v>21</v>
      </c>
      <c r="AD27" s="7" t="s">
        <v>21</v>
      </c>
      <c r="AE27" s="151" t="s">
        <v>21</v>
      </c>
      <c r="AF27" s="7" t="s">
        <v>21</v>
      </c>
      <c r="AG27" s="7" t="s">
        <v>21</v>
      </c>
      <c r="AH27" s="7" t="s">
        <v>21</v>
      </c>
      <c r="AI27" s="7" t="s">
        <v>21</v>
      </c>
      <c r="AJ27" s="7" t="s">
        <v>21</v>
      </c>
      <c r="AK27" s="7" t="s">
        <v>21</v>
      </c>
      <c r="AL27" s="7" t="s">
        <v>21</v>
      </c>
      <c r="AM27" s="7" t="s">
        <v>21</v>
      </c>
      <c r="AN27" s="7" t="s">
        <v>21</v>
      </c>
      <c r="AO27" s="7" t="s">
        <v>21</v>
      </c>
      <c r="AP27" s="7" t="s">
        <v>21</v>
      </c>
      <c r="AQ27" s="7" t="s">
        <v>21</v>
      </c>
      <c r="AR27" s="7" t="s">
        <v>21</v>
      </c>
      <c r="AS27" s="7" t="s">
        <v>21</v>
      </c>
      <c r="AT27" s="93"/>
      <c r="AZ27" s="163"/>
      <c r="BA27" s="163"/>
      <c r="BB27" s="163"/>
    </row>
    <row r="28" spans="1:57" ht="14.95" customHeight="1" thickBot="1" x14ac:dyDescent="0.3">
      <c r="A28" s="384" t="s">
        <v>464</v>
      </c>
      <c r="B28" s="391">
        <v>2</v>
      </c>
      <c r="C28" s="385">
        <v>1</v>
      </c>
      <c r="D28" s="386">
        <v>0</v>
      </c>
      <c r="E28" s="387">
        <f t="shared" si="0"/>
        <v>3</v>
      </c>
      <c r="F28" s="171" t="s">
        <v>464</v>
      </c>
      <c r="G28" s="145">
        <v>10</v>
      </c>
      <c r="H28" s="306">
        <v>5</v>
      </c>
      <c r="I28" s="232">
        <v>0</v>
      </c>
      <c r="J28" s="173">
        <f t="shared" si="1"/>
        <v>15</v>
      </c>
      <c r="K28" s="384" t="s">
        <v>732</v>
      </c>
      <c r="L28" s="387" t="s">
        <v>21</v>
      </c>
      <c r="M28" s="387" t="s">
        <v>21</v>
      </c>
      <c r="N28" s="387" t="s">
        <v>21</v>
      </c>
      <c r="O28" s="151">
        <v>2</v>
      </c>
      <c r="P28" s="7">
        <v>2</v>
      </c>
      <c r="Q28" s="7">
        <v>100</v>
      </c>
      <c r="R28" s="151" t="s">
        <v>21</v>
      </c>
      <c r="S28" s="7" t="s">
        <v>21</v>
      </c>
      <c r="T28" s="7" t="s">
        <v>21</v>
      </c>
      <c r="U28" s="151" t="s">
        <v>21</v>
      </c>
      <c r="V28" s="7" t="s">
        <v>21</v>
      </c>
      <c r="W28" s="7" t="s">
        <v>21</v>
      </c>
      <c r="AB28" s="151" t="s">
        <v>21</v>
      </c>
      <c r="AC28" s="7" t="s">
        <v>21</v>
      </c>
      <c r="AD28" s="7" t="s">
        <v>21</v>
      </c>
      <c r="AE28" s="151" t="s">
        <v>21</v>
      </c>
      <c r="AF28" s="7" t="s">
        <v>21</v>
      </c>
      <c r="AG28" s="7" t="s">
        <v>21</v>
      </c>
      <c r="AH28" s="7" t="s">
        <v>21</v>
      </c>
      <c r="AI28" s="7" t="s">
        <v>21</v>
      </c>
      <c r="AJ28" s="7" t="s">
        <v>21</v>
      </c>
      <c r="AK28" s="7" t="s">
        <v>21</v>
      </c>
      <c r="AL28" s="7" t="s">
        <v>21</v>
      </c>
      <c r="AM28" s="7" t="s">
        <v>21</v>
      </c>
      <c r="AN28" s="7" t="s">
        <v>21</v>
      </c>
      <c r="AO28" s="7" t="s">
        <v>21</v>
      </c>
      <c r="AP28" s="7" t="s">
        <v>21</v>
      </c>
      <c r="AQ28" s="7" t="s">
        <v>21</v>
      </c>
      <c r="AR28" s="7" t="s">
        <v>21</v>
      </c>
      <c r="AS28" s="7" t="s">
        <v>21</v>
      </c>
      <c r="AT28" s="93"/>
    </row>
    <row r="29" spans="1:57" ht="14.95" customHeight="1" thickBot="1" x14ac:dyDescent="0.3">
      <c r="A29" s="384" t="s">
        <v>732</v>
      </c>
      <c r="B29" s="391">
        <v>0</v>
      </c>
      <c r="C29" s="385">
        <v>0</v>
      </c>
      <c r="D29" s="386">
        <v>0</v>
      </c>
      <c r="E29" s="387">
        <f t="shared" si="0"/>
        <v>0</v>
      </c>
      <c r="F29" s="171" t="s">
        <v>732</v>
      </c>
      <c r="G29" s="145">
        <v>0</v>
      </c>
      <c r="H29" s="306">
        <v>0</v>
      </c>
      <c r="I29" s="232">
        <v>0</v>
      </c>
      <c r="J29" s="173">
        <f t="shared" si="1"/>
        <v>0</v>
      </c>
      <c r="K29" s="384" t="s">
        <v>826</v>
      </c>
      <c r="L29" s="387">
        <v>4</v>
      </c>
      <c r="M29" s="387">
        <v>5</v>
      </c>
      <c r="N29" s="387">
        <v>50</v>
      </c>
      <c r="O29" s="7" t="s">
        <v>21</v>
      </c>
      <c r="P29" s="156" t="s">
        <v>21</v>
      </c>
      <c r="Q29" s="6" t="s">
        <v>21</v>
      </c>
      <c r="R29" s="7" t="s">
        <v>21</v>
      </c>
      <c r="S29" s="156" t="s">
        <v>21</v>
      </c>
      <c r="T29" s="6" t="s">
        <v>21</v>
      </c>
      <c r="U29" s="7" t="s">
        <v>21</v>
      </c>
      <c r="V29" s="156" t="s">
        <v>21</v>
      </c>
      <c r="W29" s="6" t="s">
        <v>21</v>
      </c>
      <c r="AB29" s="6" t="s">
        <v>21</v>
      </c>
      <c r="AC29" s="156" t="s">
        <v>21</v>
      </c>
      <c r="AD29" s="6" t="s">
        <v>21</v>
      </c>
      <c r="AE29" s="7" t="s">
        <v>21</v>
      </c>
      <c r="AF29" s="156" t="s">
        <v>21</v>
      </c>
      <c r="AG29" s="6" t="s">
        <v>21</v>
      </c>
      <c r="AH29" s="7" t="s">
        <v>21</v>
      </c>
      <c r="AI29" s="156" t="s">
        <v>21</v>
      </c>
      <c r="AJ29" s="6" t="s">
        <v>21</v>
      </c>
      <c r="AK29" s="7" t="s">
        <v>21</v>
      </c>
      <c r="AL29" s="156" t="s">
        <v>21</v>
      </c>
      <c r="AM29" s="6" t="s">
        <v>21</v>
      </c>
      <c r="AN29" s="7" t="s">
        <v>21</v>
      </c>
      <c r="AO29" s="156" t="s">
        <v>21</v>
      </c>
      <c r="AP29" s="6" t="s">
        <v>21</v>
      </c>
      <c r="AQ29" s="7" t="s">
        <v>21</v>
      </c>
      <c r="AR29" s="156" t="s">
        <v>21</v>
      </c>
      <c r="AS29" s="6" t="s">
        <v>21</v>
      </c>
      <c r="AT29" s="93"/>
      <c r="AZ29" s="163"/>
      <c r="BA29" s="163"/>
      <c r="BB29" s="163"/>
    </row>
    <row r="30" spans="1:57" ht="14.95" customHeight="1" thickBot="1" x14ac:dyDescent="0.3">
      <c r="A30" s="384" t="s">
        <v>456</v>
      </c>
      <c r="B30" s="391">
        <v>3</v>
      </c>
      <c r="C30" s="385">
        <v>0</v>
      </c>
      <c r="D30" s="386">
        <v>0</v>
      </c>
      <c r="E30" s="387">
        <f t="shared" si="0"/>
        <v>3</v>
      </c>
      <c r="F30" s="171" t="s">
        <v>456</v>
      </c>
      <c r="G30" s="145">
        <v>15</v>
      </c>
      <c r="H30" s="306">
        <v>0</v>
      </c>
      <c r="I30" s="232">
        <v>0</v>
      </c>
      <c r="J30" s="173">
        <f t="shared" si="1"/>
        <v>15</v>
      </c>
      <c r="K30" s="384" t="s">
        <v>914</v>
      </c>
      <c r="L30" s="387">
        <v>16</v>
      </c>
      <c r="M30" s="387">
        <v>23</v>
      </c>
      <c r="N30" s="387">
        <v>67</v>
      </c>
      <c r="O30" s="7" t="s">
        <v>21</v>
      </c>
      <c r="P30" s="156" t="s">
        <v>21</v>
      </c>
      <c r="Q30" s="6" t="s">
        <v>21</v>
      </c>
      <c r="R30" s="151">
        <v>5</v>
      </c>
      <c r="S30" s="7">
        <v>7</v>
      </c>
      <c r="T30" s="7">
        <v>71</v>
      </c>
      <c r="U30" s="7">
        <v>2</v>
      </c>
      <c r="V30" s="7">
        <v>2</v>
      </c>
      <c r="W30" s="156">
        <f>(U30/V30)*100</f>
        <v>100</v>
      </c>
      <c r="AB30" s="151">
        <v>1</v>
      </c>
      <c r="AC30" s="7">
        <v>1</v>
      </c>
      <c r="AD30" s="156">
        <f t="shared" ref="AD30" si="17">SUM(AB30/AC30)*100</f>
        <v>100</v>
      </c>
      <c r="AE30" s="151">
        <v>3</v>
      </c>
      <c r="AF30" s="7">
        <v>5</v>
      </c>
      <c r="AG30" s="156">
        <f>SUM(AE30/AF30)*100</f>
        <v>60</v>
      </c>
      <c r="AH30" s="151" t="s">
        <v>21</v>
      </c>
      <c r="AI30" s="7" t="s">
        <v>21</v>
      </c>
      <c r="AJ30" s="7" t="s">
        <v>21</v>
      </c>
      <c r="AK30" s="151" t="s">
        <v>21</v>
      </c>
      <c r="AL30" s="7" t="s">
        <v>21</v>
      </c>
      <c r="AM30" s="7" t="s">
        <v>21</v>
      </c>
      <c r="AN30" s="151" t="s">
        <v>21</v>
      </c>
      <c r="AO30" s="7" t="s">
        <v>21</v>
      </c>
      <c r="AP30" s="7" t="s">
        <v>21</v>
      </c>
      <c r="AQ30" s="7"/>
      <c r="AR30" s="7"/>
      <c r="AS30" s="7"/>
      <c r="AT30" s="93"/>
      <c r="AZ30" s="163"/>
      <c r="BA30" s="163"/>
      <c r="BB30" s="163"/>
    </row>
    <row r="31" spans="1:57" ht="14.95" customHeight="1" thickBot="1" x14ac:dyDescent="0.3">
      <c r="A31" s="384" t="s">
        <v>445</v>
      </c>
      <c r="B31" s="391">
        <v>0</v>
      </c>
      <c r="C31" s="385">
        <v>0</v>
      </c>
      <c r="D31" s="386">
        <v>0</v>
      </c>
      <c r="E31" s="387">
        <f t="shared" si="0"/>
        <v>0</v>
      </c>
      <c r="F31" s="171" t="s">
        <v>445</v>
      </c>
      <c r="G31" s="145">
        <v>0</v>
      </c>
      <c r="H31" s="306">
        <v>0</v>
      </c>
      <c r="I31" s="232">
        <v>0</v>
      </c>
      <c r="J31" s="173">
        <f t="shared" si="1"/>
        <v>0</v>
      </c>
      <c r="K31" s="388" t="s">
        <v>956</v>
      </c>
      <c r="L31" s="387">
        <v>3</v>
      </c>
      <c r="M31" s="387">
        <v>3</v>
      </c>
      <c r="N31" s="387">
        <v>100</v>
      </c>
      <c r="O31" s="151">
        <v>4</v>
      </c>
      <c r="P31" s="7">
        <v>6</v>
      </c>
      <c r="Q31" s="156">
        <v>66.666666666666657</v>
      </c>
      <c r="R31" s="151">
        <v>2</v>
      </c>
      <c r="S31" s="7">
        <v>5</v>
      </c>
      <c r="T31" s="7">
        <v>40</v>
      </c>
      <c r="U31" s="151" t="s">
        <v>21</v>
      </c>
      <c r="V31" s="7" t="s">
        <v>21</v>
      </c>
      <c r="W31" s="7" t="s">
        <v>21</v>
      </c>
      <c r="AB31" s="151" t="s">
        <v>21</v>
      </c>
      <c r="AC31" s="7" t="s">
        <v>21</v>
      </c>
      <c r="AD31" s="7" t="s">
        <v>21</v>
      </c>
      <c r="AE31" s="151" t="s">
        <v>21</v>
      </c>
      <c r="AF31" s="7" t="s">
        <v>21</v>
      </c>
      <c r="AG31" s="7" t="s">
        <v>21</v>
      </c>
      <c r="AH31" s="7" t="s">
        <v>21</v>
      </c>
      <c r="AI31" s="7" t="s">
        <v>21</v>
      </c>
      <c r="AJ31" s="7" t="s">
        <v>21</v>
      </c>
      <c r="AK31" s="7" t="s">
        <v>21</v>
      </c>
      <c r="AL31" s="7" t="s">
        <v>21</v>
      </c>
      <c r="AM31" s="7" t="s">
        <v>21</v>
      </c>
      <c r="AN31" s="7" t="s">
        <v>21</v>
      </c>
      <c r="AO31" s="7" t="s">
        <v>21</v>
      </c>
      <c r="AP31" s="7" t="s">
        <v>21</v>
      </c>
      <c r="AQ31" s="7" t="s">
        <v>21</v>
      </c>
      <c r="AR31" s="7" t="s">
        <v>21</v>
      </c>
      <c r="AS31" s="7" t="s">
        <v>21</v>
      </c>
      <c r="AT31" s="93"/>
      <c r="AZ31" s="163"/>
      <c r="BA31" s="163"/>
      <c r="BB31" s="163"/>
      <c r="BC31" s="509"/>
      <c r="BD31" s="509"/>
      <c r="BE31" s="509"/>
    </row>
    <row r="32" spans="1:57" ht="14.95" customHeight="1" thickBot="1" x14ac:dyDescent="0.3">
      <c r="A32" s="384" t="s">
        <v>348</v>
      </c>
      <c r="B32" s="391">
        <v>0</v>
      </c>
      <c r="C32" s="385">
        <v>0</v>
      </c>
      <c r="D32" s="386">
        <v>0</v>
      </c>
      <c r="E32" s="387">
        <f t="shared" si="0"/>
        <v>0</v>
      </c>
      <c r="F32" s="171" t="s">
        <v>348</v>
      </c>
      <c r="G32" s="145">
        <v>0</v>
      </c>
      <c r="H32" s="306">
        <v>0</v>
      </c>
      <c r="I32" s="232">
        <v>0</v>
      </c>
      <c r="J32" s="173">
        <f t="shared" si="1"/>
        <v>0</v>
      </c>
      <c r="K32" s="117" t="s">
        <v>868</v>
      </c>
      <c r="AZ32" s="163"/>
      <c r="BA32" s="163"/>
      <c r="BB32" s="163"/>
      <c r="BC32" s="509"/>
      <c r="BD32" s="509"/>
      <c r="BE32" s="509"/>
    </row>
    <row r="33" spans="1:57" ht="14.95" customHeight="1" thickBot="1" x14ac:dyDescent="0.3">
      <c r="A33" s="384" t="s">
        <v>826</v>
      </c>
      <c r="B33" s="391">
        <v>0</v>
      </c>
      <c r="C33" s="385">
        <v>2</v>
      </c>
      <c r="D33" s="386">
        <v>0</v>
      </c>
      <c r="E33" s="387">
        <f t="shared" si="0"/>
        <v>2</v>
      </c>
      <c r="F33" s="171" t="s">
        <v>826</v>
      </c>
      <c r="G33" s="145">
        <v>105</v>
      </c>
      <c r="H33" s="306">
        <v>37</v>
      </c>
      <c r="I33" s="232">
        <v>10</v>
      </c>
      <c r="J33" s="173">
        <f t="shared" si="1"/>
        <v>152</v>
      </c>
      <c r="K33" s="451" t="s">
        <v>869</v>
      </c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W33" s="163"/>
      <c r="AX33" s="163"/>
      <c r="AY33" s="163"/>
      <c r="BC33" s="87"/>
      <c r="BD33" s="87"/>
      <c r="BE33" s="87"/>
    </row>
    <row r="34" spans="1:57" ht="14.95" customHeight="1" thickBot="1" x14ac:dyDescent="0.3">
      <c r="A34" s="384" t="s">
        <v>425</v>
      </c>
      <c r="B34" s="391">
        <v>0</v>
      </c>
      <c r="C34" s="385">
        <v>0</v>
      </c>
      <c r="D34" s="386">
        <v>2</v>
      </c>
      <c r="E34" s="387">
        <f t="shared" si="0"/>
        <v>2</v>
      </c>
      <c r="F34" s="171" t="s">
        <v>425</v>
      </c>
      <c r="G34" s="145">
        <v>0</v>
      </c>
      <c r="H34" s="306">
        <v>0</v>
      </c>
      <c r="I34" s="232">
        <v>10</v>
      </c>
      <c r="J34" s="173">
        <f t="shared" si="1"/>
        <v>10</v>
      </c>
      <c r="K34" s="451" t="s">
        <v>948</v>
      </c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AW34" s="87"/>
      <c r="AX34" s="87"/>
      <c r="AY34" s="87"/>
      <c r="BC34" s="87"/>
      <c r="BD34" s="87"/>
      <c r="BE34" s="87"/>
    </row>
    <row r="35" spans="1:57" ht="14.95" customHeight="1" thickBot="1" x14ac:dyDescent="0.3">
      <c r="A35" s="384" t="s">
        <v>337</v>
      </c>
      <c r="B35" s="391">
        <v>0</v>
      </c>
      <c r="C35" s="385">
        <v>0</v>
      </c>
      <c r="D35" s="386">
        <v>0</v>
      </c>
      <c r="E35" s="387">
        <f t="shared" si="0"/>
        <v>0</v>
      </c>
      <c r="F35" s="171" t="s">
        <v>337</v>
      </c>
      <c r="G35" s="145">
        <v>0</v>
      </c>
      <c r="H35" s="306">
        <v>0</v>
      </c>
      <c r="I35" s="232">
        <v>0</v>
      </c>
      <c r="J35" s="173">
        <f t="shared" si="1"/>
        <v>0</v>
      </c>
      <c r="K35" s="451" t="s">
        <v>955</v>
      </c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AW35" s="87"/>
      <c r="AX35" s="87"/>
      <c r="AY35" s="87"/>
      <c r="BC35" s="87"/>
      <c r="BD35" s="87"/>
      <c r="BE35" s="181"/>
    </row>
    <row r="36" spans="1:57" ht="14.95" customHeight="1" thickBot="1" x14ac:dyDescent="0.3">
      <c r="A36" s="384" t="s">
        <v>842</v>
      </c>
      <c r="B36" s="391">
        <v>0</v>
      </c>
      <c r="C36" s="385">
        <v>0</v>
      </c>
      <c r="D36" s="386">
        <v>2</v>
      </c>
      <c r="E36" s="387">
        <f t="shared" si="0"/>
        <v>2</v>
      </c>
      <c r="F36" s="171" t="s">
        <v>842</v>
      </c>
      <c r="G36" s="145">
        <v>0</v>
      </c>
      <c r="H36" s="306">
        <v>0</v>
      </c>
      <c r="I36" s="232">
        <v>10</v>
      </c>
      <c r="J36" s="173">
        <f t="shared" si="1"/>
        <v>10</v>
      </c>
      <c r="AW36" s="87"/>
      <c r="AX36" s="87"/>
      <c r="AY36" s="181"/>
      <c r="BC36" s="87"/>
      <c r="BD36" s="87"/>
      <c r="BE36" s="181"/>
    </row>
    <row r="37" spans="1:57" ht="14.95" customHeight="1" thickBot="1" x14ac:dyDescent="0.3">
      <c r="A37" s="384" t="s">
        <v>5</v>
      </c>
      <c r="B37" s="391">
        <v>1</v>
      </c>
      <c r="C37" s="385">
        <v>0</v>
      </c>
      <c r="D37" s="386">
        <v>1</v>
      </c>
      <c r="E37" s="387">
        <f t="shared" si="0"/>
        <v>2</v>
      </c>
      <c r="F37" s="171" t="s">
        <v>5</v>
      </c>
      <c r="G37" s="145">
        <v>7</v>
      </c>
      <c r="H37" s="306">
        <v>0</v>
      </c>
      <c r="I37" s="232">
        <v>7</v>
      </c>
      <c r="J37" s="173">
        <f t="shared" si="1"/>
        <v>14</v>
      </c>
      <c r="AW37" s="87"/>
      <c r="AX37" s="87"/>
      <c r="AY37" s="181"/>
      <c r="BC37" s="87"/>
      <c r="BD37" s="87"/>
      <c r="BE37" s="181"/>
    </row>
    <row r="38" spans="1:57" ht="14.95" customHeight="1" thickBot="1" x14ac:dyDescent="0.3">
      <c r="A38" s="384" t="s">
        <v>794</v>
      </c>
      <c r="B38" s="391">
        <v>0</v>
      </c>
      <c r="C38" s="385">
        <v>0</v>
      </c>
      <c r="D38" s="386">
        <v>0</v>
      </c>
      <c r="E38" s="387">
        <f t="shared" si="0"/>
        <v>0</v>
      </c>
      <c r="F38" s="171" t="s">
        <v>794</v>
      </c>
      <c r="G38" s="145">
        <v>0</v>
      </c>
      <c r="H38" s="306">
        <v>0</v>
      </c>
      <c r="I38" s="232">
        <v>0</v>
      </c>
      <c r="J38" s="173">
        <f t="shared" si="1"/>
        <v>0</v>
      </c>
      <c r="BC38" s="87"/>
      <c r="BD38" s="87"/>
      <c r="BE38" s="87"/>
    </row>
    <row r="39" spans="1:57" ht="14.95" customHeight="1" thickBot="1" x14ac:dyDescent="0.3">
      <c r="A39" s="384" t="s">
        <v>108</v>
      </c>
      <c r="B39" s="391">
        <v>5</v>
      </c>
      <c r="C39" s="385">
        <v>0</v>
      </c>
      <c r="D39" s="386">
        <v>0</v>
      </c>
      <c r="E39" s="387">
        <f t="shared" si="0"/>
        <v>5</v>
      </c>
      <c r="F39" s="171" t="s">
        <v>108</v>
      </c>
      <c r="G39" s="145">
        <v>25</v>
      </c>
      <c r="H39" s="306">
        <v>0</v>
      </c>
      <c r="I39" s="232">
        <v>0</v>
      </c>
      <c r="J39" s="173">
        <f t="shared" si="1"/>
        <v>25</v>
      </c>
    </row>
    <row r="40" spans="1:57" ht="14.95" customHeight="1" thickBot="1" x14ac:dyDescent="0.3">
      <c r="A40" s="384" t="s">
        <v>571</v>
      </c>
      <c r="B40" s="391">
        <v>0</v>
      </c>
      <c r="C40" s="385">
        <v>0</v>
      </c>
      <c r="D40" s="386">
        <v>0</v>
      </c>
      <c r="E40" s="387">
        <f t="shared" si="0"/>
        <v>0</v>
      </c>
      <c r="F40" s="171" t="s">
        <v>571</v>
      </c>
      <c r="G40" s="145">
        <v>0</v>
      </c>
      <c r="H40" s="306">
        <v>0</v>
      </c>
      <c r="I40" s="232">
        <v>0</v>
      </c>
      <c r="J40" s="173">
        <f t="shared" si="1"/>
        <v>0</v>
      </c>
    </row>
    <row r="41" spans="1:57" ht="14.95" customHeight="1" thickBot="1" x14ac:dyDescent="0.3">
      <c r="A41" s="384" t="s">
        <v>895</v>
      </c>
      <c r="B41" s="391">
        <v>2</v>
      </c>
      <c r="C41" s="385">
        <v>0</v>
      </c>
      <c r="D41" s="386">
        <v>1</v>
      </c>
      <c r="E41" s="387">
        <f t="shared" si="0"/>
        <v>3</v>
      </c>
      <c r="F41" s="171" t="s">
        <v>895</v>
      </c>
      <c r="G41" s="145">
        <v>10</v>
      </c>
      <c r="H41" s="306">
        <v>0</v>
      </c>
      <c r="I41" s="232">
        <v>5</v>
      </c>
      <c r="J41" s="173">
        <f t="shared" si="1"/>
        <v>15</v>
      </c>
    </row>
    <row r="42" spans="1:57" ht="14.95" customHeight="1" thickBot="1" x14ac:dyDescent="0.3">
      <c r="A42" s="384" t="s">
        <v>572</v>
      </c>
      <c r="B42" s="391">
        <v>0</v>
      </c>
      <c r="C42" s="385">
        <v>0</v>
      </c>
      <c r="D42" s="386">
        <v>0</v>
      </c>
      <c r="E42" s="387">
        <f t="shared" si="0"/>
        <v>0</v>
      </c>
      <c r="F42" s="171" t="s">
        <v>572</v>
      </c>
      <c r="G42" s="145">
        <v>0</v>
      </c>
      <c r="H42" s="306">
        <v>0</v>
      </c>
      <c r="I42" s="232">
        <v>0</v>
      </c>
      <c r="J42" s="173">
        <f t="shared" si="1"/>
        <v>0</v>
      </c>
    </row>
    <row r="43" spans="1:57" ht="14.95" customHeight="1" thickBot="1" x14ac:dyDescent="0.3">
      <c r="A43" s="384" t="s">
        <v>352</v>
      </c>
      <c r="B43" s="391">
        <v>2</v>
      </c>
      <c r="C43" s="385">
        <v>0</v>
      </c>
      <c r="D43" s="386">
        <v>1</v>
      </c>
      <c r="E43" s="387">
        <f t="shared" si="0"/>
        <v>3</v>
      </c>
      <c r="F43" s="171" t="s">
        <v>352</v>
      </c>
      <c r="G43" s="145">
        <v>10</v>
      </c>
      <c r="H43" s="306">
        <v>0</v>
      </c>
      <c r="I43" s="232">
        <v>5</v>
      </c>
      <c r="J43" s="173">
        <f t="shared" si="1"/>
        <v>15</v>
      </c>
    </row>
    <row r="44" spans="1:57" ht="14.95" customHeight="1" thickBot="1" x14ac:dyDescent="0.3">
      <c r="A44" s="384" t="s">
        <v>896</v>
      </c>
      <c r="B44" s="391">
        <v>2</v>
      </c>
      <c r="C44" s="385">
        <v>0</v>
      </c>
      <c r="D44" s="386">
        <v>1</v>
      </c>
      <c r="E44" s="387">
        <f t="shared" si="0"/>
        <v>3</v>
      </c>
      <c r="F44" s="171" t="s">
        <v>896</v>
      </c>
      <c r="G44" s="145">
        <v>53</v>
      </c>
      <c r="H44" s="306">
        <v>14</v>
      </c>
      <c r="I44" s="232">
        <v>38</v>
      </c>
      <c r="J44" s="173">
        <f t="shared" si="1"/>
        <v>105</v>
      </c>
    </row>
    <row r="45" spans="1:57" ht="14.95" customHeight="1" thickBot="1" x14ac:dyDescent="0.3">
      <c r="A45" s="384" t="s">
        <v>109</v>
      </c>
      <c r="B45" s="391">
        <v>1</v>
      </c>
      <c r="C45" s="385">
        <v>0</v>
      </c>
      <c r="D45" s="386">
        <v>1</v>
      </c>
      <c r="E45" s="387">
        <f t="shared" si="0"/>
        <v>2</v>
      </c>
      <c r="F45" s="171" t="s">
        <v>109</v>
      </c>
      <c r="G45" s="145">
        <v>5</v>
      </c>
      <c r="H45" s="306">
        <v>0</v>
      </c>
      <c r="I45" s="232">
        <v>5</v>
      </c>
      <c r="J45" s="173">
        <f t="shared" si="1"/>
        <v>10</v>
      </c>
    </row>
    <row r="46" spans="1:57" ht="14.95" thickBot="1" x14ac:dyDescent="0.3">
      <c r="A46" s="384" t="s">
        <v>32</v>
      </c>
      <c r="B46" s="391">
        <v>0</v>
      </c>
      <c r="C46" s="385">
        <v>0</v>
      </c>
      <c r="D46" s="386">
        <v>0</v>
      </c>
      <c r="E46" s="387">
        <f t="shared" si="0"/>
        <v>0</v>
      </c>
      <c r="F46" s="171" t="s">
        <v>32</v>
      </c>
      <c r="G46" s="145">
        <v>0</v>
      </c>
      <c r="H46" s="306">
        <v>0</v>
      </c>
      <c r="I46" s="232">
        <v>0</v>
      </c>
      <c r="J46" s="173">
        <f t="shared" si="1"/>
        <v>0</v>
      </c>
    </row>
    <row r="47" spans="1:57" ht="14.95" thickBot="1" x14ac:dyDescent="0.3">
      <c r="A47" s="384" t="s">
        <v>575</v>
      </c>
      <c r="B47" s="391">
        <v>0</v>
      </c>
      <c r="C47" s="385">
        <v>0</v>
      </c>
      <c r="D47" s="386">
        <v>0</v>
      </c>
      <c r="E47" s="387">
        <f t="shared" si="0"/>
        <v>0</v>
      </c>
      <c r="F47" s="171" t="s">
        <v>575</v>
      </c>
      <c r="G47" s="145">
        <v>0</v>
      </c>
      <c r="H47" s="306">
        <v>0</v>
      </c>
      <c r="I47" s="232">
        <v>0</v>
      </c>
      <c r="J47" s="173">
        <f t="shared" si="1"/>
        <v>0</v>
      </c>
    </row>
    <row r="48" spans="1:57" ht="14.95" thickBot="1" x14ac:dyDescent="0.3">
      <c r="A48" s="384" t="s">
        <v>312</v>
      </c>
      <c r="B48" s="391">
        <v>3</v>
      </c>
      <c r="C48" s="385">
        <v>0</v>
      </c>
      <c r="D48" s="386">
        <v>0</v>
      </c>
      <c r="E48" s="387">
        <f t="shared" si="0"/>
        <v>3</v>
      </c>
      <c r="F48" s="171" t="s">
        <v>312</v>
      </c>
      <c r="G48" s="145">
        <v>15</v>
      </c>
      <c r="H48" s="306">
        <v>0</v>
      </c>
      <c r="I48" s="232">
        <v>0</v>
      </c>
      <c r="J48" s="173">
        <f t="shared" si="1"/>
        <v>15</v>
      </c>
    </row>
    <row r="49" spans="1:10" ht="14.95" thickBot="1" x14ac:dyDescent="0.3">
      <c r="A49" s="384" t="s">
        <v>1014</v>
      </c>
      <c r="B49" s="391">
        <v>0</v>
      </c>
      <c r="C49" s="385">
        <v>0</v>
      </c>
      <c r="D49" s="386">
        <v>1</v>
      </c>
      <c r="E49" s="387">
        <f t="shared" si="0"/>
        <v>1</v>
      </c>
      <c r="F49" s="171" t="s">
        <v>1015</v>
      </c>
      <c r="G49" s="145">
        <v>0</v>
      </c>
      <c r="H49" s="306">
        <v>0</v>
      </c>
      <c r="I49" s="232">
        <v>5</v>
      </c>
      <c r="J49" s="173">
        <f t="shared" si="1"/>
        <v>5</v>
      </c>
    </row>
    <row r="50" spans="1:10" ht="14.95" thickBot="1" x14ac:dyDescent="0.3">
      <c r="A50" s="384" t="s">
        <v>675</v>
      </c>
      <c r="B50" s="391">
        <v>0</v>
      </c>
      <c r="C50" s="385">
        <v>3</v>
      </c>
      <c r="D50" s="386">
        <v>1</v>
      </c>
      <c r="E50" s="387">
        <f t="shared" si="0"/>
        <v>4</v>
      </c>
      <c r="F50" s="171" t="s">
        <v>675</v>
      </c>
      <c r="G50" s="145">
        <v>0</v>
      </c>
      <c r="H50" s="306">
        <v>15</v>
      </c>
      <c r="I50" s="232">
        <v>5</v>
      </c>
      <c r="J50" s="173">
        <f t="shared" si="1"/>
        <v>20</v>
      </c>
    </row>
    <row r="51" spans="1:10" ht="14.95" thickBot="1" x14ac:dyDescent="0.3">
      <c r="A51" s="384" t="s">
        <v>463</v>
      </c>
      <c r="B51" s="391">
        <v>2</v>
      </c>
      <c r="C51" s="385">
        <v>0</v>
      </c>
      <c r="D51" s="386">
        <v>0</v>
      </c>
      <c r="E51" s="387">
        <f t="shared" si="0"/>
        <v>2</v>
      </c>
      <c r="F51" s="171" t="s">
        <v>463</v>
      </c>
      <c r="G51" s="145">
        <v>10</v>
      </c>
      <c r="H51" s="306">
        <v>0</v>
      </c>
      <c r="I51" s="232">
        <v>0</v>
      </c>
      <c r="J51" s="173">
        <f t="shared" si="1"/>
        <v>10</v>
      </c>
    </row>
    <row r="52" spans="1:10" ht="14.95" thickBot="1" x14ac:dyDescent="0.3">
      <c r="A52" s="384" t="s">
        <v>796</v>
      </c>
      <c r="B52" s="391">
        <v>2</v>
      </c>
      <c r="C52" s="385">
        <v>0</v>
      </c>
      <c r="D52" s="386">
        <v>3</v>
      </c>
      <c r="E52" s="387">
        <f t="shared" si="0"/>
        <v>5</v>
      </c>
      <c r="F52" s="171" t="s">
        <v>796</v>
      </c>
      <c r="G52" s="145">
        <v>10</v>
      </c>
      <c r="H52" s="306">
        <v>0</v>
      </c>
      <c r="I52" s="232">
        <v>15</v>
      </c>
      <c r="J52" s="173">
        <f t="shared" si="1"/>
        <v>25</v>
      </c>
    </row>
    <row r="53" spans="1:10" ht="14.95" thickBot="1" x14ac:dyDescent="0.3">
      <c r="A53" s="384" t="s">
        <v>375</v>
      </c>
      <c r="B53" s="391">
        <v>0</v>
      </c>
      <c r="C53" s="385">
        <v>0</v>
      </c>
      <c r="D53" s="386">
        <v>0</v>
      </c>
      <c r="E53" s="387">
        <f t="shared" si="0"/>
        <v>0</v>
      </c>
      <c r="F53" s="171" t="s">
        <v>375</v>
      </c>
      <c r="G53" s="145">
        <v>0</v>
      </c>
      <c r="H53" s="306">
        <v>0</v>
      </c>
      <c r="I53" s="232">
        <v>0</v>
      </c>
      <c r="J53" s="173">
        <f t="shared" si="1"/>
        <v>0</v>
      </c>
    </row>
    <row r="54" spans="1:10" ht="14.95" thickBot="1" x14ac:dyDescent="0.3">
      <c r="A54" s="384" t="s">
        <v>34</v>
      </c>
      <c r="B54" s="391">
        <v>1</v>
      </c>
      <c r="C54" s="385">
        <v>0</v>
      </c>
      <c r="D54" s="386">
        <v>0</v>
      </c>
      <c r="E54" s="387">
        <f t="shared" si="0"/>
        <v>1</v>
      </c>
      <c r="F54" s="171" t="s">
        <v>34</v>
      </c>
      <c r="G54" s="145">
        <v>5</v>
      </c>
      <c r="H54" s="306">
        <v>0</v>
      </c>
      <c r="I54" s="232">
        <v>0</v>
      </c>
      <c r="J54" s="173">
        <f t="shared" si="1"/>
        <v>5</v>
      </c>
    </row>
    <row r="55" spans="1:10" ht="14.95" thickBot="1" x14ac:dyDescent="0.3">
      <c r="A55" s="384" t="s">
        <v>242</v>
      </c>
      <c r="B55" s="391">
        <v>0</v>
      </c>
      <c r="C55" s="385">
        <v>0</v>
      </c>
      <c r="D55" s="386">
        <v>0</v>
      </c>
      <c r="E55" s="387">
        <f t="shared" si="0"/>
        <v>0</v>
      </c>
      <c r="F55" s="171" t="s">
        <v>242</v>
      </c>
      <c r="G55" s="145">
        <v>0</v>
      </c>
      <c r="H55" s="306">
        <v>0</v>
      </c>
      <c r="I55" s="232">
        <v>0</v>
      </c>
      <c r="J55" s="173">
        <f t="shared" si="1"/>
        <v>0</v>
      </c>
    </row>
    <row r="56" spans="1:10" ht="14.95" thickBot="1" x14ac:dyDescent="0.3">
      <c r="A56" s="384" t="s">
        <v>505</v>
      </c>
      <c r="B56" s="391">
        <v>1</v>
      </c>
      <c r="C56" s="385">
        <v>0</v>
      </c>
      <c r="D56" s="386">
        <v>3</v>
      </c>
      <c r="E56" s="387">
        <f t="shared" ref="E56" si="18">SUM(B56:D56)</f>
        <v>4</v>
      </c>
      <c r="F56" s="171" t="s">
        <v>505</v>
      </c>
      <c r="G56" s="145">
        <v>5</v>
      </c>
      <c r="H56" s="306">
        <v>0</v>
      </c>
      <c r="I56" s="232">
        <v>15</v>
      </c>
      <c r="J56" s="173">
        <f t="shared" si="1"/>
        <v>20</v>
      </c>
    </row>
    <row r="57" spans="1:10" ht="14.95" thickBot="1" x14ac:dyDescent="0.3">
      <c r="A57" s="384" t="s">
        <v>578</v>
      </c>
      <c r="B57" s="391">
        <v>0</v>
      </c>
      <c r="C57" s="385">
        <v>0</v>
      </c>
      <c r="D57" s="386">
        <v>0</v>
      </c>
      <c r="E57" s="387">
        <f t="shared" si="0"/>
        <v>0</v>
      </c>
      <c r="F57" s="171" t="s">
        <v>578</v>
      </c>
      <c r="G57" s="145">
        <v>0</v>
      </c>
      <c r="H57" s="306">
        <v>0</v>
      </c>
      <c r="I57" s="232">
        <v>0</v>
      </c>
      <c r="J57" s="173">
        <f t="shared" si="1"/>
        <v>0</v>
      </c>
    </row>
    <row r="58" spans="1:10" ht="14.95" thickBot="1" x14ac:dyDescent="0.3">
      <c r="A58" s="384" t="s">
        <v>423</v>
      </c>
      <c r="B58" s="391">
        <v>4</v>
      </c>
      <c r="C58" s="385">
        <v>0</v>
      </c>
      <c r="D58" s="386">
        <v>0</v>
      </c>
      <c r="E58" s="387">
        <f t="shared" si="0"/>
        <v>4</v>
      </c>
      <c r="F58" s="171" t="s">
        <v>423</v>
      </c>
      <c r="G58" s="145">
        <v>20</v>
      </c>
      <c r="H58" s="306">
        <v>0</v>
      </c>
      <c r="I58" s="232">
        <v>0</v>
      </c>
      <c r="J58" s="173">
        <f t="shared" si="1"/>
        <v>20</v>
      </c>
    </row>
    <row r="59" spans="1:10" ht="14.95" thickBot="1" x14ac:dyDescent="0.3">
      <c r="A59" s="384" t="s">
        <v>244</v>
      </c>
      <c r="B59" s="391">
        <v>0</v>
      </c>
      <c r="C59" s="385">
        <v>0</v>
      </c>
      <c r="D59" s="386">
        <v>0</v>
      </c>
      <c r="E59" s="387">
        <f t="shared" ref="E59:E61" si="19">SUM(B59:D59)</f>
        <v>0</v>
      </c>
      <c r="F59" s="171" t="s">
        <v>244</v>
      </c>
      <c r="G59" s="145">
        <v>6</v>
      </c>
      <c r="H59" s="306">
        <v>0</v>
      </c>
      <c r="I59" s="232">
        <v>6</v>
      </c>
      <c r="J59" s="173">
        <f t="shared" ref="J59:J61" si="20">SUM(G59:I59)</f>
        <v>12</v>
      </c>
    </row>
    <row r="60" spans="1:10" ht="14.95" thickBot="1" x14ac:dyDescent="0.3">
      <c r="A60" s="384" t="s">
        <v>92</v>
      </c>
      <c r="B60" s="391">
        <v>0</v>
      </c>
      <c r="C60" s="385">
        <v>0</v>
      </c>
      <c r="D60" s="386">
        <v>2</v>
      </c>
      <c r="E60" s="387">
        <f t="shared" si="19"/>
        <v>2</v>
      </c>
      <c r="F60" s="171" t="s">
        <v>92</v>
      </c>
      <c r="G60" s="145">
        <v>0</v>
      </c>
      <c r="H60" s="306">
        <v>0</v>
      </c>
      <c r="I60" s="232">
        <v>10</v>
      </c>
      <c r="J60" s="173">
        <f t="shared" si="20"/>
        <v>10</v>
      </c>
    </row>
    <row r="61" spans="1:10" ht="14.95" thickBot="1" x14ac:dyDescent="0.3">
      <c r="A61" s="384" t="s">
        <v>871</v>
      </c>
      <c r="B61" s="391">
        <v>0</v>
      </c>
      <c r="C61" s="385">
        <v>0</v>
      </c>
      <c r="D61" s="386">
        <v>1</v>
      </c>
      <c r="E61" s="387">
        <f t="shared" si="19"/>
        <v>1</v>
      </c>
      <c r="F61" s="171" t="s">
        <v>871</v>
      </c>
      <c r="G61" s="145">
        <v>0</v>
      </c>
      <c r="H61" s="306">
        <v>0</v>
      </c>
      <c r="I61" s="232">
        <v>5</v>
      </c>
      <c r="J61" s="173">
        <f t="shared" si="20"/>
        <v>5</v>
      </c>
    </row>
    <row r="62" spans="1:10" ht="14.95" thickBot="1" x14ac:dyDescent="0.3">
      <c r="A62" s="384" t="s">
        <v>698</v>
      </c>
      <c r="B62" s="391">
        <v>0</v>
      </c>
      <c r="C62" s="385">
        <v>0</v>
      </c>
      <c r="D62" s="386">
        <v>0</v>
      </c>
      <c r="E62" s="387">
        <f t="shared" si="0"/>
        <v>0</v>
      </c>
      <c r="F62" s="171" t="s">
        <v>698</v>
      </c>
      <c r="G62" s="145">
        <v>0</v>
      </c>
      <c r="H62" s="306">
        <v>0</v>
      </c>
      <c r="I62" s="232">
        <v>0</v>
      </c>
      <c r="J62" s="173">
        <f t="shared" si="1"/>
        <v>0</v>
      </c>
    </row>
    <row r="63" spans="1:10" ht="14.3" customHeight="1" thickBot="1" x14ac:dyDescent="0.3">
      <c r="A63" s="384" t="s">
        <v>3</v>
      </c>
      <c r="B63" s="391">
        <f>SUM(B3:B62)</f>
        <v>55</v>
      </c>
      <c r="C63" s="385">
        <f>SUM(C3:C62)</f>
        <v>13</v>
      </c>
      <c r="D63" s="386">
        <f>SUM(D3:D62)</f>
        <v>39</v>
      </c>
      <c r="E63" s="387">
        <f t="shared" si="0"/>
        <v>107</v>
      </c>
      <c r="F63" s="171" t="s">
        <v>3</v>
      </c>
      <c r="G63" s="145">
        <f>SUM(G3:G62)</f>
        <v>435</v>
      </c>
      <c r="H63" s="306">
        <f>SUM(H3:H62)</f>
        <v>106</v>
      </c>
      <c r="I63" s="232">
        <f>SUM(I3:I62)</f>
        <v>262</v>
      </c>
      <c r="J63" s="173">
        <f t="shared" si="1"/>
        <v>803</v>
      </c>
    </row>
    <row r="64" spans="1:10" x14ac:dyDescent="0.25">
      <c r="B64" s="67"/>
      <c r="F64" s="38"/>
      <c r="G64" s="137"/>
      <c r="H64" s="38"/>
      <c r="I64" s="38"/>
      <c r="J64" s="38"/>
    </row>
    <row r="65" spans="1:10" ht="14.95" thickBot="1" x14ac:dyDescent="0.3">
      <c r="A65" t="s">
        <v>18</v>
      </c>
      <c r="B65" s="67"/>
      <c r="F65" s="36"/>
      <c r="G65" s="136"/>
      <c r="H65" s="36"/>
      <c r="I65" s="36"/>
      <c r="J65" s="36"/>
    </row>
    <row r="66" spans="1:10" ht="14.95" thickBot="1" x14ac:dyDescent="0.3">
      <c r="A66" s="380" t="s">
        <v>0</v>
      </c>
      <c r="B66" s="390" t="s">
        <v>355</v>
      </c>
      <c r="C66" s="381" t="s">
        <v>42</v>
      </c>
      <c r="D66" s="382" t="s">
        <v>564</v>
      </c>
      <c r="E66" s="383" t="s">
        <v>1</v>
      </c>
      <c r="F66" s="169" t="s">
        <v>2</v>
      </c>
      <c r="G66" s="144" t="s">
        <v>355</v>
      </c>
      <c r="H66" s="305" t="s">
        <v>42</v>
      </c>
      <c r="I66" s="231" t="s">
        <v>564</v>
      </c>
      <c r="J66" s="172" t="s">
        <v>1</v>
      </c>
    </row>
    <row r="67" spans="1:10" ht="14.95" thickBot="1" x14ac:dyDescent="0.3">
      <c r="A67" s="384" t="s">
        <v>892</v>
      </c>
      <c r="B67" s="391">
        <v>8</v>
      </c>
      <c r="C67" s="385">
        <v>0</v>
      </c>
      <c r="D67" s="386">
        <v>2</v>
      </c>
      <c r="E67" s="387">
        <f t="shared" ref="E67:E98" si="21">SUM(B67:D67)</f>
        <v>10</v>
      </c>
      <c r="F67" s="170" t="s">
        <v>826</v>
      </c>
      <c r="G67" s="145">
        <v>105</v>
      </c>
      <c r="H67" s="306">
        <v>37</v>
      </c>
      <c r="I67" s="232">
        <v>10</v>
      </c>
      <c r="J67" s="173">
        <f t="shared" ref="J67:J98" si="22">SUM(G67:I67)</f>
        <v>152</v>
      </c>
    </row>
    <row r="68" spans="1:10" ht="14.95" thickBot="1" x14ac:dyDescent="0.3">
      <c r="A68" s="384" t="s">
        <v>339</v>
      </c>
      <c r="B68" s="391">
        <v>4</v>
      </c>
      <c r="C68" s="385">
        <v>1</v>
      </c>
      <c r="D68" s="386">
        <v>3</v>
      </c>
      <c r="E68" s="387">
        <f t="shared" si="21"/>
        <v>8</v>
      </c>
      <c r="F68" s="170" t="s">
        <v>896</v>
      </c>
      <c r="G68" s="145">
        <v>53</v>
      </c>
      <c r="H68" s="306">
        <v>14</v>
      </c>
      <c r="I68" s="232">
        <v>38</v>
      </c>
      <c r="J68" s="173">
        <f t="shared" si="22"/>
        <v>105</v>
      </c>
    </row>
    <row r="69" spans="1:10" ht="14.95" thickBot="1" x14ac:dyDescent="0.3">
      <c r="A69" s="384" t="s">
        <v>9</v>
      </c>
      <c r="B69" s="391">
        <v>5</v>
      </c>
      <c r="C69" s="385">
        <v>0</v>
      </c>
      <c r="D69" s="386">
        <v>0</v>
      </c>
      <c r="E69" s="387">
        <f t="shared" si="21"/>
        <v>5</v>
      </c>
      <c r="F69" s="170" t="s">
        <v>892</v>
      </c>
      <c r="G69" s="145">
        <v>40</v>
      </c>
      <c r="H69" s="306">
        <v>0</v>
      </c>
      <c r="I69" s="232">
        <v>10</v>
      </c>
      <c r="J69" s="173">
        <f t="shared" si="22"/>
        <v>50</v>
      </c>
    </row>
    <row r="70" spans="1:10" ht="14.95" thickBot="1" x14ac:dyDescent="0.3">
      <c r="A70" s="384" t="s">
        <v>108</v>
      </c>
      <c r="B70" s="391">
        <v>5</v>
      </c>
      <c r="C70" s="385">
        <v>0</v>
      </c>
      <c r="D70" s="386">
        <v>0</v>
      </c>
      <c r="E70" s="387">
        <f t="shared" si="21"/>
        <v>5</v>
      </c>
      <c r="F70" s="170" t="s">
        <v>339</v>
      </c>
      <c r="G70" s="145">
        <v>20</v>
      </c>
      <c r="H70" s="306">
        <v>5</v>
      </c>
      <c r="I70" s="232">
        <v>15</v>
      </c>
      <c r="J70" s="173">
        <f t="shared" si="22"/>
        <v>40</v>
      </c>
    </row>
    <row r="71" spans="1:10" ht="14.95" thickBot="1" x14ac:dyDescent="0.3">
      <c r="A71" s="384" t="s">
        <v>796</v>
      </c>
      <c r="B71" s="391">
        <v>2</v>
      </c>
      <c r="C71" s="385">
        <v>0</v>
      </c>
      <c r="D71" s="386">
        <v>3</v>
      </c>
      <c r="E71" s="387">
        <f t="shared" si="21"/>
        <v>5</v>
      </c>
      <c r="F71" s="170" t="s">
        <v>48</v>
      </c>
      <c r="G71" s="145">
        <v>4</v>
      </c>
      <c r="H71" s="306">
        <v>0</v>
      </c>
      <c r="I71" s="232">
        <v>21</v>
      </c>
      <c r="J71" s="173">
        <f t="shared" si="22"/>
        <v>25</v>
      </c>
    </row>
    <row r="72" spans="1:10" ht="14.95" thickBot="1" x14ac:dyDescent="0.3">
      <c r="A72" s="384" t="s">
        <v>428</v>
      </c>
      <c r="B72" s="391">
        <v>1</v>
      </c>
      <c r="C72" s="385">
        <v>1</v>
      </c>
      <c r="D72" s="386">
        <v>2</v>
      </c>
      <c r="E72" s="387">
        <f t="shared" si="21"/>
        <v>4</v>
      </c>
      <c r="F72" s="170" t="s">
        <v>9</v>
      </c>
      <c r="G72" s="145">
        <v>25</v>
      </c>
      <c r="H72" s="306">
        <v>0</v>
      </c>
      <c r="I72" s="232">
        <v>0</v>
      </c>
      <c r="J72" s="173">
        <f t="shared" si="22"/>
        <v>25</v>
      </c>
    </row>
    <row r="73" spans="1:10" ht="14.95" thickBot="1" x14ac:dyDescent="0.3">
      <c r="A73" s="384" t="s">
        <v>703</v>
      </c>
      <c r="B73" s="391">
        <v>2</v>
      </c>
      <c r="C73" s="385">
        <v>2</v>
      </c>
      <c r="D73" s="386">
        <v>0</v>
      </c>
      <c r="E73" s="387">
        <f t="shared" si="21"/>
        <v>4</v>
      </c>
      <c r="F73" s="170" t="s">
        <v>108</v>
      </c>
      <c r="G73" s="145">
        <v>25</v>
      </c>
      <c r="H73" s="306">
        <v>0</v>
      </c>
      <c r="I73" s="232">
        <v>0</v>
      </c>
      <c r="J73" s="173">
        <f t="shared" si="22"/>
        <v>25</v>
      </c>
    </row>
    <row r="74" spans="1:10" ht="14.95" thickBot="1" x14ac:dyDescent="0.3">
      <c r="A74" s="384" t="s">
        <v>675</v>
      </c>
      <c r="B74" s="391">
        <v>0</v>
      </c>
      <c r="C74" s="385">
        <v>3</v>
      </c>
      <c r="D74" s="386">
        <v>1</v>
      </c>
      <c r="E74" s="387">
        <f t="shared" si="21"/>
        <v>4</v>
      </c>
      <c r="F74" s="170" t="s">
        <v>796</v>
      </c>
      <c r="G74" s="145">
        <v>10</v>
      </c>
      <c r="H74" s="306">
        <v>0</v>
      </c>
      <c r="I74" s="232">
        <v>15</v>
      </c>
      <c r="J74" s="173">
        <f t="shared" si="22"/>
        <v>25</v>
      </c>
    </row>
    <row r="75" spans="1:10" ht="14.95" thickBot="1" x14ac:dyDescent="0.3">
      <c r="A75" s="384" t="s">
        <v>505</v>
      </c>
      <c r="B75" s="391">
        <v>1</v>
      </c>
      <c r="C75" s="385">
        <v>0</v>
      </c>
      <c r="D75" s="386">
        <v>3</v>
      </c>
      <c r="E75" s="387">
        <f t="shared" si="21"/>
        <v>4</v>
      </c>
      <c r="F75" s="170" t="s">
        <v>428</v>
      </c>
      <c r="G75" s="145">
        <v>5</v>
      </c>
      <c r="H75" s="306">
        <v>5</v>
      </c>
      <c r="I75" s="232">
        <v>10</v>
      </c>
      <c r="J75" s="173">
        <f t="shared" si="22"/>
        <v>20</v>
      </c>
    </row>
    <row r="76" spans="1:10" ht="14.95" thickBot="1" x14ac:dyDescent="0.3">
      <c r="A76" s="384" t="s">
        <v>423</v>
      </c>
      <c r="B76" s="391">
        <v>4</v>
      </c>
      <c r="C76" s="385">
        <v>0</v>
      </c>
      <c r="D76" s="386">
        <v>0</v>
      </c>
      <c r="E76" s="387">
        <f t="shared" si="21"/>
        <v>4</v>
      </c>
      <c r="F76" s="170" t="s">
        <v>703</v>
      </c>
      <c r="G76" s="145">
        <v>10</v>
      </c>
      <c r="H76" s="306">
        <v>10</v>
      </c>
      <c r="I76" s="232">
        <v>0</v>
      </c>
      <c r="J76" s="173">
        <f t="shared" si="22"/>
        <v>20</v>
      </c>
    </row>
    <row r="77" spans="1:10" ht="14.95" thickBot="1" x14ac:dyDescent="0.3">
      <c r="A77" s="384" t="s">
        <v>95</v>
      </c>
      <c r="B77" s="391">
        <v>0</v>
      </c>
      <c r="C77" s="385">
        <v>0</v>
      </c>
      <c r="D77" s="386">
        <v>3</v>
      </c>
      <c r="E77" s="387">
        <f t="shared" si="21"/>
        <v>3</v>
      </c>
      <c r="F77" s="170" t="s">
        <v>675</v>
      </c>
      <c r="G77" s="145">
        <v>0</v>
      </c>
      <c r="H77" s="306">
        <v>15</v>
      </c>
      <c r="I77" s="232">
        <v>5</v>
      </c>
      <c r="J77" s="173">
        <f t="shared" si="22"/>
        <v>20</v>
      </c>
    </row>
    <row r="78" spans="1:10" ht="14.95" thickBot="1" x14ac:dyDescent="0.3">
      <c r="A78" s="384" t="s">
        <v>567</v>
      </c>
      <c r="B78" s="391">
        <v>0</v>
      </c>
      <c r="C78" s="385">
        <v>0</v>
      </c>
      <c r="D78" s="386">
        <v>3</v>
      </c>
      <c r="E78" s="387">
        <f t="shared" si="21"/>
        <v>3</v>
      </c>
      <c r="F78" s="170" t="s">
        <v>505</v>
      </c>
      <c r="G78" s="145">
        <v>5</v>
      </c>
      <c r="H78" s="306">
        <v>0</v>
      </c>
      <c r="I78" s="232">
        <v>15</v>
      </c>
      <c r="J78" s="173">
        <f t="shared" si="22"/>
        <v>20</v>
      </c>
    </row>
    <row r="79" spans="1:10" ht="14.95" thickBot="1" x14ac:dyDescent="0.3">
      <c r="A79" s="384" t="s">
        <v>734</v>
      </c>
      <c r="B79" s="391">
        <v>0</v>
      </c>
      <c r="C79" s="385">
        <v>0</v>
      </c>
      <c r="D79" s="386">
        <v>3</v>
      </c>
      <c r="E79" s="387">
        <f t="shared" si="21"/>
        <v>3</v>
      </c>
      <c r="F79" s="171" t="s">
        <v>423</v>
      </c>
      <c r="G79" s="145">
        <v>20</v>
      </c>
      <c r="H79" s="306">
        <v>0</v>
      </c>
      <c r="I79" s="232">
        <v>0</v>
      </c>
      <c r="J79" s="173">
        <f t="shared" si="22"/>
        <v>20</v>
      </c>
    </row>
    <row r="80" spans="1:10" ht="14.95" thickBot="1" x14ac:dyDescent="0.3">
      <c r="A80" s="384" t="s">
        <v>443</v>
      </c>
      <c r="B80" s="391">
        <v>2</v>
      </c>
      <c r="C80" s="385">
        <v>1</v>
      </c>
      <c r="D80" s="386">
        <v>0</v>
      </c>
      <c r="E80" s="387">
        <f t="shared" si="21"/>
        <v>3</v>
      </c>
      <c r="F80" s="171" t="s">
        <v>95</v>
      </c>
      <c r="G80" s="145">
        <v>0</v>
      </c>
      <c r="H80" s="306">
        <v>0</v>
      </c>
      <c r="I80" s="232">
        <v>15</v>
      </c>
      <c r="J80" s="173">
        <f t="shared" si="22"/>
        <v>15</v>
      </c>
    </row>
    <row r="81" spans="1:10" ht="14.95" thickBot="1" x14ac:dyDescent="0.3">
      <c r="A81" s="384" t="s">
        <v>464</v>
      </c>
      <c r="B81" s="391">
        <v>2</v>
      </c>
      <c r="C81" s="385">
        <v>1</v>
      </c>
      <c r="D81" s="386">
        <v>0</v>
      </c>
      <c r="E81" s="387">
        <f t="shared" si="21"/>
        <v>3</v>
      </c>
      <c r="F81" s="171" t="s">
        <v>567</v>
      </c>
      <c r="G81" s="145">
        <v>0</v>
      </c>
      <c r="H81" s="306">
        <v>0</v>
      </c>
      <c r="I81" s="232">
        <v>15</v>
      </c>
      <c r="J81" s="173">
        <f t="shared" si="22"/>
        <v>15</v>
      </c>
    </row>
    <row r="82" spans="1:10" ht="14.95" thickBot="1" x14ac:dyDescent="0.3">
      <c r="A82" s="384" t="s">
        <v>456</v>
      </c>
      <c r="B82" s="391">
        <v>3</v>
      </c>
      <c r="C82" s="385">
        <v>0</v>
      </c>
      <c r="D82" s="386">
        <v>0</v>
      </c>
      <c r="E82" s="387">
        <f t="shared" si="21"/>
        <v>3</v>
      </c>
      <c r="F82" s="171" t="s">
        <v>734</v>
      </c>
      <c r="G82" s="145">
        <v>0</v>
      </c>
      <c r="H82" s="306">
        <v>0</v>
      </c>
      <c r="I82" s="232">
        <v>15</v>
      </c>
      <c r="J82" s="173">
        <f t="shared" si="22"/>
        <v>15</v>
      </c>
    </row>
    <row r="83" spans="1:10" ht="14.95" thickBot="1" x14ac:dyDescent="0.3">
      <c r="A83" s="384" t="s">
        <v>895</v>
      </c>
      <c r="B83" s="391">
        <v>2</v>
      </c>
      <c r="C83" s="385">
        <v>0</v>
      </c>
      <c r="D83" s="386">
        <v>1</v>
      </c>
      <c r="E83" s="387">
        <f t="shared" si="21"/>
        <v>3</v>
      </c>
      <c r="F83" s="171" t="s">
        <v>443</v>
      </c>
      <c r="G83" s="145">
        <v>10</v>
      </c>
      <c r="H83" s="306">
        <v>5</v>
      </c>
      <c r="I83" s="232">
        <v>0</v>
      </c>
      <c r="J83" s="173">
        <f t="shared" si="22"/>
        <v>15</v>
      </c>
    </row>
    <row r="84" spans="1:10" ht="14.95" thickBot="1" x14ac:dyDescent="0.3">
      <c r="A84" s="384" t="s">
        <v>352</v>
      </c>
      <c r="B84" s="391">
        <v>2</v>
      </c>
      <c r="C84" s="385">
        <v>0</v>
      </c>
      <c r="D84" s="386">
        <v>1</v>
      </c>
      <c r="E84" s="387">
        <f t="shared" si="21"/>
        <v>3</v>
      </c>
      <c r="F84" s="171" t="s">
        <v>464</v>
      </c>
      <c r="G84" s="145">
        <v>10</v>
      </c>
      <c r="H84" s="306">
        <v>5</v>
      </c>
      <c r="I84" s="232">
        <v>0</v>
      </c>
      <c r="J84" s="173">
        <f t="shared" si="22"/>
        <v>15</v>
      </c>
    </row>
    <row r="85" spans="1:10" ht="14.95" thickBot="1" x14ac:dyDescent="0.3">
      <c r="A85" s="384" t="s">
        <v>896</v>
      </c>
      <c r="B85" s="391">
        <v>2</v>
      </c>
      <c r="C85" s="385">
        <v>0</v>
      </c>
      <c r="D85" s="386">
        <v>1</v>
      </c>
      <c r="E85" s="387">
        <f t="shared" si="21"/>
        <v>3</v>
      </c>
      <c r="F85" s="171" t="s">
        <v>456</v>
      </c>
      <c r="G85" s="145">
        <v>15</v>
      </c>
      <c r="H85" s="306">
        <v>0</v>
      </c>
      <c r="I85" s="232">
        <v>0</v>
      </c>
      <c r="J85" s="173">
        <f t="shared" si="22"/>
        <v>15</v>
      </c>
    </row>
    <row r="86" spans="1:10" ht="14.95" thickBot="1" x14ac:dyDescent="0.3">
      <c r="A86" s="384" t="s">
        <v>312</v>
      </c>
      <c r="B86" s="391">
        <v>3</v>
      </c>
      <c r="C86" s="385">
        <v>0</v>
      </c>
      <c r="D86" s="386">
        <v>0</v>
      </c>
      <c r="E86" s="387">
        <f t="shared" si="21"/>
        <v>3</v>
      </c>
      <c r="F86" s="171" t="s">
        <v>895</v>
      </c>
      <c r="G86" s="145">
        <v>10</v>
      </c>
      <c r="H86" s="306">
        <v>0</v>
      </c>
      <c r="I86" s="232">
        <v>5</v>
      </c>
      <c r="J86" s="173">
        <f t="shared" si="22"/>
        <v>15</v>
      </c>
    </row>
    <row r="87" spans="1:10" ht="14.95" thickBot="1" x14ac:dyDescent="0.3">
      <c r="A87" s="384" t="s">
        <v>11</v>
      </c>
      <c r="B87" s="391">
        <v>0</v>
      </c>
      <c r="C87" s="385">
        <v>1</v>
      </c>
      <c r="D87" s="386">
        <v>1</v>
      </c>
      <c r="E87" s="387">
        <f t="shared" si="21"/>
        <v>2</v>
      </c>
      <c r="F87" s="171" t="s">
        <v>352</v>
      </c>
      <c r="G87" s="145">
        <v>10</v>
      </c>
      <c r="H87" s="306">
        <v>0</v>
      </c>
      <c r="I87" s="232">
        <v>5</v>
      </c>
      <c r="J87" s="173">
        <f t="shared" si="22"/>
        <v>15</v>
      </c>
    </row>
    <row r="88" spans="1:10" ht="14.95" thickBot="1" x14ac:dyDescent="0.3">
      <c r="A88" s="384" t="s">
        <v>711</v>
      </c>
      <c r="B88" s="391">
        <v>1</v>
      </c>
      <c r="C88" s="385">
        <v>1</v>
      </c>
      <c r="D88" s="386">
        <v>0</v>
      </c>
      <c r="E88" s="387">
        <f t="shared" si="21"/>
        <v>2</v>
      </c>
      <c r="F88" s="171" t="s">
        <v>312</v>
      </c>
      <c r="G88" s="145">
        <v>15</v>
      </c>
      <c r="H88" s="306">
        <v>0</v>
      </c>
      <c r="I88" s="232">
        <v>0</v>
      </c>
      <c r="J88" s="173">
        <f t="shared" si="22"/>
        <v>15</v>
      </c>
    </row>
    <row r="89" spans="1:10" ht="14.95" thickBot="1" x14ac:dyDescent="0.3">
      <c r="A89" s="384" t="s">
        <v>826</v>
      </c>
      <c r="B89" s="391">
        <v>0</v>
      </c>
      <c r="C89" s="385">
        <v>2</v>
      </c>
      <c r="D89" s="386">
        <v>0</v>
      </c>
      <c r="E89" s="387">
        <f t="shared" si="21"/>
        <v>2</v>
      </c>
      <c r="F89" s="171" t="s">
        <v>5</v>
      </c>
      <c r="G89" s="145">
        <v>7</v>
      </c>
      <c r="H89" s="306">
        <v>0</v>
      </c>
      <c r="I89" s="232">
        <v>7</v>
      </c>
      <c r="J89" s="173">
        <f t="shared" si="22"/>
        <v>14</v>
      </c>
    </row>
    <row r="90" spans="1:10" ht="14.95" thickBot="1" x14ac:dyDescent="0.3">
      <c r="A90" s="384" t="s">
        <v>425</v>
      </c>
      <c r="B90" s="391">
        <v>0</v>
      </c>
      <c r="C90" s="385">
        <v>0</v>
      </c>
      <c r="D90" s="386">
        <v>2</v>
      </c>
      <c r="E90" s="387">
        <f t="shared" si="21"/>
        <v>2</v>
      </c>
      <c r="F90" s="171" t="s">
        <v>244</v>
      </c>
      <c r="G90" s="145">
        <v>6</v>
      </c>
      <c r="H90" s="306">
        <v>0</v>
      </c>
      <c r="I90" s="232">
        <v>6</v>
      </c>
      <c r="J90" s="173">
        <f t="shared" si="22"/>
        <v>12</v>
      </c>
    </row>
    <row r="91" spans="1:10" ht="14.95" thickBot="1" x14ac:dyDescent="0.3">
      <c r="A91" s="384" t="s">
        <v>842</v>
      </c>
      <c r="B91" s="391">
        <v>0</v>
      </c>
      <c r="C91" s="385">
        <v>0</v>
      </c>
      <c r="D91" s="386">
        <v>2</v>
      </c>
      <c r="E91" s="387">
        <f t="shared" si="21"/>
        <v>2</v>
      </c>
      <c r="F91" s="171" t="s">
        <v>11</v>
      </c>
      <c r="G91" s="145">
        <v>0</v>
      </c>
      <c r="H91" s="306">
        <v>5</v>
      </c>
      <c r="I91" s="232">
        <v>5</v>
      </c>
      <c r="J91" s="173">
        <f t="shared" si="22"/>
        <v>10</v>
      </c>
    </row>
    <row r="92" spans="1:10" ht="14.95" thickBot="1" x14ac:dyDescent="0.3">
      <c r="A92" s="384" t="s">
        <v>5</v>
      </c>
      <c r="B92" s="391">
        <v>1</v>
      </c>
      <c r="C92" s="385">
        <v>0</v>
      </c>
      <c r="D92" s="386">
        <v>1</v>
      </c>
      <c r="E92" s="387">
        <f t="shared" si="21"/>
        <v>2</v>
      </c>
      <c r="F92" s="171" t="s">
        <v>711</v>
      </c>
      <c r="G92" s="145">
        <v>5</v>
      </c>
      <c r="H92" s="306">
        <v>5</v>
      </c>
      <c r="I92" s="232">
        <v>0</v>
      </c>
      <c r="J92" s="173">
        <f t="shared" si="22"/>
        <v>10</v>
      </c>
    </row>
    <row r="93" spans="1:10" ht="14.95" thickBot="1" x14ac:dyDescent="0.3">
      <c r="A93" s="384" t="s">
        <v>109</v>
      </c>
      <c r="B93" s="391">
        <v>1</v>
      </c>
      <c r="C93" s="385">
        <v>0</v>
      </c>
      <c r="D93" s="386">
        <v>1</v>
      </c>
      <c r="E93" s="387">
        <f t="shared" si="21"/>
        <v>2</v>
      </c>
      <c r="F93" s="171" t="s">
        <v>425</v>
      </c>
      <c r="G93" s="145">
        <v>0</v>
      </c>
      <c r="H93" s="306">
        <v>0</v>
      </c>
      <c r="I93" s="232">
        <v>10</v>
      </c>
      <c r="J93" s="173">
        <f t="shared" si="22"/>
        <v>10</v>
      </c>
    </row>
    <row r="94" spans="1:10" ht="14.95" thickBot="1" x14ac:dyDescent="0.3">
      <c r="A94" s="384" t="s">
        <v>463</v>
      </c>
      <c r="B94" s="391">
        <v>2</v>
      </c>
      <c r="C94" s="385">
        <v>0</v>
      </c>
      <c r="D94" s="386">
        <v>0</v>
      </c>
      <c r="E94" s="387">
        <f t="shared" si="21"/>
        <v>2</v>
      </c>
      <c r="F94" s="171" t="s">
        <v>842</v>
      </c>
      <c r="G94" s="145">
        <v>0</v>
      </c>
      <c r="H94" s="306">
        <v>0</v>
      </c>
      <c r="I94" s="232">
        <v>10</v>
      </c>
      <c r="J94" s="173">
        <f t="shared" si="22"/>
        <v>10</v>
      </c>
    </row>
    <row r="95" spans="1:10" ht="14.95" thickBot="1" x14ac:dyDescent="0.3">
      <c r="A95" s="384" t="s">
        <v>92</v>
      </c>
      <c r="B95" s="391">
        <v>0</v>
      </c>
      <c r="C95" s="385">
        <v>0</v>
      </c>
      <c r="D95" s="386">
        <v>2</v>
      </c>
      <c r="E95" s="387">
        <f t="shared" si="21"/>
        <v>2</v>
      </c>
      <c r="F95" s="171" t="s">
        <v>109</v>
      </c>
      <c r="G95" s="145">
        <v>5</v>
      </c>
      <c r="H95" s="306">
        <v>0</v>
      </c>
      <c r="I95" s="232">
        <v>5</v>
      </c>
      <c r="J95" s="173">
        <f t="shared" si="22"/>
        <v>10</v>
      </c>
    </row>
    <row r="96" spans="1:10" ht="14.95" thickBot="1" x14ac:dyDescent="0.3">
      <c r="A96" s="384" t="s">
        <v>48</v>
      </c>
      <c r="B96" s="391">
        <v>0</v>
      </c>
      <c r="C96" s="385">
        <v>0</v>
      </c>
      <c r="D96" s="386">
        <v>1</v>
      </c>
      <c r="E96" s="387">
        <f t="shared" si="21"/>
        <v>1</v>
      </c>
      <c r="F96" s="171" t="s">
        <v>463</v>
      </c>
      <c r="G96" s="145">
        <v>10</v>
      </c>
      <c r="H96" s="306">
        <v>0</v>
      </c>
      <c r="I96" s="232">
        <v>0</v>
      </c>
      <c r="J96" s="173">
        <f t="shared" si="22"/>
        <v>10</v>
      </c>
    </row>
    <row r="97" spans="1:10" ht="14.95" thickBot="1" x14ac:dyDescent="0.3">
      <c r="A97" s="384" t="s">
        <v>52</v>
      </c>
      <c r="B97" s="391">
        <v>1</v>
      </c>
      <c r="C97" s="385">
        <v>0</v>
      </c>
      <c r="D97" s="386">
        <v>0</v>
      </c>
      <c r="E97" s="387">
        <f t="shared" si="21"/>
        <v>1</v>
      </c>
      <c r="F97" s="171" t="s">
        <v>92</v>
      </c>
      <c r="G97" s="145">
        <v>0</v>
      </c>
      <c r="H97" s="306">
        <v>0</v>
      </c>
      <c r="I97" s="232">
        <v>10</v>
      </c>
      <c r="J97" s="173">
        <f t="shared" si="22"/>
        <v>10</v>
      </c>
    </row>
    <row r="98" spans="1:10" ht="14.95" thickBot="1" x14ac:dyDescent="0.3">
      <c r="A98" s="384" t="s">
        <v>893</v>
      </c>
      <c r="B98" s="391">
        <v>0</v>
      </c>
      <c r="C98" s="385">
        <v>0</v>
      </c>
      <c r="D98" s="386">
        <v>1</v>
      </c>
      <c r="E98" s="387">
        <f t="shared" si="21"/>
        <v>1</v>
      </c>
      <c r="F98" s="171" t="s">
        <v>52</v>
      </c>
      <c r="G98" s="145">
        <v>5</v>
      </c>
      <c r="H98" s="306">
        <v>0</v>
      </c>
      <c r="I98" s="232">
        <v>0</v>
      </c>
      <c r="J98" s="173">
        <f t="shared" si="22"/>
        <v>5</v>
      </c>
    </row>
    <row r="99" spans="1:10" ht="14.95" thickBot="1" x14ac:dyDescent="0.3">
      <c r="A99" s="384" t="s">
        <v>1014</v>
      </c>
      <c r="B99" s="391">
        <v>0</v>
      </c>
      <c r="C99" s="385">
        <v>0</v>
      </c>
      <c r="D99" s="386">
        <v>1</v>
      </c>
      <c r="E99" s="387">
        <f t="shared" ref="E99:E126" si="23">SUM(B99:D99)</f>
        <v>1</v>
      </c>
      <c r="F99" s="171" t="s">
        <v>893</v>
      </c>
      <c r="G99" s="145">
        <v>0</v>
      </c>
      <c r="H99" s="306">
        <v>0</v>
      </c>
      <c r="I99" s="232">
        <v>5</v>
      </c>
      <c r="J99" s="173">
        <f t="shared" ref="J99:J126" si="24">SUM(G99:I99)</f>
        <v>5</v>
      </c>
    </row>
    <row r="100" spans="1:10" ht="14.95" thickBot="1" x14ac:dyDescent="0.3">
      <c r="A100" s="384" t="s">
        <v>34</v>
      </c>
      <c r="B100" s="391">
        <v>1</v>
      </c>
      <c r="C100" s="385">
        <v>0</v>
      </c>
      <c r="D100" s="386">
        <v>0</v>
      </c>
      <c r="E100" s="387">
        <f t="shared" si="23"/>
        <v>1</v>
      </c>
      <c r="F100" s="171" t="s">
        <v>1015</v>
      </c>
      <c r="G100" s="145">
        <v>0</v>
      </c>
      <c r="H100" s="306">
        <v>0</v>
      </c>
      <c r="I100" s="232">
        <v>5</v>
      </c>
      <c r="J100" s="173">
        <f t="shared" si="24"/>
        <v>5</v>
      </c>
    </row>
    <row r="101" spans="1:10" ht="14.95" thickBot="1" x14ac:dyDescent="0.3">
      <c r="A101" s="384" t="s">
        <v>871</v>
      </c>
      <c r="B101" s="391">
        <v>0</v>
      </c>
      <c r="C101" s="385">
        <v>0</v>
      </c>
      <c r="D101" s="386">
        <v>1</v>
      </c>
      <c r="E101" s="387">
        <f t="shared" si="23"/>
        <v>1</v>
      </c>
      <c r="F101" s="171" t="s">
        <v>34</v>
      </c>
      <c r="G101" s="145">
        <v>5</v>
      </c>
      <c r="H101" s="306">
        <v>0</v>
      </c>
      <c r="I101" s="232">
        <v>0</v>
      </c>
      <c r="J101" s="173">
        <f t="shared" si="24"/>
        <v>5</v>
      </c>
    </row>
    <row r="102" spans="1:10" ht="14.95" thickBot="1" x14ac:dyDescent="0.3">
      <c r="A102" s="384" t="s">
        <v>730</v>
      </c>
      <c r="B102" s="391">
        <v>0</v>
      </c>
      <c r="C102" s="385">
        <v>0</v>
      </c>
      <c r="D102" s="386">
        <v>0</v>
      </c>
      <c r="E102" s="387">
        <f t="shared" si="23"/>
        <v>0</v>
      </c>
      <c r="F102" s="171" t="s">
        <v>871</v>
      </c>
      <c r="G102" s="145">
        <v>0</v>
      </c>
      <c r="H102" s="306">
        <v>0</v>
      </c>
      <c r="I102" s="232">
        <v>5</v>
      </c>
      <c r="J102" s="173">
        <f t="shared" si="24"/>
        <v>5</v>
      </c>
    </row>
    <row r="103" spans="1:10" ht="14.95" thickBot="1" x14ac:dyDescent="0.3">
      <c r="A103" s="384" t="s">
        <v>472</v>
      </c>
      <c r="B103" s="391">
        <v>0</v>
      </c>
      <c r="C103" s="385">
        <v>0</v>
      </c>
      <c r="D103" s="386">
        <v>0</v>
      </c>
      <c r="E103" s="387">
        <f t="shared" si="23"/>
        <v>0</v>
      </c>
      <c r="F103" s="171" t="s">
        <v>730</v>
      </c>
      <c r="G103" s="145">
        <v>0</v>
      </c>
      <c r="H103" s="306">
        <v>0</v>
      </c>
      <c r="I103" s="232">
        <v>0</v>
      </c>
      <c r="J103" s="173">
        <f t="shared" si="24"/>
        <v>0</v>
      </c>
    </row>
    <row r="104" spans="1:10" ht="14.95" thickBot="1" x14ac:dyDescent="0.3">
      <c r="A104" s="384" t="s">
        <v>644</v>
      </c>
      <c r="B104" s="391">
        <v>0</v>
      </c>
      <c r="C104" s="385">
        <v>0</v>
      </c>
      <c r="D104" s="386">
        <v>0</v>
      </c>
      <c r="E104" s="387">
        <f t="shared" si="23"/>
        <v>0</v>
      </c>
      <c r="F104" s="171" t="s">
        <v>472</v>
      </c>
      <c r="G104" s="145">
        <v>0</v>
      </c>
      <c r="H104" s="306">
        <v>0</v>
      </c>
      <c r="I104" s="232">
        <v>0</v>
      </c>
      <c r="J104" s="173">
        <f t="shared" si="24"/>
        <v>0</v>
      </c>
    </row>
    <row r="105" spans="1:10" ht="14.95" thickBot="1" x14ac:dyDescent="0.3">
      <c r="A105" s="384" t="s">
        <v>492</v>
      </c>
      <c r="B105" s="391">
        <v>0</v>
      </c>
      <c r="C105" s="385">
        <v>0</v>
      </c>
      <c r="D105" s="386">
        <v>0</v>
      </c>
      <c r="E105" s="387">
        <f t="shared" si="23"/>
        <v>0</v>
      </c>
      <c r="F105" s="171" t="s">
        <v>644</v>
      </c>
      <c r="G105" s="145">
        <v>0</v>
      </c>
      <c r="H105" s="306">
        <v>0</v>
      </c>
      <c r="I105" s="232">
        <v>0</v>
      </c>
      <c r="J105" s="173">
        <f t="shared" si="24"/>
        <v>0</v>
      </c>
    </row>
    <row r="106" spans="1:10" ht="14.95" thickBot="1" x14ac:dyDescent="0.3">
      <c r="A106" s="384" t="s">
        <v>360</v>
      </c>
      <c r="B106" s="391">
        <v>0</v>
      </c>
      <c r="C106" s="385">
        <v>0</v>
      </c>
      <c r="D106" s="386">
        <v>0</v>
      </c>
      <c r="E106" s="387">
        <f t="shared" si="23"/>
        <v>0</v>
      </c>
      <c r="F106" s="171" t="s">
        <v>492</v>
      </c>
      <c r="G106" s="145">
        <v>0</v>
      </c>
      <c r="H106" s="306">
        <v>0</v>
      </c>
      <c r="I106" s="232">
        <v>0</v>
      </c>
      <c r="J106" s="173">
        <f t="shared" si="24"/>
        <v>0</v>
      </c>
    </row>
    <row r="107" spans="1:10" ht="14.95" thickBot="1" x14ac:dyDescent="0.3">
      <c r="A107" s="384" t="s">
        <v>335</v>
      </c>
      <c r="B107" s="391">
        <v>0</v>
      </c>
      <c r="C107" s="385">
        <v>0</v>
      </c>
      <c r="D107" s="386">
        <v>0</v>
      </c>
      <c r="E107" s="387">
        <f t="shared" si="23"/>
        <v>0</v>
      </c>
      <c r="F107" s="171" t="s">
        <v>360</v>
      </c>
      <c r="G107" s="145">
        <v>0</v>
      </c>
      <c r="H107" s="306">
        <v>0</v>
      </c>
      <c r="I107" s="232">
        <v>0</v>
      </c>
      <c r="J107" s="173">
        <f t="shared" si="24"/>
        <v>0</v>
      </c>
    </row>
    <row r="108" spans="1:10" ht="14.95" thickBot="1" x14ac:dyDescent="0.3">
      <c r="A108" s="384" t="s">
        <v>387</v>
      </c>
      <c r="B108" s="391">
        <v>0</v>
      </c>
      <c r="C108" s="385">
        <v>0</v>
      </c>
      <c r="D108" s="386">
        <v>0</v>
      </c>
      <c r="E108" s="387">
        <f t="shared" si="23"/>
        <v>0</v>
      </c>
      <c r="F108" s="171" t="s">
        <v>335</v>
      </c>
      <c r="G108" s="145">
        <v>0</v>
      </c>
      <c r="H108" s="306">
        <v>0</v>
      </c>
      <c r="I108" s="232">
        <v>0</v>
      </c>
      <c r="J108" s="173">
        <f t="shared" si="24"/>
        <v>0</v>
      </c>
    </row>
    <row r="109" spans="1:10" ht="14.95" thickBot="1" x14ac:dyDescent="0.3">
      <c r="A109" s="384" t="s">
        <v>729</v>
      </c>
      <c r="B109" s="391">
        <v>0</v>
      </c>
      <c r="C109" s="385">
        <v>0</v>
      </c>
      <c r="D109" s="386">
        <v>0</v>
      </c>
      <c r="E109" s="387">
        <f t="shared" si="23"/>
        <v>0</v>
      </c>
      <c r="F109" s="171" t="s">
        <v>387</v>
      </c>
      <c r="G109" s="145">
        <v>0</v>
      </c>
      <c r="H109" s="306">
        <v>0</v>
      </c>
      <c r="I109" s="232">
        <v>0</v>
      </c>
      <c r="J109" s="173">
        <f t="shared" si="24"/>
        <v>0</v>
      </c>
    </row>
    <row r="110" spans="1:10" ht="14.95" thickBot="1" x14ac:dyDescent="0.3">
      <c r="A110" s="384" t="s">
        <v>569</v>
      </c>
      <c r="B110" s="391">
        <v>0</v>
      </c>
      <c r="C110" s="385">
        <v>0</v>
      </c>
      <c r="D110" s="386">
        <v>0</v>
      </c>
      <c r="E110" s="387">
        <f t="shared" si="23"/>
        <v>0</v>
      </c>
      <c r="F110" s="171" t="s">
        <v>729</v>
      </c>
      <c r="G110" s="145">
        <v>0</v>
      </c>
      <c r="H110" s="306">
        <v>0</v>
      </c>
      <c r="I110" s="232">
        <v>0</v>
      </c>
      <c r="J110" s="173">
        <f t="shared" si="24"/>
        <v>0</v>
      </c>
    </row>
    <row r="111" spans="1:10" ht="14.95" thickBot="1" x14ac:dyDescent="0.3">
      <c r="A111" s="384" t="s">
        <v>314</v>
      </c>
      <c r="B111" s="391">
        <v>0</v>
      </c>
      <c r="C111" s="385">
        <v>0</v>
      </c>
      <c r="D111" s="386">
        <v>0</v>
      </c>
      <c r="E111" s="387">
        <f t="shared" si="23"/>
        <v>0</v>
      </c>
      <c r="F111" s="171" t="s">
        <v>569</v>
      </c>
      <c r="G111" s="145">
        <v>0</v>
      </c>
      <c r="H111" s="306">
        <v>0</v>
      </c>
      <c r="I111" s="232">
        <v>0</v>
      </c>
      <c r="J111" s="173">
        <f t="shared" si="24"/>
        <v>0</v>
      </c>
    </row>
    <row r="112" spans="1:10" ht="14.95" thickBot="1" x14ac:dyDescent="0.3">
      <c r="A112" s="384" t="s">
        <v>786</v>
      </c>
      <c r="B112" s="391">
        <v>0</v>
      </c>
      <c r="C112" s="385">
        <v>0</v>
      </c>
      <c r="D112" s="386">
        <v>0</v>
      </c>
      <c r="E112" s="387">
        <f t="shared" si="23"/>
        <v>0</v>
      </c>
      <c r="F112" s="171" t="s">
        <v>314</v>
      </c>
      <c r="G112" s="145">
        <v>0</v>
      </c>
      <c r="H112" s="306">
        <v>0</v>
      </c>
      <c r="I112" s="232">
        <v>0</v>
      </c>
      <c r="J112" s="173">
        <f t="shared" si="24"/>
        <v>0</v>
      </c>
    </row>
    <row r="113" spans="1:10" ht="14.95" thickBot="1" x14ac:dyDescent="0.3">
      <c r="A113" s="384" t="s">
        <v>732</v>
      </c>
      <c r="B113" s="391">
        <v>0</v>
      </c>
      <c r="C113" s="385">
        <v>0</v>
      </c>
      <c r="D113" s="386">
        <v>0</v>
      </c>
      <c r="E113" s="387">
        <f t="shared" si="23"/>
        <v>0</v>
      </c>
      <c r="F113" s="171" t="s">
        <v>786</v>
      </c>
      <c r="G113" s="145">
        <v>0</v>
      </c>
      <c r="H113" s="306">
        <v>0</v>
      </c>
      <c r="I113" s="232">
        <v>0</v>
      </c>
      <c r="J113" s="173">
        <f t="shared" si="24"/>
        <v>0</v>
      </c>
    </row>
    <row r="114" spans="1:10" ht="14.95" thickBot="1" x14ac:dyDescent="0.3">
      <c r="A114" s="384" t="s">
        <v>445</v>
      </c>
      <c r="B114" s="391">
        <v>0</v>
      </c>
      <c r="C114" s="385">
        <v>0</v>
      </c>
      <c r="D114" s="386">
        <v>0</v>
      </c>
      <c r="E114" s="387">
        <f t="shared" si="23"/>
        <v>0</v>
      </c>
      <c r="F114" s="171" t="s">
        <v>732</v>
      </c>
      <c r="G114" s="145">
        <v>0</v>
      </c>
      <c r="H114" s="306">
        <v>0</v>
      </c>
      <c r="I114" s="232">
        <v>0</v>
      </c>
      <c r="J114" s="173">
        <f t="shared" si="24"/>
        <v>0</v>
      </c>
    </row>
    <row r="115" spans="1:10" ht="14.95" thickBot="1" x14ac:dyDescent="0.3">
      <c r="A115" s="384" t="s">
        <v>348</v>
      </c>
      <c r="B115" s="391">
        <v>0</v>
      </c>
      <c r="C115" s="385">
        <v>0</v>
      </c>
      <c r="D115" s="386">
        <v>0</v>
      </c>
      <c r="E115" s="387">
        <f t="shared" si="23"/>
        <v>0</v>
      </c>
      <c r="F115" s="171" t="s">
        <v>445</v>
      </c>
      <c r="G115" s="145">
        <v>0</v>
      </c>
      <c r="H115" s="306">
        <v>0</v>
      </c>
      <c r="I115" s="232">
        <v>0</v>
      </c>
      <c r="J115" s="173">
        <f t="shared" si="24"/>
        <v>0</v>
      </c>
    </row>
    <row r="116" spans="1:10" ht="14.95" thickBot="1" x14ac:dyDescent="0.3">
      <c r="A116" s="384" t="s">
        <v>337</v>
      </c>
      <c r="B116" s="391">
        <v>0</v>
      </c>
      <c r="C116" s="385">
        <v>0</v>
      </c>
      <c r="D116" s="386">
        <v>0</v>
      </c>
      <c r="E116" s="387">
        <f t="shared" si="23"/>
        <v>0</v>
      </c>
      <c r="F116" s="171" t="s">
        <v>348</v>
      </c>
      <c r="G116" s="145">
        <v>0</v>
      </c>
      <c r="H116" s="306">
        <v>0</v>
      </c>
      <c r="I116" s="232">
        <v>0</v>
      </c>
      <c r="J116" s="173">
        <f t="shared" si="24"/>
        <v>0</v>
      </c>
    </row>
    <row r="117" spans="1:10" ht="14.95" thickBot="1" x14ac:dyDescent="0.3">
      <c r="A117" s="384" t="s">
        <v>794</v>
      </c>
      <c r="B117" s="391">
        <v>0</v>
      </c>
      <c r="C117" s="385">
        <v>0</v>
      </c>
      <c r="D117" s="386">
        <v>0</v>
      </c>
      <c r="E117" s="387">
        <f t="shared" si="23"/>
        <v>0</v>
      </c>
      <c r="F117" s="171" t="s">
        <v>337</v>
      </c>
      <c r="G117" s="145">
        <v>0</v>
      </c>
      <c r="H117" s="306">
        <v>0</v>
      </c>
      <c r="I117" s="232">
        <v>0</v>
      </c>
      <c r="J117" s="173">
        <f t="shared" si="24"/>
        <v>0</v>
      </c>
    </row>
    <row r="118" spans="1:10" ht="14.95" thickBot="1" x14ac:dyDescent="0.3">
      <c r="A118" s="384" t="s">
        <v>571</v>
      </c>
      <c r="B118" s="391">
        <v>0</v>
      </c>
      <c r="C118" s="385">
        <v>0</v>
      </c>
      <c r="D118" s="386">
        <v>0</v>
      </c>
      <c r="E118" s="387">
        <f t="shared" si="23"/>
        <v>0</v>
      </c>
      <c r="F118" s="171" t="s">
        <v>794</v>
      </c>
      <c r="G118" s="145">
        <v>0</v>
      </c>
      <c r="H118" s="306">
        <v>0</v>
      </c>
      <c r="I118" s="232">
        <v>0</v>
      </c>
      <c r="J118" s="173">
        <f t="shared" si="24"/>
        <v>0</v>
      </c>
    </row>
    <row r="119" spans="1:10" ht="14.95" thickBot="1" x14ac:dyDescent="0.3">
      <c r="A119" s="384" t="s">
        <v>572</v>
      </c>
      <c r="B119" s="391">
        <v>0</v>
      </c>
      <c r="C119" s="385">
        <v>0</v>
      </c>
      <c r="D119" s="386">
        <v>0</v>
      </c>
      <c r="E119" s="387">
        <f t="shared" si="23"/>
        <v>0</v>
      </c>
      <c r="F119" s="171" t="s">
        <v>571</v>
      </c>
      <c r="G119" s="145">
        <v>0</v>
      </c>
      <c r="H119" s="306">
        <v>0</v>
      </c>
      <c r="I119" s="232">
        <v>0</v>
      </c>
      <c r="J119" s="173">
        <f t="shared" si="24"/>
        <v>0</v>
      </c>
    </row>
    <row r="120" spans="1:10" ht="14.95" thickBot="1" x14ac:dyDescent="0.3">
      <c r="A120" s="384" t="s">
        <v>32</v>
      </c>
      <c r="B120" s="391">
        <v>0</v>
      </c>
      <c r="C120" s="385">
        <v>0</v>
      </c>
      <c r="D120" s="386">
        <v>0</v>
      </c>
      <c r="E120" s="387">
        <f t="shared" si="23"/>
        <v>0</v>
      </c>
      <c r="F120" s="171" t="s">
        <v>572</v>
      </c>
      <c r="G120" s="145">
        <v>0</v>
      </c>
      <c r="H120" s="306">
        <v>0</v>
      </c>
      <c r="I120" s="232">
        <v>0</v>
      </c>
      <c r="J120" s="173">
        <f t="shared" si="24"/>
        <v>0</v>
      </c>
    </row>
    <row r="121" spans="1:10" ht="14.95" thickBot="1" x14ac:dyDescent="0.3">
      <c r="A121" s="384" t="s">
        <v>575</v>
      </c>
      <c r="B121" s="391">
        <v>0</v>
      </c>
      <c r="C121" s="385">
        <v>0</v>
      </c>
      <c r="D121" s="386">
        <v>0</v>
      </c>
      <c r="E121" s="387">
        <f t="shared" si="23"/>
        <v>0</v>
      </c>
      <c r="F121" s="171" t="s">
        <v>32</v>
      </c>
      <c r="G121" s="145">
        <v>0</v>
      </c>
      <c r="H121" s="306">
        <v>0</v>
      </c>
      <c r="I121" s="232">
        <v>0</v>
      </c>
      <c r="J121" s="173">
        <f t="shared" si="24"/>
        <v>0</v>
      </c>
    </row>
    <row r="122" spans="1:10" ht="14.95" thickBot="1" x14ac:dyDescent="0.3">
      <c r="A122" s="384" t="s">
        <v>375</v>
      </c>
      <c r="B122" s="391">
        <v>0</v>
      </c>
      <c r="C122" s="385">
        <v>0</v>
      </c>
      <c r="D122" s="386">
        <v>0</v>
      </c>
      <c r="E122" s="387">
        <f t="shared" si="23"/>
        <v>0</v>
      </c>
      <c r="F122" s="171" t="s">
        <v>575</v>
      </c>
      <c r="G122" s="145">
        <v>0</v>
      </c>
      <c r="H122" s="306">
        <v>0</v>
      </c>
      <c r="I122" s="232">
        <v>0</v>
      </c>
      <c r="J122" s="173">
        <f t="shared" si="24"/>
        <v>0</v>
      </c>
    </row>
    <row r="123" spans="1:10" ht="14.95" thickBot="1" x14ac:dyDescent="0.3">
      <c r="A123" s="384" t="s">
        <v>242</v>
      </c>
      <c r="B123" s="391">
        <v>0</v>
      </c>
      <c r="C123" s="385">
        <v>0</v>
      </c>
      <c r="D123" s="386">
        <v>0</v>
      </c>
      <c r="E123" s="387">
        <f t="shared" si="23"/>
        <v>0</v>
      </c>
      <c r="F123" s="171" t="s">
        <v>375</v>
      </c>
      <c r="G123" s="145">
        <v>0</v>
      </c>
      <c r="H123" s="306">
        <v>0</v>
      </c>
      <c r="I123" s="232">
        <v>0</v>
      </c>
      <c r="J123" s="173">
        <f t="shared" si="24"/>
        <v>0</v>
      </c>
    </row>
    <row r="124" spans="1:10" ht="14.95" thickBot="1" x14ac:dyDescent="0.3">
      <c r="A124" s="384" t="s">
        <v>578</v>
      </c>
      <c r="B124" s="391">
        <v>0</v>
      </c>
      <c r="C124" s="385">
        <v>0</v>
      </c>
      <c r="D124" s="386">
        <v>0</v>
      </c>
      <c r="E124" s="387">
        <f t="shared" si="23"/>
        <v>0</v>
      </c>
      <c r="F124" s="171" t="s">
        <v>242</v>
      </c>
      <c r="G124" s="145">
        <v>0</v>
      </c>
      <c r="H124" s="306">
        <v>0</v>
      </c>
      <c r="I124" s="232">
        <v>0</v>
      </c>
      <c r="J124" s="173">
        <f t="shared" si="24"/>
        <v>0</v>
      </c>
    </row>
    <row r="125" spans="1:10" ht="14.95" thickBot="1" x14ac:dyDescent="0.3">
      <c r="A125" s="384" t="s">
        <v>244</v>
      </c>
      <c r="B125" s="391">
        <v>0</v>
      </c>
      <c r="C125" s="385">
        <v>0</v>
      </c>
      <c r="D125" s="386">
        <v>0</v>
      </c>
      <c r="E125" s="387">
        <f t="shared" si="23"/>
        <v>0</v>
      </c>
      <c r="F125" s="171" t="s">
        <v>578</v>
      </c>
      <c r="G125" s="145">
        <v>0</v>
      </c>
      <c r="H125" s="306">
        <v>0</v>
      </c>
      <c r="I125" s="232">
        <v>0</v>
      </c>
      <c r="J125" s="173">
        <f t="shared" si="24"/>
        <v>0</v>
      </c>
    </row>
    <row r="126" spans="1:10" ht="14.95" thickBot="1" x14ac:dyDescent="0.3">
      <c r="A126" s="384" t="s">
        <v>698</v>
      </c>
      <c r="B126" s="391">
        <v>0</v>
      </c>
      <c r="C126" s="385">
        <v>0</v>
      </c>
      <c r="D126" s="386">
        <v>0</v>
      </c>
      <c r="E126" s="387">
        <f t="shared" si="23"/>
        <v>0</v>
      </c>
      <c r="F126" s="171" t="s">
        <v>698</v>
      </c>
      <c r="G126" s="145">
        <v>0</v>
      </c>
      <c r="H126" s="306">
        <v>0</v>
      </c>
      <c r="I126" s="232">
        <v>0</v>
      </c>
      <c r="J126" s="173">
        <f t="shared" si="24"/>
        <v>0</v>
      </c>
    </row>
    <row r="127" spans="1:10" ht="14.95" thickBot="1" x14ac:dyDescent="0.3">
      <c r="A127" s="384" t="s">
        <v>3</v>
      </c>
      <c r="B127" s="391">
        <f>SUM(B67:B126)</f>
        <v>55</v>
      </c>
      <c r="C127" s="385">
        <f>SUM(C67:C126)</f>
        <v>13</v>
      </c>
      <c r="D127" s="386">
        <f>SUM(D67:D126)</f>
        <v>39</v>
      </c>
      <c r="E127" s="387">
        <f t="shared" ref="E127" si="25">SUM(B127:D127)</f>
        <v>107</v>
      </c>
      <c r="F127" s="171" t="s">
        <v>3</v>
      </c>
      <c r="G127" s="145">
        <f>SUM(G67:G126)</f>
        <v>435</v>
      </c>
      <c r="H127" s="306">
        <f>SUM(H67:H126)</f>
        <v>106</v>
      </c>
      <c r="I127" s="232">
        <f>SUM(I67:I126)</f>
        <v>262</v>
      </c>
      <c r="J127" s="173">
        <f t="shared" ref="J127" si="26">SUM(G127:I127)</f>
        <v>803</v>
      </c>
    </row>
    <row r="128" spans="1:10" x14ac:dyDescent="0.25">
      <c r="A128" s="420" t="s">
        <v>57</v>
      </c>
      <c r="B128" s="421"/>
      <c r="C128" s="421"/>
      <c r="D128" s="421"/>
      <c r="E128" s="421"/>
      <c r="F128" s="421"/>
      <c r="G128" s="421"/>
      <c r="H128" s="421"/>
      <c r="I128" s="421"/>
      <c r="J128" s="421"/>
    </row>
    <row r="129" ht="14.45" customHeight="1" x14ac:dyDescent="0.25"/>
  </sheetData>
  <sortState xmlns:xlrd2="http://schemas.microsoft.com/office/spreadsheetml/2017/richdata2" ref="F67:J126">
    <sortCondition descending="1" ref="J67:J126"/>
  </sortState>
  <mergeCells count="56">
    <mergeCell ref="A128:J128"/>
    <mergeCell ref="AH24:AJ25"/>
    <mergeCell ref="AN18:AP19"/>
    <mergeCell ref="O24:Q25"/>
    <mergeCell ref="AB18:AD19"/>
    <mergeCell ref="K34:W34"/>
    <mergeCell ref="K33:AA33"/>
    <mergeCell ref="K24:K25"/>
    <mergeCell ref="K35:W35"/>
    <mergeCell ref="AT12:AV13"/>
    <mergeCell ref="AN1:AP2"/>
    <mergeCell ref="AK1:AM2"/>
    <mergeCell ref="AZ1:BB2"/>
    <mergeCell ref="AW1:AY2"/>
    <mergeCell ref="AT1:AV2"/>
    <mergeCell ref="AQ1:AS2"/>
    <mergeCell ref="AQ12:AS13"/>
    <mergeCell ref="AN12:AP13"/>
    <mergeCell ref="AH1:AJ2"/>
    <mergeCell ref="AH12:AJ13"/>
    <mergeCell ref="AK12:AM13"/>
    <mergeCell ref="U12:W13"/>
    <mergeCell ref="AB1:AD2"/>
    <mergeCell ref="AB12:AD13"/>
    <mergeCell ref="AE12:AG13"/>
    <mergeCell ref="W1:Y2"/>
    <mergeCell ref="AE1:AG2"/>
    <mergeCell ref="BC31:BE32"/>
    <mergeCell ref="R18:T19"/>
    <mergeCell ref="AH18:AJ19"/>
    <mergeCell ref="R24:T25"/>
    <mergeCell ref="L24:N25"/>
    <mergeCell ref="AK24:AM25"/>
    <mergeCell ref="AK18:AM19"/>
    <mergeCell ref="AT18:AV19"/>
    <mergeCell ref="O18:Q19"/>
    <mergeCell ref="AE18:AG19"/>
    <mergeCell ref="U24:W25"/>
    <mergeCell ref="AQ18:AS19"/>
    <mergeCell ref="AE24:AG25"/>
    <mergeCell ref="AQ24:AS25"/>
    <mergeCell ref="AN24:AP25"/>
    <mergeCell ref="U18:W19"/>
    <mergeCell ref="A1:J1"/>
    <mergeCell ref="K12:K13"/>
    <mergeCell ref="AB24:AD25"/>
    <mergeCell ref="K18:K19"/>
    <mergeCell ref="K1:K2"/>
    <mergeCell ref="L18:N19"/>
    <mergeCell ref="L12:N13"/>
    <mergeCell ref="L1:N2"/>
    <mergeCell ref="O12:Q13"/>
    <mergeCell ref="O1:Q2"/>
    <mergeCell ref="T1:V2"/>
    <mergeCell ref="R12:T13"/>
    <mergeCell ref="R1:S2"/>
  </mergeCells>
  <pageMargins left="0.7" right="0.7" top="0.75" bottom="0.75" header="0.3" footer="0.3"/>
  <pageSetup paperSize="9" orientation="portrait" r:id="rId1"/>
  <ignoredErrors>
    <ignoredError sqref="E5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J134"/>
  <sheetViews>
    <sheetView workbookViewId="0">
      <selection activeCell="A134" sqref="A134:J134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6.75" customWidth="1"/>
    <col min="12" max="52" width="5.75" customWidth="1"/>
    <col min="53" max="55" width="5.625" customWidth="1"/>
  </cols>
  <sheetData>
    <row r="1" spans="1:62" ht="14.95" customHeight="1" thickBot="1" x14ac:dyDescent="0.3">
      <c r="A1" s="510" t="s">
        <v>858</v>
      </c>
      <c r="B1" s="511"/>
      <c r="C1" s="511"/>
      <c r="D1" s="511"/>
      <c r="E1" s="511"/>
      <c r="F1" s="511"/>
      <c r="G1" s="511"/>
      <c r="H1" s="511"/>
      <c r="I1" s="511"/>
      <c r="J1" s="512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204"/>
      <c r="AA1" s="163"/>
      <c r="AB1" s="205"/>
      <c r="AC1" s="422" t="s">
        <v>700</v>
      </c>
      <c r="AD1" s="423"/>
      <c r="AE1" s="424"/>
      <c r="AF1" s="422" t="s">
        <v>518</v>
      </c>
      <c r="AG1" s="423"/>
      <c r="AH1" s="424"/>
      <c r="AI1" s="422" t="s">
        <v>356</v>
      </c>
      <c r="AJ1" s="423"/>
      <c r="AK1" s="424"/>
      <c r="AL1" s="422" t="s">
        <v>272</v>
      </c>
      <c r="AM1" s="423"/>
      <c r="AN1" s="424"/>
      <c r="AO1" s="422" t="s">
        <v>115</v>
      </c>
      <c r="AP1" s="423"/>
      <c r="AQ1" s="424"/>
      <c r="AR1" s="422" t="s">
        <v>83</v>
      </c>
      <c r="AS1" s="423"/>
      <c r="AT1" s="424"/>
      <c r="AU1" s="422" t="s">
        <v>78</v>
      </c>
      <c r="AV1" s="423"/>
      <c r="AW1" s="424"/>
      <c r="AX1" s="422" t="s">
        <v>60</v>
      </c>
      <c r="AY1" s="423"/>
      <c r="AZ1" s="424"/>
      <c r="BA1" s="422" t="s">
        <v>73</v>
      </c>
      <c r="BB1" s="423"/>
      <c r="BC1" s="424"/>
      <c r="BE1" s="4"/>
      <c r="BF1" s="4"/>
      <c r="BG1" s="4"/>
      <c r="BJ1" s="4"/>
    </row>
    <row r="2" spans="1:62" ht="14.95" customHeight="1" thickBot="1" x14ac:dyDescent="0.3">
      <c r="A2" s="186" t="s">
        <v>0</v>
      </c>
      <c r="B2" s="116" t="s">
        <v>355</v>
      </c>
      <c r="C2" s="307" t="s">
        <v>43</v>
      </c>
      <c r="D2" s="251" t="s">
        <v>564</v>
      </c>
      <c r="E2" s="109" t="s">
        <v>1</v>
      </c>
      <c r="F2" s="188" t="s">
        <v>2</v>
      </c>
      <c r="G2" s="111" t="s">
        <v>355</v>
      </c>
      <c r="H2" s="291" t="s">
        <v>43</v>
      </c>
      <c r="I2" s="253" t="s">
        <v>564</v>
      </c>
      <c r="J2" s="112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204"/>
      <c r="AA2" s="163"/>
      <c r="AB2" s="205"/>
      <c r="AC2" s="425"/>
      <c r="AD2" s="426"/>
      <c r="AE2" s="427"/>
      <c r="AF2" s="425"/>
      <c r="AG2" s="426"/>
      <c r="AH2" s="427"/>
      <c r="AI2" s="425"/>
      <c r="AJ2" s="426"/>
      <c r="AK2" s="427"/>
      <c r="AL2" s="425"/>
      <c r="AM2" s="426"/>
      <c r="AN2" s="427"/>
      <c r="AO2" s="425"/>
      <c r="AP2" s="426"/>
      <c r="AQ2" s="427"/>
      <c r="AR2" s="425"/>
      <c r="AS2" s="426"/>
      <c r="AT2" s="427"/>
      <c r="AU2" s="425"/>
      <c r="AV2" s="426"/>
      <c r="AW2" s="427"/>
      <c r="AX2" s="425"/>
      <c r="AY2" s="426"/>
      <c r="AZ2" s="427"/>
      <c r="BA2" s="425"/>
      <c r="BB2" s="426"/>
      <c r="BC2" s="427"/>
    </row>
    <row r="3" spans="1:62" ht="14.95" customHeight="1" thickBot="1" x14ac:dyDescent="0.3">
      <c r="A3" s="187" t="s">
        <v>278</v>
      </c>
      <c r="B3" s="78">
        <v>0</v>
      </c>
      <c r="C3" s="308">
        <v>0</v>
      </c>
      <c r="D3" s="252">
        <v>0</v>
      </c>
      <c r="E3" s="5">
        <f t="shared" ref="E3:E66" si="0">SUM(B3:D3)</f>
        <v>0</v>
      </c>
      <c r="F3" s="190" t="s">
        <v>278</v>
      </c>
      <c r="G3" s="79">
        <v>0</v>
      </c>
      <c r="H3" s="292">
        <v>0</v>
      </c>
      <c r="I3" s="254">
        <v>0</v>
      </c>
      <c r="J3" s="64">
        <f t="shared" ref="J3:J66" si="1">SUM(G3:I3)</f>
        <v>0</v>
      </c>
      <c r="K3" s="234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151" t="s">
        <v>74</v>
      </c>
      <c r="X3" s="7" t="s">
        <v>15</v>
      </c>
      <c r="Y3" s="7" t="s">
        <v>16</v>
      </c>
      <c r="Z3" s="94"/>
      <c r="AA3" s="95"/>
      <c r="AB3" s="206"/>
      <c r="AC3" s="151" t="s">
        <v>74</v>
      </c>
      <c r="AD3" s="7" t="s">
        <v>15</v>
      </c>
      <c r="AE3" s="7" t="s">
        <v>16</v>
      </c>
      <c r="AF3" s="151" t="s">
        <v>74</v>
      </c>
      <c r="AG3" s="7" t="s">
        <v>15</v>
      </c>
      <c r="AH3" s="7" t="s">
        <v>16</v>
      </c>
      <c r="AI3" s="151" t="s">
        <v>74</v>
      </c>
      <c r="AJ3" s="7" t="s">
        <v>15</v>
      </c>
      <c r="AK3" s="7" t="s">
        <v>16</v>
      </c>
      <c r="AL3" s="151" t="s">
        <v>74</v>
      </c>
      <c r="AM3" s="7" t="s">
        <v>15</v>
      </c>
      <c r="AN3" s="7" t="s">
        <v>16</v>
      </c>
      <c r="AO3" s="151" t="s">
        <v>74</v>
      </c>
      <c r="AP3" s="7" t="s">
        <v>15</v>
      </c>
      <c r="AQ3" s="7" t="s">
        <v>16</v>
      </c>
      <c r="AR3" s="151" t="s">
        <v>74</v>
      </c>
      <c r="AS3" s="7" t="s">
        <v>15</v>
      </c>
      <c r="AT3" s="7" t="s">
        <v>16</v>
      </c>
      <c r="AU3" s="7" t="s">
        <v>74</v>
      </c>
      <c r="AV3" s="7" t="s">
        <v>15</v>
      </c>
      <c r="AW3" s="7" t="s">
        <v>16</v>
      </c>
      <c r="AX3" s="7" t="s">
        <v>74</v>
      </c>
      <c r="AY3" s="7" t="s">
        <v>15</v>
      </c>
      <c r="AZ3" s="7" t="s">
        <v>16</v>
      </c>
      <c r="BA3" s="7" t="s">
        <v>74</v>
      </c>
      <c r="BB3" s="7" t="s">
        <v>15</v>
      </c>
      <c r="BC3" s="7" t="s">
        <v>16</v>
      </c>
    </row>
    <row r="4" spans="1:62" ht="14.95" customHeight="1" thickBot="1" x14ac:dyDescent="0.3">
      <c r="A4" s="187" t="s">
        <v>988</v>
      </c>
      <c r="B4" s="78">
        <v>0</v>
      </c>
      <c r="C4" s="308">
        <v>1</v>
      </c>
      <c r="D4" s="252">
        <v>0</v>
      </c>
      <c r="E4" s="5">
        <f t="shared" si="0"/>
        <v>1</v>
      </c>
      <c r="F4" s="190" t="s">
        <v>989</v>
      </c>
      <c r="G4" s="79">
        <v>0</v>
      </c>
      <c r="H4" s="292">
        <v>5</v>
      </c>
      <c r="I4" s="254">
        <v>0</v>
      </c>
      <c r="J4" s="64">
        <f t="shared" si="1"/>
        <v>5</v>
      </c>
      <c r="K4" s="187" t="s">
        <v>407</v>
      </c>
      <c r="L4" s="5">
        <v>25</v>
      </c>
      <c r="M4" s="5">
        <v>34</v>
      </c>
      <c r="N4" s="191">
        <f t="shared" ref="N4" si="2">SUM(L4/M4)*100</f>
        <v>73.529411764705884</v>
      </c>
      <c r="O4" s="5">
        <v>2</v>
      </c>
      <c r="P4" s="5">
        <v>2</v>
      </c>
      <c r="Q4" s="191">
        <f t="shared" ref="Q4" si="3">SUM(O4/P4)*100</f>
        <v>100</v>
      </c>
      <c r="R4" s="5">
        <v>3</v>
      </c>
      <c r="S4" s="5">
        <v>3</v>
      </c>
      <c r="T4" s="7">
        <v>54</v>
      </c>
      <c r="U4" s="7">
        <v>66</v>
      </c>
      <c r="V4" s="156">
        <v>81.818181818181827</v>
      </c>
      <c r="W4" s="7">
        <v>22</v>
      </c>
      <c r="X4" s="7">
        <v>27</v>
      </c>
      <c r="Y4" s="156">
        <f>SUM(W4/X4)*100</f>
        <v>81.481481481481481</v>
      </c>
      <c r="Z4" s="94"/>
      <c r="AA4" s="95"/>
      <c r="AB4" s="206"/>
      <c r="AC4" s="151">
        <v>35</v>
      </c>
      <c r="AD4" s="7">
        <v>51</v>
      </c>
      <c r="AE4" s="156">
        <f>SUM(AC4/AD4)*100</f>
        <v>68.627450980392155</v>
      </c>
      <c r="AF4" s="151" t="s">
        <v>21</v>
      </c>
      <c r="AG4" s="7" t="s">
        <v>21</v>
      </c>
      <c r="AH4" s="156" t="s">
        <v>21</v>
      </c>
      <c r="AI4" s="151">
        <v>5</v>
      </c>
      <c r="AJ4" s="7">
        <v>6</v>
      </c>
      <c r="AK4" s="7">
        <v>100</v>
      </c>
      <c r="AL4" s="151" t="s">
        <v>21</v>
      </c>
      <c r="AM4" s="7" t="s">
        <v>21</v>
      </c>
      <c r="AN4" s="156" t="s">
        <v>21</v>
      </c>
      <c r="AO4" s="7" t="s">
        <v>21</v>
      </c>
      <c r="AP4" s="7" t="s">
        <v>21</v>
      </c>
      <c r="AQ4" s="156" t="s">
        <v>21</v>
      </c>
      <c r="AR4" s="7" t="s">
        <v>21</v>
      </c>
      <c r="AS4" s="7" t="s">
        <v>21</v>
      </c>
      <c r="AT4" s="156" t="s">
        <v>21</v>
      </c>
      <c r="AU4" s="7" t="s">
        <v>21</v>
      </c>
      <c r="AV4" s="7" t="s">
        <v>21</v>
      </c>
      <c r="AW4" s="156" t="s">
        <v>21</v>
      </c>
      <c r="AX4" s="7" t="s">
        <v>21</v>
      </c>
      <c r="AY4" s="7" t="s">
        <v>21</v>
      </c>
      <c r="AZ4" s="156" t="s">
        <v>21</v>
      </c>
      <c r="BA4" s="7" t="s">
        <v>21</v>
      </c>
      <c r="BB4" s="7" t="s">
        <v>21</v>
      </c>
      <c r="BC4" s="156" t="s">
        <v>21</v>
      </c>
    </row>
    <row r="5" spans="1:62" ht="14.95" customHeight="1" thickBot="1" x14ac:dyDescent="0.3">
      <c r="A5" s="187" t="s">
        <v>724</v>
      </c>
      <c r="B5" s="78">
        <v>0</v>
      </c>
      <c r="C5" s="308">
        <v>0</v>
      </c>
      <c r="D5" s="252">
        <v>0</v>
      </c>
      <c r="E5" s="5">
        <f t="shared" si="0"/>
        <v>0</v>
      </c>
      <c r="F5" s="190" t="s">
        <v>724</v>
      </c>
      <c r="G5" s="79">
        <v>0</v>
      </c>
      <c r="H5" s="292">
        <v>0</v>
      </c>
      <c r="I5" s="254">
        <v>0</v>
      </c>
      <c r="J5" s="64">
        <f t="shared" si="1"/>
        <v>0</v>
      </c>
      <c r="K5" s="187" t="s">
        <v>939</v>
      </c>
      <c r="L5" s="5">
        <v>7</v>
      </c>
      <c r="M5" s="5">
        <v>10</v>
      </c>
      <c r="N5" s="191">
        <f t="shared" ref="N5:N6" si="4">SUM(L5/M5)*100</f>
        <v>70</v>
      </c>
      <c r="O5" s="5" t="s">
        <v>21</v>
      </c>
      <c r="P5" s="5" t="s">
        <v>21</v>
      </c>
      <c r="Q5" s="191" t="s">
        <v>21</v>
      </c>
      <c r="R5" s="5">
        <v>2</v>
      </c>
      <c r="S5" s="5">
        <v>2</v>
      </c>
      <c r="T5" s="7">
        <v>5</v>
      </c>
      <c r="U5" s="7">
        <v>6</v>
      </c>
      <c r="V5" s="156">
        <v>83.333333333333343</v>
      </c>
      <c r="W5" s="7">
        <v>3</v>
      </c>
      <c r="X5" s="7">
        <v>5</v>
      </c>
      <c r="Y5" s="156">
        <v>60</v>
      </c>
      <c r="Z5" s="94"/>
      <c r="AA5" s="95"/>
      <c r="AB5" s="206"/>
      <c r="AC5" s="151">
        <v>2</v>
      </c>
      <c r="AD5" s="7">
        <v>2</v>
      </c>
      <c r="AE5" s="156">
        <v>100</v>
      </c>
      <c r="AF5" s="151"/>
      <c r="AG5" s="7"/>
      <c r="AH5" s="156"/>
      <c r="AI5" s="151"/>
      <c r="AJ5" s="7"/>
      <c r="AK5" s="7"/>
      <c r="AL5" s="151"/>
      <c r="AM5" s="7"/>
      <c r="AN5" s="156"/>
      <c r="AO5" s="7"/>
      <c r="AP5" s="7"/>
      <c r="AQ5" s="156"/>
      <c r="AR5" s="7"/>
      <c r="AS5" s="7"/>
      <c r="AT5" s="156"/>
      <c r="AU5" s="7"/>
      <c r="AV5" s="7"/>
      <c r="AW5" s="156"/>
      <c r="AX5" s="7"/>
      <c r="AY5" s="7"/>
      <c r="AZ5" s="156"/>
      <c r="BA5" s="7"/>
      <c r="BB5" s="7"/>
      <c r="BC5" s="156"/>
    </row>
    <row r="6" spans="1:62" ht="14.95" customHeight="1" thickBot="1" x14ac:dyDescent="0.3">
      <c r="A6" s="187" t="s">
        <v>390</v>
      </c>
      <c r="B6" s="78">
        <v>6</v>
      </c>
      <c r="C6" s="308">
        <v>1</v>
      </c>
      <c r="D6" s="252">
        <v>1</v>
      </c>
      <c r="E6" s="5">
        <f t="shared" si="0"/>
        <v>8</v>
      </c>
      <c r="F6" s="190" t="s">
        <v>390</v>
      </c>
      <c r="G6" s="79">
        <v>30</v>
      </c>
      <c r="H6" s="292">
        <v>5</v>
      </c>
      <c r="I6" s="254">
        <v>5</v>
      </c>
      <c r="J6" s="64">
        <f t="shared" si="1"/>
        <v>40</v>
      </c>
      <c r="K6" s="187" t="s">
        <v>12</v>
      </c>
      <c r="L6" s="5">
        <v>6</v>
      </c>
      <c r="M6" s="5">
        <v>6</v>
      </c>
      <c r="N6" s="191">
        <f t="shared" si="4"/>
        <v>100</v>
      </c>
      <c r="O6" s="5" t="s">
        <v>21</v>
      </c>
      <c r="P6" s="5" t="s">
        <v>21</v>
      </c>
      <c r="Q6" s="191" t="s">
        <v>21</v>
      </c>
      <c r="R6" s="5">
        <v>6</v>
      </c>
      <c r="S6" s="5">
        <v>19</v>
      </c>
      <c r="T6" s="7" t="s">
        <v>21</v>
      </c>
      <c r="U6" s="7" t="s">
        <v>21</v>
      </c>
      <c r="V6" s="7" t="s">
        <v>21</v>
      </c>
      <c r="W6" s="7" t="s">
        <v>21</v>
      </c>
      <c r="X6" s="7" t="s">
        <v>21</v>
      </c>
      <c r="Y6" s="7" t="s">
        <v>21</v>
      </c>
      <c r="Z6" s="94"/>
      <c r="AA6" s="95"/>
      <c r="AB6" s="206"/>
      <c r="AC6" s="151" t="s">
        <v>21</v>
      </c>
      <c r="AD6" s="7" t="s">
        <v>21</v>
      </c>
      <c r="AE6" s="7" t="s">
        <v>21</v>
      </c>
      <c r="AF6" s="151" t="s">
        <v>21</v>
      </c>
      <c r="AG6" s="7" t="s">
        <v>21</v>
      </c>
      <c r="AH6" s="156" t="s">
        <v>21</v>
      </c>
      <c r="AI6" s="151" t="s">
        <v>21</v>
      </c>
      <c r="AJ6" s="7" t="s">
        <v>21</v>
      </c>
      <c r="AK6" s="156" t="s">
        <v>21</v>
      </c>
      <c r="AL6" s="151" t="s">
        <v>21</v>
      </c>
      <c r="AM6" s="7" t="s">
        <v>21</v>
      </c>
      <c r="AN6" s="156" t="s">
        <v>21</v>
      </c>
      <c r="AO6" s="151" t="s">
        <v>21</v>
      </c>
      <c r="AP6" s="7" t="s">
        <v>21</v>
      </c>
      <c r="AQ6" s="156" t="s">
        <v>21</v>
      </c>
      <c r="AR6" s="7" t="s">
        <v>21</v>
      </c>
      <c r="AS6" s="7" t="s">
        <v>21</v>
      </c>
      <c r="AT6" s="156" t="s">
        <v>21</v>
      </c>
      <c r="AU6" s="7" t="s">
        <v>21</v>
      </c>
      <c r="AV6" s="7" t="s">
        <v>21</v>
      </c>
      <c r="AW6" s="156" t="s">
        <v>21</v>
      </c>
      <c r="AX6" s="7" t="s">
        <v>21</v>
      </c>
      <c r="AY6" s="7" t="s">
        <v>21</v>
      </c>
      <c r="AZ6" s="156" t="s">
        <v>21</v>
      </c>
      <c r="BA6" s="7" t="s">
        <v>21</v>
      </c>
      <c r="BB6" s="7" t="s">
        <v>21</v>
      </c>
      <c r="BC6" s="156" t="s">
        <v>21</v>
      </c>
    </row>
    <row r="7" spans="1:62" ht="14.95" customHeight="1" thickBot="1" x14ac:dyDescent="0.3">
      <c r="A7" s="187" t="s">
        <v>392</v>
      </c>
      <c r="B7" s="78">
        <v>0</v>
      </c>
      <c r="C7" s="308">
        <v>0</v>
      </c>
      <c r="D7" s="252">
        <v>0</v>
      </c>
      <c r="E7" s="5">
        <f t="shared" si="0"/>
        <v>0</v>
      </c>
      <c r="F7" s="190" t="s">
        <v>392</v>
      </c>
      <c r="G7" s="79">
        <v>0</v>
      </c>
      <c r="H7" s="292">
        <v>0</v>
      </c>
      <c r="I7" s="254">
        <v>0</v>
      </c>
      <c r="J7" s="64">
        <f t="shared" si="1"/>
        <v>0</v>
      </c>
      <c r="K7" s="187" t="s">
        <v>420</v>
      </c>
      <c r="L7" s="5" t="s">
        <v>21</v>
      </c>
      <c r="M7" s="5" t="s">
        <v>21</v>
      </c>
      <c r="N7" s="5" t="s">
        <v>21</v>
      </c>
      <c r="O7" s="5" t="s">
        <v>21</v>
      </c>
      <c r="P7" s="5" t="s">
        <v>21</v>
      </c>
      <c r="Q7" s="191" t="s">
        <v>21</v>
      </c>
      <c r="R7" s="5" t="s">
        <v>26</v>
      </c>
      <c r="S7" s="5">
        <v>1</v>
      </c>
      <c r="T7" s="7" t="s">
        <v>21</v>
      </c>
      <c r="U7" s="7" t="s">
        <v>21</v>
      </c>
      <c r="V7" s="7" t="s">
        <v>21</v>
      </c>
      <c r="W7" s="7" t="s">
        <v>21</v>
      </c>
      <c r="X7" s="7" t="s">
        <v>21</v>
      </c>
      <c r="Y7" s="7" t="s">
        <v>21</v>
      </c>
      <c r="Z7" s="94"/>
      <c r="AA7" s="95"/>
      <c r="AB7" s="206"/>
      <c r="AC7" s="151" t="s">
        <v>21</v>
      </c>
      <c r="AD7" s="7" t="s">
        <v>21</v>
      </c>
      <c r="AE7" s="7" t="s">
        <v>21</v>
      </c>
      <c r="AF7" s="151" t="s">
        <v>21</v>
      </c>
      <c r="AG7" s="7" t="s">
        <v>21</v>
      </c>
      <c r="AH7" s="7" t="s">
        <v>21</v>
      </c>
      <c r="AI7" s="151" t="s">
        <v>21</v>
      </c>
      <c r="AJ7" s="7" t="s">
        <v>21</v>
      </c>
      <c r="AK7" s="7" t="s">
        <v>21</v>
      </c>
      <c r="AL7" s="151" t="s">
        <v>21</v>
      </c>
      <c r="AM7" s="7" t="s">
        <v>21</v>
      </c>
      <c r="AN7" s="156" t="s">
        <v>21</v>
      </c>
      <c r="AO7" s="7" t="s">
        <v>21</v>
      </c>
      <c r="AP7" s="7" t="s">
        <v>21</v>
      </c>
      <c r="AQ7" s="156" t="s">
        <v>21</v>
      </c>
      <c r="AR7" s="7" t="s">
        <v>21</v>
      </c>
      <c r="AS7" s="7" t="s">
        <v>21</v>
      </c>
      <c r="AT7" s="156" t="s">
        <v>21</v>
      </c>
      <c r="AU7" s="7" t="s">
        <v>21</v>
      </c>
      <c r="AV7" s="7" t="s">
        <v>21</v>
      </c>
      <c r="AW7" s="156" t="s">
        <v>21</v>
      </c>
      <c r="AX7" s="7" t="s">
        <v>21</v>
      </c>
      <c r="AY7" s="7" t="s">
        <v>21</v>
      </c>
      <c r="AZ7" s="156" t="s">
        <v>21</v>
      </c>
      <c r="BA7" s="7" t="s">
        <v>21</v>
      </c>
      <c r="BB7" s="7" t="s">
        <v>21</v>
      </c>
      <c r="BC7" s="156" t="s">
        <v>21</v>
      </c>
    </row>
    <row r="8" spans="1:62" ht="14.95" customHeight="1" thickBot="1" x14ac:dyDescent="0.3">
      <c r="A8" s="187" t="s">
        <v>9</v>
      </c>
      <c r="B8" s="78">
        <v>1</v>
      </c>
      <c r="C8" s="308">
        <v>0</v>
      </c>
      <c r="D8" s="252">
        <v>2</v>
      </c>
      <c r="E8" s="5">
        <f t="shared" si="0"/>
        <v>3</v>
      </c>
      <c r="F8" s="190" t="s">
        <v>9</v>
      </c>
      <c r="G8" s="79">
        <v>5</v>
      </c>
      <c r="H8" s="292">
        <v>0</v>
      </c>
      <c r="I8" s="254">
        <v>10</v>
      </c>
      <c r="J8" s="64">
        <f t="shared" si="1"/>
        <v>15</v>
      </c>
      <c r="K8" s="187" t="s">
        <v>98</v>
      </c>
      <c r="L8" s="5" t="s">
        <v>21</v>
      </c>
      <c r="M8" s="5" t="s">
        <v>21</v>
      </c>
      <c r="N8" s="191" t="s">
        <v>21</v>
      </c>
      <c r="O8" s="5" t="s">
        <v>21</v>
      </c>
      <c r="P8" s="5" t="s">
        <v>21</v>
      </c>
      <c r="Q8" s="191" t="s">
        <v>21</v>
      </c>
      <c r="R8" s="5">
        <v>-1</v>
      </c>
      <c r="S8" s="5">
        <v>-1</v>
      </c>
      <c r="T8" s="7" t="s">
        <v>21</v>
      </c>
      <c r="U8" s="7" t="s">
        <v>21</v>
      </c>
      <c r="V8" s="156" t="s">
        <v>21</v>
      </c>
      <c r="W8" s="7" t="s">
        <v>21</v>
      </c>
      <c r="X8" s="7" t="s">
        <v>21</v>
      </c>
      <c r="Y8" s="156" t="s">
        <v>21</v>
      </c>
      <c r="Z8" s="94"/>
      <c r="AA8" s="95"/>
      <c r="AB8" s="206"/>
      <c r="AC8" s="151" t="s">
        <v>21</v>
      </c>
      <c r="AD8" s="7" t="s">
        <v>21</v>
      </c>
      <c r="AE8" s="156" t="s">
        <v>21</v>
      </c>
      <c r="AF8" s="151" t="s">
        <v>21</v>
      </c>
      <c r="AG8" s="7" t="s">
        <v>21</v>
      </c>
      <c r="AH8" s="156" t="s">
        <v>21</v>
      </c>
      <c r="AI8" s="151">
        <v>0</v>
      </c>
      <c r="AJ8" s="7">
        <v>1</v>
      </c>
      <c r="AK8" s="7">
        <v>0</v>
      </c>
      <c r="AL8" s="151" t="s">
        <v>21</v>
      </c>
      <c r="AM8" s="7" t="s">
        <v>21</v>
      </c>
      <c r="AN8" s="156" t="s">
        <v>21</v>
      </c>
      <c r="AO8" s="7" t="s">
        <v>21</v>
      </c>
      <c r="AP8" s="7" t="s">
        <v>21</v>
      </c>
      <c r="AQ8" s="156" t="s">
        <v>21</v>
      </c>
      <c r="AR8" s="7" t="s">
        <v>21</v>
      </c>
      <c r="AS8" s="7" t="s">
        <v>21</v>
      </c>
      <c r="AT8" s="156" t="s">
        <v>21</v>
      </c>
      <c r="AU8" s="7" t="s">
        <v>21</v>
      </c>
      <c r="AV8" s="7" t="s">
        <v>21</v>
      </c>
      <c r="AW8" s="156" t="s">
        <v>21</v>
      </c>
      <c r="AX8" s="7" t="s">
        <v>21</v>
      </c>
      <c r="AY8" s="7" t="s">
        <v>21</v>
      </c>
      <c r="AZ8" s="156" t="s">
        <v>21</v>
      </c>
      <c r="BA8" s="7" t="s">
        <v>21</v>
      </c>
      <c r="BB8" s="7" t="s">
        <v>21</v>
      </c>
      <c r="BC8" s="156" t="s">
        <v>21</v>
      </c>
    </row>
    <row r="9" spans="1:62" ht="14.95" customHeight="1" thickBot="1" x14ac:dyDescent="0.3">
      <c r="A9" s="187" t="s">
        <v>350</v>
      </c>
      <c r="B9" s="78">
        <v>2</v>
      </c>
      <c r="C9" s="308">
        <v>0</v>
      </c>
      <c r="D9" s="252">
        <v>0</v>
      </c>
      <c r="E9" s="5">
        <f t="shared" si="0"/>
        <v>2</v>
      </c>
      <c r="F9" s="190" t="s">
        <v>350</v>
      </c>
      <c r="G9" s="79">
        <v>10</v>
      </c>
      <c r="H9" s="292">
        <v>0</v>
      </c>
      <c r="I9" s="254">
        <v>0</v>
      </c>
      <c r="J9" s="64">
        <f t="shared" si="1"/>
        <v>10</v>
      </c>
      <c r="K9" s="187" t="s">
        <v>726</v>
      </c>
      <c r="L9" s="5">
        <v>1</v>
      </c>
      <c r="M9" s="5">
        <v>4</v>
      </c>
      <c r="N9" s="191">
        <f t="shared" ref="N9" si="5">SUM(L9/M9)*100</f>
        <v>25</v>
      </c>
      <c r="O9" s="5" t="s">
        <v>21</v>
      </c>
      <c r="P9" s="5" t="s">
        <v>21</v>
      </c>
      <c r="Q9" s="191" t="s">
        <v>21</v>
      </c>
      <c r="R9" s="5">
        <v>1</v>
      </c>
      <c r="S9" s="5">
        <v>1</v>
      </c>
      <c r="T9" s="7">
        <v>0</v>
      </c>
      <c r="U9" s="7">
        <v>1</v>
      </c>
      <c r="V9" s="156">
        <v>0</v>
      </c>
      <c r="W9" s="7">
        <v>4</v>
      </c>
      <c r="X9" s="7">
        <v>6</v>
      </c>
      <c r="Y9" s="156">
        <v>67</v>
      </c>
      <c r="Z9" s="94"/>
      <c r="AA9" s="95"/>
      <c r="AB9" s="206"/>
      <c r="AC9" s="151">
        <v>11</v>
      </c>
      <c r="AD9" s="7">
        <v>17</v>
      </c>
      <c r="AE9" s="156">
        <v>65</v>
      </c>
      <c r="AF9" s="151" t="s">
        <v>21</v>
      </c>
      <c r="AG9" s="7" t="s">
        <v>21</v>
      </c>
      <c r="AH9" s="156" t="s">
        <v>21</v>
      </c>
      <c r="AI9" s="151" t="s">
        <v>21</v>
      </c>
      <c r="AJ9" s="7" t="s">
        <v>21</v>
      </c>
      <c r="AK9" s="156" t="s">
        <v>21</v>
      </c>
      <c r="AL9" s="151" t="s">
        <v>21</v>
      </c>
      <c r="AM9" s="7" t="s">
        <v>21</v>
      </c>
      <c r="AN9" s="156" t="s">
        <v>21</v>
      </c>
      <c r="AO9" s="7" t="s">
        <v>21</v>
      </c>
      <c r="AP9" s="7" t="s">
        <v>21</v>
      </c>
      <c r="AQ9" s="156" t="s">
        <v>21</v>
      </c>
      <c r="AR9" s="7" t="s">
        <v>21</v>
      </c>
      <c r="AS9" s="7" t="s">
        <v>21</v>
      </c>
      <c r="AT9" s="156" t="s">
        <v>21</v>
      </c>
      <c r="AU9" s="7" t="s">
        <v>21</v>
      </c>
      <c r="AV9" s="7" t="s">
        <v>21</v>
      </c>
      <c r="AW9" s="156" t="s">
        <v>21</v>
      </c>
      <c r="AX9" s="7" t="s">
        <v>21</v>
      </c>
      <c r="AY9" s="7" t="s">
        <v>21</v>
      </c>
      <c r="AZ9" s="156" t="s">
        <v>21</v>
      </c>
      <c r="BA9" s="7" t="s">
        <v>21</v>
      </c>
      <c r="BB9" s="7" t="s">
        <v>21</v>
      </c>
      <c r="BC9" s="156" t="s">
        <v>21</v>
      </c>
    </row>
    <row r="10" spans="1:62" ht="14.95" customHeight="1" thickBot="1" x14ac:dyDescent="0.3">
      <c r="A10" s="187" t="s">
        <v>1026</v>
      </c>
      <c r="B10" s="78">
        <v>1</v>
      </c>
      <c r="C10" s="308">
        <v>0</v>
      </c>
      <c r="D10" s="252">
        <v>0</v>
      </c>
      <c r="E10" s="5">
        <f t="shared" si="0"/>
        <v>1</v>
      </c>
      <c r="F10" s="190" t="s">
        <v>1026</v>
      </c>
      <c r="G10" s="79">
        <v>5</v>
      </c>
      <c r="H10" s="292">
        <v>0</v>
      </c>
      <c r="I10" s="254">
        <v>0</v>
      </c>
      <c r="J10" s="64">
        <f t="shared" si="1"/>
        <v>5</v>
      </c>
      <c r="K10" s="56"/>
      <c r="L10" s="53"/>
      <c r="M10" s="52"/>
      <c r="N10" s="52"/>
      <c r="O10" s="53"/>
      <c r="P10" s="52"/>
      <c r="Q10" s="54"/>
      <c r="R10" s="55"/>
      <c r="S10" s="36"/>
      <c r="T10" s="36"/>
      <c r="U10" s="36"/>
      <c r="V10" s="36"/>
      <c r="W10" s="52"/>
      <c r="X10" s="52"/>
      <c r="Y10" s="52"/>
    </row>
    <row r="11" spans="1:62" ht="14.95" customHeight="1" thickBot="1" x14ac:dyDescent="0.3">
      <c r="A11" s="187" t="s">
        <v>394</v>
      </c>
      <c r="B11" s="78">
        <v>1</v>
      </c>
      <c r="C11" s="308">
        <v>1</v>
      </c>
      <c r="D11" s="252">
        <v>0</v>
      </c>
      <c r="E11" s="5">
        <f t="shared" si="0"/>
        <v>2</v>
      </c>
      <c r="F11" s="190" t="s">
        <v>394</v>
      </c>
      <c r="G11" s="79">
        <v>5</v>
      </c>
      <c r="H11" s="292">
        <v>5</v>
      </c>
      <c r="I11" s="254">
        <v>0</v>
      </c>
      <c r="J11" s="64">
        <f t="shared" si="1"/>
        <v>10</v>
      </c>
      <c r="K11" s="442" t="s">
        <v>303</v>
      </c>
      <c r="L11" s="436" t="s">
        <v>20</v>
      </c>
      <c r="M11" s="437"/>
      <c r="N11" s="438"/>
      <c r="O11" s="422" t="s">
        <v>365</v>
      </c>
      <c r="P11" s="423"/>
      <c r="Q11" s="424"/>
      <c r="R11" s="422" t="s">
        <v>854</v>
      </c>
      <c r="S11" s="423"/>
      <c r="T11" s="424"/>
      <c r="U11" s="422" t="s">
        <v>700</v>
      </c>
      <c r="V11" s="423"/>
      <c r="W11" s="424"/>
      <c r="X11" s="163"/>
      <c r="Y11" s="163"/>
      <c r="Z11" s="163"/>
      <c r="AC11" s="422" t="s">
        <v>518</v>
      </c>
      <c r="AD11" s="423"/>
      <c r="AE11" s="424"/>
      <c r="AF11" s="422" t="s">
        <v>356</v>
      </c>
      <c r="AG11" s="423"/>
      <c r="AH11" s="424"/>
      <c r="AI11" s="422" t="s">
        <v>272</v>
      </c>
      <c r="AJ11" s="423"/>
      <c r="AK11" s="424"/>
      <c r="AL11" s="422" t="s">
        <v>115</v>
      </c>
      <c r="AM11" s="423"/>
      <c r="AN11" s="424"/>
      <c r="AO11" s="422" t="s">
        <v>83</v>
      </c>
      <c r="AP11" s="423"/>
      <c r="AQ11" s="424"/>
      <c r="AR11" s="422" t="s">
        <v>78</v>
      </c>
      <c r="AS11" s="423"/>
      <c r="AT11" s="424"/>
      <c r="AU11" s="422" t="s">
        <v>89</v>
      </c>
      <c r="AV11" s="423"/>
      <c r="AW11" s="424"/>
    </row>
    <row r="12" spans="1:62" ht="14.95" customHeight="1" thickBot="1" x14ac:dyDescent="0.3">
      <c r="A12" s="187" t="s">
        <v>397</v>
      </c>
      <c r="B12" s="78">
        <v>0</v>
      </c>
      <c r="C12" s="308">
        <v>0</v>
      </c>
      <c r="D12" s="252">
        <v>0</v>
      </c>
      <c r="E12" s="5">
        <f t="shared" si="0"/>
        <v>0</v>
      </c>
      <c r="F12" s="190" t="s">
        <v>397</v>
      </c>
      <c r="G12" s="79">
        <v>0</v>
      </c>
      <c r="H12" s="292">
        <v>0</v>
      </c>
      <c r="I12" s="254">
        <v>0</v>
      </c>
      <c r="J12" s="64">
        <f t="shared" si="1"/>
        <v>0</v>
      </c>
      <c r="K12" s="443"/>
      <c r="L12" s="439"/>
      <c r="M12" s="440"/>
      <c r="N12" s="441"/>
      <c r="O12" s="425"/>
      <c r="P12" s="426"/>
      <c r="Q12" s="427"/>
      <c r="R12" s="425"/>
      <c r="S12" s="426"/>
      <c r="T12" s="427"/>
      <c r="U12" s="425"/>
      <c r="V12" s="426"/>
      <c r="W12" s="427"/>
      <c r="X12" s="163"/>
      <c r="Y12" s="163"/>
      <c r="Z12" s="163"/>
      <c r="AC12" s="425"/>
      <c r="AD12" s="426"/>
      <c r="AE12" s="427"/>
      <c r="AF12" s="425"/>
      <c r="AG12" s="426"/>
      <c r="AH12" s="427"/>
      <c r="AI12" s="425"/>
      <c r="AJ12" s="426"/>
      <c r="AK12" s="427"/>
      <c r="AL12" s="425"/>
      <c r="AM12" s="426"/>
      <c r="AN12" s="427"/>
      <c r="AO12" s="425"/>
      <c r="AP12" s="426"/>
      <c r="AQ12" s="427"/>
      <c r="AR12" s="425"/>
      <c r="AS12" s="426"/>
      <c r="AT12" s="427"/>
      <c r="AU12" s="425"/>
      <c r="AV12" s="426"/>
      <c r="AW12" s="427"/>
    </row>
    <row r="13" spans="1:62" ht="14.95" customHeight="1" thickBot="1" x14ac:dyDescent="0.3">
      <c r="A13" s="187" t="s">
        <v>407</v>
      </c>
      <c r="B13" s="78">
        <v>1</v>
      </c>
      <c r="C13" s="308">
        <v>0</v>
      </c>
      <c r="D13" s="252">
        <v>0</v>
      </c>
      <c r="E13" s="5">
        <f t="shared" si="0"/>
        <v>1</v>
      </c>
      <c r="F13" s="190" t="s">
        <v>407</v>
      </c>
      <c r="G13" s="79">
        <v>68</v>
      </c>
      <c r="H13" s="292">
        <v>16</v>
      </c>
      <c r="I13" s="254">
        <v>23</v>
      </c>
      <c r="J13" s="64">
        <f t="shared" si="1"/>
        <v>107</v>
      </c>
      <c r="K13" s="272" t="s">
        <v>30</v>
      </c>
      <c r="L13" s="3" t="s">
        <v>74</v>
      </c>
      <c r="M13" s="3" t="s">
        <v>15</v>
      </c>
      <c r="N13" s="3" t="s">
        <v>16</v>
      </c>
      <c r="O13" s="7" t="s">
        <v>74</v>
      </c>
      <c r="P13" s="7" t="s">
        <v>15</v>
      </c>
      <c r="Q13" s="7" t="s">
        <v>16</v>
      </c>
      <c r="R13" s="7" t="s">
        <v>74</v>
      </c>
      <c r="S13" s="7" t="s">
        <v>15</v>
      </c>
      <c r="T13" s="7" t="s">
        <v>16</v>
      </c>
      <c r="U13" s="7" t="s">
        <v>74</v>
      </c>
      <c r="V13" s="7" t="s">
        <v>15</v>
      </c>
      <c r="W13" s="7" t="s">
        <v>16</v>
      </c>
      <c r="AC13" s="85" t="s">
        <v>74</v>
      </c>
      <c r="AD13" s="80" t="s">
        <v>15</v>
      </c>
      <c r="AE13" s="80" t="s">
        <v>16</v>
      </c>
      <c r="AF13" s="151" t="s">
        <v>74</v>
      </c>
      <c r="AG13" s="7" t="s">
        <v>15</v>
      </c>
      <c r="AH13" s="7" t="s">
        <v>16</v>
      </c>
      <c r="AI13" s="151" t="s">
        <v>74</v>
      </c>
      <c r="AJ13" s="7" t="s">
        <v>15</v>
      </c>
      <c r="AK13" s="7" t="s">
        <v>16</v>
      </c>
      <c r="AL13" s="151" t="s">
        <v>74</v>
      </c>
      <c r="AM13" s="7" t="s">
        <v>15</v>
      </c>
      <c r="AN13" s="7" t="s">
        <v>16</v>
      </c>
      <c r="AO13" s="151" t="s">
        <v>74</v>
      </c>
      <c r="AP13" s="7" t="s">
        <v>15</v>
      </c>
      <c r="AQ13" s="7" t="s">
        <v>16</v>
      </c>
      <c r="AR13" s="151" t="s">
        <v>74</v>
      </c>
      <c r="AS13" s="7" t="s">
        <v>15</v>
      </c>
      <c r="AT13" s="7" t="s">
        <v>16</v>
      </c>
      <c r="AU13" s="151" t="s">
        <v>74</v>
      </c>
      <c r="AV13" s="7" t="s">
        <v>15</v>
      </c>
      <c r="AW13" s="7" t="s">
        <v>16</v>
      </c>
    </row>
    <row r="14" spans="1:62" ht="14.95" customHeight="1" thickBot="1" x14ac:dyDescent="0.3">
      <c r="A14" s="187" t="s">
        <v>398</v>
      </c>
      <c r="B14" s="78">
        <v>0</v>
      </c>
      <c r="C14" s="308">
        <v>0</v>
      </c>
      <c r="D14" s="252">
        <v>0</v>
      </c>
      <c r="E14" s="5">
        <f t="shared" si="0"/>
        <v>0</v>
      </c>
      <c r="F14" s="190" t="s">
        <v>398</v>
      </c>
      <c r="G14" s="79">
        <v>0</v>
      </c>
      <c r="H14" s="292">
        <v>0</v>
      </c>
      <c r="I14" s="254">
        <v>0</v>
      </c>
      <c r="J14" s="64">
        <f t="shared" si="1"/>
        <v>0</v>
      </c>
      <c r="K14" s="187" t="s">
        <v>407</v>
      </c>
      <c r="L14" s="5">
        <v>6</v>
      </c>
      <c r="M14" s="5">
        <v>8</v>
      </c>
      <c r="N14" s="191">
        <f t="shared" ref="N14:N15" si="6">SUM(L14/M14)*100</f>
        <v>75</v>
      </c>
      <c r="O14" s="7" t="s">
        <v>21</v>
      </c>
      <c r="P14" s="7" t="s">
        <v>21</v>
      </c>
      <c r="Q14" s="156" t="s">
        <v>21</v>
      </c>
      <c r="R14" s="7">
        <v>7</v>
      </c>
      <c r="S14" s="7">
        <v>10</v>
      </c>
      <c r="T14" s="156">
        <f t="shared" ref="T14" si="7">SUM(R14/S14)*100</f>
        <v>70</v>
      </c>
      <c r="U14" s="7">
        <v>9</v>
      </c>
      <c r="V14" s="7">
        <v>13</v>
      </c>
      <c r="W14" s="156">
        <f>SUM(U14/V14)*100</f>
        <v>69.230769230769226</v>
      </c>
      <c r="AC14" s="151" t="s">
        <v>21</v>
      </c>
      <c r="AD14" s="7" t="s">
        <v>21</v>
      </c>
      <c r="AE14" s="7" t="s">
        <v>21</v>
      </c>
      <c r="AF14" s="151" t="s">
        <v>21</v>
      </c>
      <c r="AG14" s="7" t="s">
        <v>21</v>
      </c>
      <c r="AH14" s="7" t="s">
        <v>21</v>
      </c>
      <c r="AI14" s="151" t="s">
        <v>21</v>
      </c>
      <c r="AJ14" s="7" t="s">
        <v>21</v>
      </c>
      <c r="AK14" s="7" t="s">
        <v>21</v>
      </c>
      <c r="AL14" s="151">
        <v>1</v>
      </c>
      <c r="AM14" s="7">
        <v>2</v>
      </c>
      <c r="AN14" s="156">
        <f>SUM(AL14/AM14)*100</f>
        <v>50</v>
      </c>
      <c r="AO14" s="6" t="s">
        <v>21</v>
      </c>
      <c r="AP14" s="7" t="s">
        <v>21</v>
      </c>
      <c r="AQ14" s="7" t="s">
        <v>21</v>
      </c>
      <c r="AR14" s="7" t="s">
        <v>21</v>
      </c>
      <c r="AS14" s="7" t="s">
        <v>21</v>
      </c>
      <c r="AT14" s="7" t="s">
        <v>21</v>
      </c>
      <c r="AU14" s="7" t="s">
        <v>21</v>
      </c>
      <c r="AV14" s="7" t="s">
        <v>21</v>
      </c>
      <c r="AW14" s="7" t="s">
        <v>21</v>
      </c>
    </row>
    <row r="15" spans="1:62" ht="14.95" customHeight="1" thickBot="1" x14ac:dyDescent="0.3">
      <c r="A15" s="187" t="s">
        <v>580</v>
      </c>
      <c r="B15" s="78">
        <v>0</v>
      </c>
      <c r="C15" s="308">
        <v>0</v>
      </c>
      <c r="D15" s="252">
        <v>0</v>
      </c>
      <c r="E15" s="5">
        <f t="shared" si="0"/>
        <v>0</v>
      </c>
      <c r="F15" s="190" t="s">
        <v>580</v>
      </c>
      <c r="G15" s="79">
        <v>0</v>
      </c>
      <c r="H15" s="292">
        <v>0</v>
      </c>
      <c r="I15" s="254">
        <v>0</v>
      </c>
      <c r="J15" s="64">
        <f t="shared" si="1"/>
        <v>0</v>
      </c>
      <c r="K15" s="187" t="s">
        <v>939</v>
      </c>
      <c r="L15" s="5">
        <v>1</v>
      </c>
      <c r="M15" s="5">
        <v>2</v>
      </c>
      <c r="N15" s="191">
        <f t="shared" si="6"/>
        <v>50</v>
      </c>
      <c r="O15" s="7" t="s">
        <v>21</v>
      </c>
      <c r="P15" s="7" t="s">
        <v>21</v>
      </c>
      <c r="Q15" s="156" t="s">
        <v>21</v>
      </c>
      <c r="R15" s="7">
        <v>3</v>
      </c>
      <c r="S15" s="7">
        <v>3</v>
      </c>
      <c r="T15" s="156">
        <v>100</v>
      </c>
      <c r="U15" s="7"/>
      <c r="V15" s="7"/>
      <c r="W15" s="156"/>
      <c r="AC15" s="151"/>
      <c r="AD15" s="7"/>
      <c r="AE15" s="7"/>
      <c r="AF15" s="151"/>
      <c r="AG15" s="7"/>
      <c r="AH15" s="7"/>
      <c r="AI15" s="151"/>
      <c r="AJ15" s="7"/>
      <c r="AK15" s="7"/>
      <c r="AL15" s="151"/>
      <c r="AM15" s="7"/>
      <c r="AN15" s="156"/>
      <c r="AO15" s="151"/>
      <c r="AP15" s="7"/>
      <c r="AQ15" s="7"/>
      <c r="AR15" s="7"/>
      <c r="AS15" s="7"/>
      <c r="AT15" s="7"/>
      <c r="AU15" s="7"/>
      <c r="AV15" s="7"/>
      <c r="AW15" s="7"/>
    </row>
    <row r="16" spans="1:62" ht="14.95" customHeight="1" thickBot="1" x14ac:dyDescent="0.3">
      <c r="A16" s="187" t="s">
        <v>475</v>
      </c>
      <c r="B16" s="78">
        <v>0</v>
      </c>
      <c r="C16" s="308">
        <v>0</v>
      </c>
      <c r="D16" s="252">
        <v>0</v>
      </c>
      <c r="E16" s="5">
        <f t="shared" si="0"/>
        <v>0</v>
      </c>
      <c r="F16" s="190" t="s">
        <v>475</v>
      </c>
      <c r="G16" s="79">
        <v>0</v>
      </c>
      <c r="H16" s="292">
        <v>0</v>
      </c>
      <c r="I16" s="254">
        <v>0</v>
      </c>
      <c r="J16" s="64">
        <f t="shared" si="1"/>
        <v>0</v>
      </c>
      <c r="K16" s="187" t="s">
        <v>12</v>
      </c>
      <c r="L16" s="5">
        <v>9</v>
      </c>
      <c r="M16" s="5">
        <v>9</v>
      </c>
      <c r="N16" s="191">
        <f t="shared" ref="N16" si="8">SUM(L16/M16)*100</f>
        <v>100</v>
      </c>
      <c r="O16" s="7"/>
      <c r="P16" s="7"/>
      <c r="Q16" s="156"/>
      <c r="R16" s="7"/>
      <c r="S16" s="7"/>
      <c r="T16" s="156"/>
      <c r="U16" s="7"/>
      <c r="V16" s="7"/>
      <c r="W16" s="156"/>
      <c r="AC16" s="151"/>
      <c r="AD16" s="7"/>
      <c r="AE16" s="7"/>
      <c r="AF16" s="151"/>
      <c r="AG16" s="7"/>
      <c r="AH16" s="7"/>
      <c r="AI16" s="151"/>
      <c r="AJ16" s="7"/>
      <c r="AK16" s="7"/>
      <c r="AL16" s="151"/>
      <c r="AM16" s="7"/>
      <c r="AN16" s="156"/>
      <c r="AO16" s="151"/>
      <c r="AP16" s="7"/>
      <c r="AQ16" s="7"/>
      <c r="AR16" s="7"/>
      <c r="AS16" s="7"/>
      <c r="AT16" s="7"/>
      <c r="AU16" s="7"/>
      <c r="AV16" s="7"/>
      <c r="AW16" s="7"/>
    </row>
    <row r="17" spans="1:49" ht="14.95" customHeight="1" thickBot="1" x14ac:dyDescent="0.3">
      <c r="A17" s="187" t="s">
        <v>897</v>
      </c>
      <c r="B17" s="78">
        <v>0</v>
      </c>
      <c r="C17" s="308">
        <v>0</v>
      </c>
      <c r="D17" s="252">
        <v>1</v>
      </c>
      <c r="E17" s="5">
        <f t="shared" ref="E17:E18" si="9">SUM(B17:D17)</f>
        <v>1</v>
      </c>
      <c r="F17" s="190" t="s">
        <v>897</v>
      </c>
      <c r="G17" s="79">
        <v>0</v>
      </c>
      <c r="H17" s="292">
        <v>0</v>
      </c>
      <c r="I17" s="254">
        <v>5</v>
      </c>
      <c r="J17" s="64">
        <f t="shared" ref="J17:J18" si="10">SUM(G17:I17)</f>
        <v>5</v>
      </c>
      <c r="K17" s="187" t="s">
        <v>420</v>
      </c>
      <c r="L17" s="5" t="s">
        <v>21</v>
      </c>
      <c r="M17" s="5" t="s">
        <v>21</v>
      </c>
      <c r="N17" s="191" t="s">
        <v>21</v>
      </c>
      <c r="O17" s="7" t="s">
        <v>21</v>
      </c>
      <c r="P17" s="7" t="s">
        <v>21</v>
      </c>
      <c r="Q17" s="156" t="s">
        <v>21</v>
      </c>
      <c r="R17" s="7" t="s">
        <v>21</v>
      </c>
      <c r="S17" s="7" t="s">
        <v>21</v>
      </c>
      <c r="T17" s="156" t="s">
        <v>21</v>
      </c>
      <c r="U17" s="7" t="s">
        <v>21</v>
      </c>
      <c r="V17" s="7" t="s">
        <v>21</v>
      </c>
      <c r="W17" s="156" t="s">
        <v>21</v>
      </c>
      <c r="AC17" s="151" t="s">
        <v>21</v>
      </c>
      <c r="AD17" s="7" t="s">
        <v>21</v>
      </c>
      <c r="AE17" s="7" t="s">
        <v>21</v>
      </c>
      <c r="AF17" s="151" t="s">
        <v>21</v>
      </c>
      <c r="AG17" s="7" t="s">
        <v>21</v>
      </c>
      <c r="AH17" s="7" t="s">
        <v>21</v>
      </c>
      <c r="AI17" s="151" t="s">
        <v>21</v>
      </c>
      <c r="AJ17" s="7" t="s">
        <v>21</v>
      </c>
      <c r="AK17" s="7" t="s">
        <v>21</v>
      </c>
      <c r="AL17" s="151" t="s">
        <v>21</v>
      </c>
      <c r="AM17" s="7" t="s">
        <v>21</v>
      </c>
      <c r="AN17" s="7" t="s">
        <v>21</v>
      </c>
      <c r="AO17" s="151">
        <v>1</v>
      </c>
      <c r="AP17" s="7">
        <v>1</v>
      </c>
      <c r="AQ17" s="7">
        <v>100</v>
      </c>
      <c r="AR17" s="7" t="s">
        <v>21</v>
      </c>
      <c r="AS17" s="7" t="s">
        <v>21</v>
      </c>
      <c r="AT17" s="7" t="s">
        <v>21</v>
      </c>
      <c r="AU17" s="7" t="s">
        <v>21</v>
      </c>
      <c r="AV17" s="7" t="s">
        <v>21</v>
      </c>
      <c r="AW17" s="7" t="s">
        <v>21</v>
      </c>
    </row>
    <row r="18" spans="1:49" ht="14.95" customHeight="1" thickBot="1" x14ac:dyDescent="0.3">
      <c r="A18" s="187" t="s">
        <v>898</v>
      </c>
      <c r="B18" s="78">
        <v>1</v>
      </c>
      <c r="C18" s="308">
        <v>0</v>
      </c>
      <c r="D18" s="252">
        <v>1</v>
      </c>
      <c r="E18" s="5">
        <f t="shared" si="9"/>
        <v>2</v>
      </c>
      <c r="F18" s="190" t="s">
        <v>898</v>
      </c>
      <c r="G18" s="79">
        <v>5</v>
      </c>
      <c r="H18" s="292">
        <v>0</v>
      </c>
      <c r="I18" s="254">
        <v>5</v>
      </c>
      <c r="J18" s="64">
        <f t="shared" si="10"/>
        <v>10</v>
      </c>
      <c r="K18" s="186" t="s">
        <v>726</v>
      </c>
      <c r="L18" s="5" t="s">
        <v>21</v>
      </c>
      <c r="M18" s="5" t="s">
        <v>21</v>
      </c>
      <c r="N18" s="191" t="s">
        <v>21</v>
      </c>
      <c r="O18" s="7">
        <v>3</v>
      </c>
      <c r="P18" s="7">
        <v>3</v>
      </c>
      <c r="Q18" s="156">
        <v>100</v>
      </c>
      <c r="R18" s="7" t="s">
        <v>21</v>
      </c>
      <c r="S18" s="7" t="s">
        <v>21</v>
      </c>
      <c r="T18" s="156" t="s">
        <v>21</v>
      </c>
      <c r="U18" s="7" t="s">
        <v>21</v>
      </c>
      <c r="V18" s="7" t="s">
        <v>21</v>
      </c>
      <c r="W18" s="156" t="s">
        <v>21</v>
      </c>
      <c r="AC18" s="151" t="s">
        <v>21</v>
      </c>
      <c r="AD18" s="7" t="s">
        <v>21</v>
      </c>
      <c r="AE18" s="7" t="s">
        <v>21</v>
      </c>
      <c r="AF18" s="151" t="s">
        <v>21</v>
      </c>
      <c r="AG18" s="7" t="s">
        <v>21</v>
      </c>
      <c r="AH18" s="7" t="s">
        <v>21</v>
      </c>
      <c r="AI18" s="151" t="s">
        <v>21</v>
      </c>
      <c r="AJ18" s="7" t="s">
        <v>21</v>
      </c>
      <c r="AK18" s="7" t="s">
        <v>21</v>
      </c>
      <c r="AL18" s="151" t="s">
        <v>21</v>
      </c>
      <c r="AM18" s="7" t="s">
        <v>21</v>
      </c>
      <c r="AN18" s="7" t="s">
        <v>21</v>
      </c>
      <c r="AO18" s="151" t="s">
        <v>21</v>
      </c>
      <c r="AP18" s="7" t="s">
        <v>21</v>
      </c>
      <c r="AQ18" s="7" t="s">
        <v>21</v>
      </c>
      <c r="AR18" s="7" t="s">
        <v>21</v>
      </c>
      <c r="AS18" s="7" t="s">
        <v>21</v>
      </c>
      <c r="AT18" s="7" t="s">
        <v>21</v>
      </c>
      <c r="AU18" s="7" t="s">
        <v>21</v>
      </c>
      <c r="AV18" s="7" t="s">
        <v>21</v>
      </c>
      <c r="AW18" s="7" t="s">
        <v>21</v>
      </c>
    </row>
    <row r="19" spans="1:49" ht="14.95" customHeight="1" thickBot="1" x14ac:dyDescent="0.3">
      <c r="A19" s="187" t="s">
        <v>29</v>
      </c>
      <c r="B19" s="78">
        <v>0</v>
      </c>
      <c r="C19" s="308">
        <v>0</v>
      </c>
      <c r="D19" s="252">
        <v>0</v>
      </c>
      <c r="E19" s="5">
        <f t="shared" si="0"/>
        <v>0</v>
      </c>
      <c r="F19" s="190" t="s">
        <v>29</v>
      </c>
      <c r="G19" s="79">
        <v>0</v>
      </c>
      <c r="H19" s="292">
        <v>0</v>
      </c>
      <c r="I19" s="254">
        <v>0</v>
      </c>
      <c r="J19" s="64">
        <f t="shared" si="1"/>
        <v>0</v>
      </c>
    </row>
    <row r="20" spans="1:49" ht="14.95" customHeight="1" thickBot="1" x14ac:dyDescent="0.3">
      <c r="A20" s="187" t="s">
        <v>582</v>
      </c>
      <c r="B20" s="78">
        <v>0</v>
      </c>
      <c r="C20" s="308">
        <v>0</v>
      </c>
      <c r="D20" s="252">
        <v>0</v>
      </c>
      <c r="E20" s="5">
        <f t="shared" si="0"/>
        <v>0</v>
      </c>
      <c r="F20" s="190" t="s">
        <v>582</v>
      </c>
      <c r="G20" s="79">
        <v>0</v>
      </c>
      <c r="H20" s="292">
        <v>0</v>
      </c>
      <c r="I20" s="254">
        <v>0</v>
      </c>
      <c r="J20" s="64">
        <f t="shared" si="1"/>
        <v>0</v>
      </c>
      <c r="K20" s="455" t="s">
        <v>302</v>
      </c>
      <c r="L20" s="422" t="s">
        <v>20</v>
      </c>
      <c r="M20" s="423"/>
      <c r="N20" s="424"/>
      <c r="O20" s="422" t="s">
        <v>365</v>
      </c>
      <c r="P20" s="423"/>
      <c r="Q20" s="424"/>
      <c r="R20" s="422" t="s">
        <v>854</v>
      </c>
      <c r="S20" s="423"/>
      <c r="T20" s="424"/>
      <c r="U20" s="422" t="s">
        <v>700</v>
      </c>
      <c r="V20" s="423"/>
      <c r="W20" s="424"/>
      <c r="AC20" s="422" t="s">
        <v>518</v>
      </c>
      <c r="AD20" s="423"/>
      <c r="AE20" s="424"/>
      <c r="AF20" s="422" t="s">
        <v>356</v>
      </c>
      <c r="AG20" s="423"/>
      <c r="AH20" s="424"/>
      <c r="AI20" s="422" t="s">
        <v>272</v>
      </c>
      <c r="AJ20" s="423"/>
      <c r="AK20" s="424"/>
      <c r="AL20" s="422" t="s">
        <v>115</v>
      </c>
      <c r="AM20" s="423"/>
      <c r="AN20" s="424"/>
      <c r="AO20" s="422" t="s">
        <v>83</v>
      </c>
      <c r="AP20" s="423"/>
      <c r="AQ20" s="424"/>
      <c r="AR20" s="422" t="s">
        <v>78</v>
      </c>
      <c r="AS20" s="423"/>
      <c r="AT20" s="424"/>
      <c r="AU20" s="422" t="s">
        <v>89</v>
      </c>
      <c r="AV20" s="423"/>
      <c r="AW20" s="424"/>
    </row>
    <row r="21" spans="1:49" ht="14.95" customHeight="1" thickBot="1" x14ac:dyDescent="0.3">
      <c r="A21" s="187" t="s">
        <v>584</v>
      </c>
      <c r="B21" s="78">
        <v>0</v>
      </c>
      <c r="C21" s="308">
        <v>0</v>
      </c>
      <c r="D21" s="252">
        <v>0</v>
      </c>
      <c r="E21" s="5">
        <f t="shared" si="0"/>
        <v>0</v>
      </c>
      <c r="F21" s="190" t="s">
        <v>584</v>
      </c>
      <c r="G21" s="79">
        <v>0</v>
      </c>
      <c r="H21" s="292">
        <v>0</v>
      </c>
      <c r="I21" s="254">
        <v>0</v>
      </c>
      <c r="J21" s="64">
        <f t="shared" si="1"/>
        <v>0</v>
      </c>
      <c r="K21" s="456"/>
      <c r="L21" s="425"/>
      <c r="M21" s="426"/>
      <c r="N21" s="427"/>
      <c r="O21" s="425"/>
      <c r="P21" s="426"/>
      <c r="Q21" s="427"/>
      <c r="R21" s="425"/>
      <c r="S21" s="426"/>
      <c r="T21" s="427"/>
      <c r="U21" s="425"/>
      <c r="V21" s="426"/>
      <c r="W21" s="427"/>
      <c r="AC21" s="425"/>
      <c r="AD21" s="426"/>
      <c r="AE21" s="427"/>
      <c r="AF21" s="425"/>
      <c r="AG21" s="426"/>
      <c r="AH21" s="427"/>
      <c r="AI21" s="425"/>
      <c r="AJ21" s="426"/>
      <c r="AK21" s="427"/>
      <c r="AL21" s="425"/>
      <c r="AM21" s="426"/>
      <c r="AN21" s="427"/>
      <c r="AO21" s="425"/>
      <c r="AP21" s="426"/>
      <c r="AQ21" s="427"/>
      <c r="AR21" s="425"/>
      <c r="AS21" s="426"/>
      <c r="AT21" s="427"/>
      <c r="AU21" s="425"/>
      <c r="AV21" s="426"/>
      <c r="AW21" s="427"/>
    </row>
    <row r="22" spans="1:49" ht="14.95" customHeight="1" thickBot="1" x14ac:dyDescent="0.3">
      <c r="A22" s="187" t="s">
        <v>818</v>
      </c>
      <c r="B22" s="78">
        <v>0</v>
      </c>
      <c r="C22" s="308">
        <v>0</v>
      </c>
      <c r="D22" s="252">
        <v>2</v>
      </c>
      <c r="E22" s="5">
        <f t="shared" si="0"/>
        <v>2</v>
      </c>
      <c r="F22" s="190" t="s">
        <v>818</v>
      </c>
      <c r="G22" s="79">
        <v>0</v>
      </c>
      <c r="H22" s="292">
        <v>0</v>
      </c>
      <c r="I22" s="254">
        <v>10</v>
      </c>
      <c r="J22" s="64">
        <f t="shared" si="1"/>
        <v>10</v>
      </c>
      <c r="K22" s="278" t="s">
        <v>30</v>
      </c>
      <c r="L22" s="7" t="s">
        <v>74</v>
      </c>
      <c r="M22" s="7" t="s">
        <v>15</v>
      </c>
      <c r="N22" s="7" t="s">
        <v>16</v>
      </c>
      <c r="O22" s="7" t="s">
        <v>74</v>
      </c>
      <c r="P22" s="7" t="s">
        <v>15</v>
      </c>
      <c r="Q22" s="7" t="s">
        <v>16</v>
      </c>
      <c r="R22" s="7" t="s">
        <v>74</v>
      </c>
      <c r="S22" s="7" t="s">
        <v>15</v>
      </c>
      <c r="T22" s="7" t="s">
        <v>16</v>
      </c>
      <c r="U22" s="7" t="s">
        <v>74</v>
      </c>
      <c r="V22" s="7" t="s">
        <v>15</v>
      </c>
      <c r="W22" s="7" t="s">
        <v>16</v>
      </c>
      <c r="AC22" s="85" t="s">
        <v>74</v>
      </c>
      <c r="AD22" s="80" t="s">
        <v>15</v>
      </c>
      <c r="AE22" s="80" t="s">
        <v>16</v>
      </c>
      <c r="AF22" s="151" t="s">
        <v>74</v>
      </c>
      <c r="AG22" s="7" t="s">
        <v>15</v>
      </c>
      <c r="AH22" s="7" t="s">
        <v>16</v>
      </c>
      <c r="AI22" s="151" t="s">
        <v>74</v>
      </c>
      <c r="AJ22" s="7" t="s">
        <v>15</v>
      </c>
      <c r="AK22" s="7" t="s">
        <v>16</v>
      </c>
      <c r="AL22" s="151" t="s">
        <v>74</v>
      </c>
      <c r="AM22" s="7" t="s">
        <v>15</v>
      </c>
      <c r="AN22" s="7" t="s">
        <v>16</v>
      </c>
      <c r="AO22" s="151" t="s">
        <v>74</v>
      </c>
      <c r="AP22" s="7" t="s">
        <v>15</v>
      </c>
      <c r="AQ22" s="7" t="s">
        <v>16</v>
      </c>
      <c r="AR22" s="151" t="s">
        <v>74</v>
      </c>
      <c r="AS22" s="7" t="s">
        <v>15</v>
      </c>
      <c r="AT22" s="7" t="s">
        <v>16</v>
      </c>
      <c r="AU22" s="151" t="s">
        <v>74</v>
      </c>
      <c r="AV22" s="7" t="s">
        <v>15</v>
      </c>
      <c r="AW22" s="7" t="s">
        <v>16</v>
      </c>
    </row>
    <row r="23" spans="1:49" ht="14.95" customHeight="1" thickBot="1" x14ac:dyDescent="0.3">
      <c r="A23" s="187" t="s">
        <v>430</v>
      </c>
      <c r="B23" s="78">
        <v>0</v>
      </c>
      <c r="C23" s="308">
        <v>0</v>
      </c>
      <c r="D23" s="252">
        <v>0</v>
      </c>
      <c r="E23" s="5">
        <f t="shared" si="0"/>
        <v>0</v>
      </c>
      <c r="F23" s="190" t="s">
        <v>430</v>
      </c>
      <c r="G23" s="79">
        <v>0</v>
      </c>
      <c r="H23" s="292">
        <v>0</v>
      </c>
      <c r="I23" s="254">
        <v>0</v>
      </c>
      <c r="J23" s="64">
        <f t="shared" si="1"/>
        <v>0</v>
      </c>
      <c r="K23" s="187" t="s">
        <v>407</v>
      </c>
      <c r="L23" s="7" t="s">
        <v>21</v>
      </c>
      <c r="M23" s="7" t="s">
        <v>21</v>
      </c>
      <c r="N23" s="156" t="s">
        <v>21</v>
      </c>
      <c r="O23" s="7" t="s">
        <v>21</v>
      </c>
      <c r="P23" s="7" t="s">
        <v>21</v>
      </c>
      <c r="Q23" s="156" t="s">
        <v>21</v>
      </c>
      <c r="R23" s="7" t="s">
        <v>21</v>
      </c>
      <c r="S23" s="7" t="s">
        <v>21</v>
      </c>
      <c r="T23" s="156" t="s">
        <v>21</v>
      </c>
      <c r="U23" s="7" t="s">
        <v>21</v>
      </c>
      <c r="V23" s="7" t="s">
        <v>21</v>
      </c>
      <c r="W23" s="7" t="s">
        <v>21</v>
      </c>
      <c r="AC23" s="151" t="s">
        <v>21</v>
      </c>
      <c r="AD23" s="7" t="s">
        <v>21</v>
      </c>
      <c r="AE23" s="7" t="s">
        <v>21</v>
      </c>
      <c r="AF23" s="151">
        <v>3</v>
      </c>
      <c r="AG23" s="7">
        <v>3</v>
      </c>
      <c r="AH23" s="156">
        <v>100</v>
      </c>
      <c r="AI23" s="151" t="s">
        <v>21</v>
      </c>
      <c r="AJ23" s="7" t="s">
        <v>21</v>
      </c>
      <c r="AK23" s="7" t="s">
        <v>21</v>
      </c>
      <c r="AL23" s="7" t="s">
        <v>21</v>
      </c>
      <c r="AM23" s="7" t="s">
        <v>21</v>
      </c>
      <c r="AN23" s="7" t="s">
        <v>21</v>
      </c>
      <c r="AO23" s="7" t="s">
        <v>21</v>
      </c>
      <c r="AP23" s="7" t="s">
        <v>21</v>
      </c>
      <c r="AQ23" s="7" t="s">
        <v>21</v>
      </c>
      <c r="AR23" s="7" t="s">
        <v>21</v>
      </c>
      <c r="AS23" s="7" t="s">
        <v>21</v>
      </c>
      <c r="AT23" s="7" t="s">
        <v>21</v>
      </c>
      <c r="AU23" s="7" t="s">
        <v>21</v>
      </c>
      <c r="AV23" s="7" t="s">
        <v>21</v>
      </c>
      <c r="AW23" s="7" t="s">
        <v>21</v>
      </c>
    </row>
    <row r="24" spans="1:49" ht="14.95" customHeight="1" thickBot="1" x14ac:dyDescent="0.3">
      <c r="A24" s="187" t="s">
        <v>971</v>
      </c>
      <c r="B24" s="78">
        <v>0</v>
      </c>
      <c r="C24" s="308">
        <v>0</v>
      </c>
      <c r="D24" s="252">
        <v>0</v>
      </c>
      <c r="E24" s="5">
        <f t="shared" si="0"/>
        <v>0</v>
      </c>
      <c r="F24" s="190" t="s">
        <v>971</v>
      </c>
      <c r="G24" s="79">
        <v>19</v>
      </c>
      <c r="H24" s="292">
        <v>2</v>
      </c>
      <c r="I24" s="254">
        <v>0</v>
      </c>
      <c r="J24" s="64">
        <f t="shared" si="1"/>
        <v>21</v>
      </c>
      <c r="K24" s="187" t="s">
        <v>939</v>
      </c>
      <c r="L24" s="7" t="s">
        <v>21</v>
      </c>
      <c r="M24" s="7" t="s">
        <v>21</v>
      </c>
      <c r="N24" s="156" t="s">
        <v>21</v>
      </c>
      <c r="O24" s="7">
        <v>2</v>
      </c>
      <c r="P24" s="7">
        <v>3</v>
      </c>
      <c r="Q24" s="156">
        <v>66.666666666666657</v>
      </c>
      <c r="R24" s="7"/>
      <c r="S24" s="7"/>
      <c r="T24" s="156"/>
      <c r="U24" s="7"/>
      <c r="V24" s="7"/>
      <c r="W24" s="7"/>
      <c r="AC24" s="151"/>
      <c r="AD24" s="7"/>
      <c r="AE24" s="7"/>
      <c r="AF24" s="151"/>
      <c r="AG24" s="7"/>
      <c r="AH24" s="156"/>
      <c r="AI24" s="151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4.95" customHeight="1" thickBot="1" x14ac:dyDescent="0.3">
      <c r="A25" s="187" t="s">
        <v>12</v>
      </c>
      <c r="B25" s="78">
        <v>0</v>
      </c>
      <c r="C25" s="308">
        <v>0</v>
      </c>
      <c r="D25" s="252">
        <v>1</v>
      </c>
      <c r="E25" s="5">
        <f t="shared" si="0"/>
        <v>1</v>
      </c>
      <c r="F25" s="190" t="s">
        <v>12</v>
      </c>
      <c r="G25" s="79">
        <v>15</v>
      </c>
      <c r="H25" s="292">
        <v>24</v>
      </c>
      <c r="I25" s="254">
        <v>25</v>
      </c>
      <c r="J25" s="64">
        <f t="shared" si="1"/>
        <v>64</v>
      </c>
      <c r="K25" s="187" t="s">
        <v>420</v>
      </c>
      <c r="L25" s="7" t="s">
        <v>21</v>
      </c>
      <c r="M25" s="7" t="s">
        <v>21</v>
      </c>
      <c r="N25" s="156" t="s">
        <v>21</v>
      </c>
      <c r="O25" s="7" t="s">
        <v>21</v>
      </c>
      <c r="P25" s="7" t="s">
        <v>21</v>
      </c>
      <c r="Q25" s="156" t="s">
        <v>21</v>
      </c>
      <c r="R25" s="7" t="s">
        <v>21</v>
      </c>
      <c r="S25" s="7" t="s">
        <v>21</v>
      </c>
      <c r="T25" s="156" t="s">
        <v>21</v>
      </c>
      <c r="U25" s="7" t="s">
        <v>21</v>
      </c>
      <c r="V25" s="7" t="s">
        <v>21</v>
      </c>
      <c r="W25" s="7" t="s">
        <v>21</v>
      </c>
      <c r="AC25" s="151" t="s">
        <v>21</v>
      </c>
      <c r="AD25" s="7" t="s">
        <v>21</v>
      </c>
      <c r="AE25" s="7" t="s">
        <v>21</v>
      </c>
      <c r="AF25" s="151" t="s">
        <v>21</v>
      </c>
      <c r="AG25" s="7" t="s">
        <v>21</v>
      </c>
      <c r="AH25" s="7" t="s">
        <v>21</v>
      </c>
      <c r="AI25" s="151" t="s">
        <v>21</v>
      </c>
      <c r="AJ25" s="7" t="s">
        <v>21</v>
      </c>
      <c r="AK25" s="7" t="s">
        <v>21</v>
      </c>
      <c r="AL25" s="7" t="s">
        <v>21</v>
      </c>
      <c r="AM25" s="7" t="s">
        <v>21</v>
      </c>
      <c r="AN25" s="7" t="s">
        <v>21</v>
      </c>
      <c r="AO25" s="7" t="s">
        <v>21</v>
      </c>
      <c r="AP25" s="7" t="s">
        <v>21</v>
      </c>
      <c r="AQ25" s="7" t="s">
        <v>21</v>
      </c>
      <c r="AR25" s="7" t="s">
        <v>21</v>
      </c>
      <c r="AS25" s="7" t="s">
        <v>21</v>
      </c>
      <c r="AT25" s="7" t="s">
        <v>21</v>
      </c>
      <c r="AU25" s="7" t="s">
        <v>21</v>
      </c>
      <c r="AV25" s="7" t="s">
        <v>21</v>
      </c>
      <c r="AW25" s="7" t="s">
        <v>21</v>
      </c>
    </row>
    <row r="26" spans="1:49" ht="14.95" customHeight="1" thickBot="1" x14ac:dyDescent="0.3">
      <c r="A26" s="187" t="s">
        <v>522</v>
      </c>
      <c r="B26" s="78">
        <v>0</v>
      </c>
      <c r="C26" s="308">
        <v>0</v>
      </c>
      <c r="D26" s="252">
        <v>1</v>
      </c>
      <c r="E26" s="5">
        <f t="shared" si="0"/>
        <v>1</v>
      </c>
      <c r="F26" s="190" t="s">
        <v>522</v>
      </c>
      <c r="G26" s="79">
        <v>0</v>
      </c>
      <c r="H26" s="292">
        <v>0</v>
      </c>
      <c r="I26" s="254">
        <v>5</v>
      </c>
      <c r="J26" s="64">
        <f t="shared" si="1"/>
        <v>5</v>
      </c>
      <c r="K26" s="186" t="s">
        <v>726</v>
      </c>
      <c r="L26" s="7" t="s">
        <v>21</v>
      </c>
      <c r="M26" s="7" t="s">
        <v>21</v>
      </c>
      <c r="N26" s="156" t="s">
        <v>21</v>
      </c>
      <c r="O26" s="7" t="s">
        <v>21</v>
      </c>
      <c r="P26" s="7" t="s">
        <v>21</v>
      </c>
      <c r="Q26" s="156" t="s">
        <v>21</v>
      </c>
      <c r="R26" s="7">
        <v>2</v>
      </c>
      <c r="S26" s="7">
        <v>2</v>
      </c>
      <c r="T26" s="156">
        <v>100</v>
      </c>
      <c r="U26" s="7" t="s">
        <v>21</v>
      </c>
      <c r="V26" s="7" t="s">
        <v>21</v>
      </c>
      <c r="W26" s="156" t="s">
        <v>21</v>
      </c>
      <c r="AC26" s="151" t="s">
        <v>21</v>
      </c>
      <c r="AD26" s="7" t="s">
        <v>21</v>
      </c>
      <c r="AE26" s="7" t="s">
        <v>21</v>
      </c>
      <c r="AF26" s="151" t="s">
        <v>21</v>
      </c>
      <c r="AG26" s="7" t="s">
        <v>21</v>
      </c>
      <c r="AH26" s="7" t="s">
        <v>21</v>
      </c>
      <c r="AI26" s="151" t="s">
        <v>21</v>
      </c>
      <c r="AJ26" s="7" t="s">
        <v>21</v>
      </c>
      <c r="AK26" s="7" t="s">
        <v>21</v>
      </c>
      <c r="AL26" s="151" t="s">
        <v>21</v>
      </c>
      <c r="AM26" s="7" t="s">
        <v>21</v>
      </c>
      <c r="AN26" s="7" t="s">
        <v>21</v>
      </c>
      <c r="AO26" s="151" t="s">
        <v>21</v>
      </c>
      <c r="AP26" s="7" t="s">
        <v>21</v>
      </c>
      <c r="AQ26" s="7" t="s">
        <v>21</v>
      </c>
      <c r="AR26" s="7" t="s">
        <v>21</v>
      </c>
      <c r="AS26" s="7" t="s">
        <v>21</v>
      </c>
      <c r="AT26" s="7" t="s">
        <v>21</v>
      </c>
      <c r="AU26" s="7" t="s">
        <v>21</v>
      </c>
      <c r="AV26" s="7" t="s">
        <v>21</v>
      </c>
      <c r="AW26" s="7" t="s">
        <v>21</v>
      </c>
    </row>
    <row r="27" spans="1:49" ht="14.95" customHeight="1" thickBot="1" x14ac:dyDescent="0.3">
      <c r="A27" s="187" t="s">
        <v>847</v>
      </c>
      <c r="B27" s="78">
        <v>0</v>
      </c>
      <c r="C27" s="308">
        <v>1</v>
      </c>
      <c r="D27" s="252">
        <v>1</v>
      </c>
      <c r="E27" s="5">
        <f t="shared" si="0"/>
        <v>2</v>
      </c>
      <c r="F27" s="190" t="s">
        <v>847</v>
      </c>
      <c r="G27" s="79">
        <v>0</v>
      </c>
      <c r="H27" s="292">
        <v>5</v>
      </c>
      <c r="I27" s="254">
        <v>5</v>
      </c>
      <c r="J27" s="64">
        <f t="shared" si="1"/>
        <v>10</v>
      </c>
    </row>
    <row r="28" spans="1:49" ht="14.95" customHeight="1" thickBot="1" x14ac:dyDescent="0.3">
      <c r="A28" s="187" t="s">
        <v>588</v>
      </c>
      <c r="B28" s="78">
        <v>0</v>
      </c>
      <c r="C28" s="308">
        <v>0</v>
      </c>
      <c r="D28" s="252">
        <v>0</v>
      </c>
      <c r="E28" s="5">
        <f t="shared" si="0"/>
        <v>0</v>
      </c>
      <c r="F28" s="190" t="s">
        <v>588</v>
      </c>
      <c r="G28" s="79">
        <v>0</v>
      </c>
      <c r="H28" s="292">
        <v>0</v>
      </c>
      <c r="I28" s="254">
        <v>0</v>
      </c>
      <c r="J28" s="64">
        <f t="shared" si="1"/>
        <v>0</v>
      </c>
      <c r="K28" s="463" t="s">
        <v>116</v>
      </c>
      <c r="L28" s="436" t="s">
        <v>20</v>
      </c>
      <c r="M28" s="437"/>
      <c r="N28" s="438"/>
      <c r="O28" s="422" t="s">
        <v>365</v>
      </c>
      <c r="P28" s="423"/>
      <c r="Q28" s="424"/>
      <c r="R28" s="422" t="s">
        <v>518</v>
      </c>
      <c r="S28" s="423"/>
      <c r="T28" s="424"/>
      <c r="U28" s="422" t="s">
        <v>356</v>
      </c>
      <c r="V28" s="423"/>
      <c r="W28" s="424"/>
      <c r="AC28" s="422" t="s">
        <v>272</v>
      </c>
      <c r="AD28" s="423"/>
      <c r="AE28" s="424"/>
      <c r="AF28" s="422" t="s">
        <v>115</v>
      </c>
      <c r="AG28" s="423"/>
      <c r="AH28" s="424"/>
      <c r="AI28" s="422" t="s">
        <v>83</v>
      </c>
      <c r="AJ28" s="423"/>
      <c r="AK28" s="424"/>
      <c r="AL28" s="422" t="s">
        <v>78</v>
      </c>
      <c r="AM28" s="423"/>
      <c r="AN28" s="424"/>
      <c r="AO28" s="422" t="s">
        <v>60</v>
      </c>
      <c r="AP28" s="423"/>
      <c r="AQ28" s="424"/>
    </row>
    <row r="29" spans="1:49" ht="14.95" customHeight="1" thickBot="1" x14ac:dyDescent="0.3">
      <c r="A29" s="187" t="s">
        <v>275</v>
      </c>
      <c r="B29" s="78">
        <v>0</v>
      </c>
      <c r="C29" s="308">
        <v>0</v>
      </c>
      <c r="D29" s="252">
        <v>0</v>
      </c>
      <c r="E29" s="5">
        <f t="shared" si="0"/>
        <v>0</v>
      </c>
      <c r="F29" s="190" t="s">
        <v>275</v>
      </c>
      <c r="G29" s="79">
        <v>0</v>
      </c>
      <c r="H29" s="292">
        <v>0</v>
      </c>
      <c r="I29" s="254">
        <v>0</v>
      </c>
      <c r="J29" s="64">
        <f t="shared" si="1"/>
        <v>0</v>
      </c>
      <c r="K29" s="464"/>
      <c r="L29" s="439"/>
      <c r="M29" s="440"/>
      <c r="N29" s="441"/>
      <c r="O29" s="425"/>
      <c r="P29" s="426"/>
      <c r="Q29" s="427"/>
      <c r="R29" s="425"/>
      <c r="S29" s="426"/>
      <c r="T29" s="427"/>
      <c r="U29" s="425"/>
      <c r="V29" s="426"/>
      <c r="W29" s="427"/>
      <c r="AC29" s="425"/>
      <c r="AD29" s="426"/>
      <c r="AE29" s="427"/>
      <c r="AF29" s="425"/>
      <c r="AG29" s="426"/>
      <c r="AH29" s="427"/>
      <c r="AI29" s="425"/>
      <c r="AJ29" s="426"/>
      <c r="AK29" s="427"/>
      <c r="AL29" s="425"/>
      <c r="AM29" s="426"/>
      <c r="AN29" s="427"/>
      <c r="AO29" s="425"/>
      <c r="AP29" s="426"/>
      <c r="AQ29" s="427"/>
    </row>
    <row r="30" spans="1:49" ht="14.95" customHeight="1" thickBot="1" x14ac:dyDescent="0.3">
      <c r="A30" s="187" t="s">
        <v>65</v>
      </c>
      <c r="B30" s="78">
        <v>0</v>
      </c>
      <c r="C30" s="308">
        <v>0</v>
      </c>
      <c r="D30" s="252">
        <v>0</v>
      </c>
      <c r="E30" s="5">
        <f t="shared" si="0"/>
        <v>0</v>
      </c>
      <c r="F30" s="190" t="s">
        <v>65</v>
      </c>
      <c r="G30" s="79">
        <v>0</v>
      </c>
      <c r="H30" s="292">
        <v>0</v>
      </c>
      <c r="I30" s="254">
        <v>0</v>
      </c>
      <c r="J30" s="64">
        <f t="shared" si="1"/>
        <v>0</v>
      </c>
      <c r="K30" s="237" t="s">
        <v>30</v>
      </c>
      <c r="L30" s="3" t="s">
        <v>74</v>
      </c>
      <c r="M30" s="3" t="s">
        <v>15</v>
      </c>
      <c r="N30" s="3" t="s">
        <v>16</v>
      </c>
      <c r="O30" s="7" t="s">
        <v>74</v>
      </c>
      <c r="P30" s="7" t="s">
        <v>15</v>
      </c>
      <c r="Q30" s="7" t="s">
        <v>16</v>
      </c>
      <c r="R30" s="80" t="s">
        <v>74</v>
      </c>
      <c r="S30" s="80" t="s">
        <v>15</v>
      </c>
      <c r="T30" s="80" t="s">
        <v>16</v>
      </c>
      <c r="U30" s="151" t="s">
        <v>74</v>
      </c>
      <c r="V30" s="7" t="s">
        <v>15</v>
      </c>
      <c r="W30" s="7" t="s">
        <v>16</v>
      </c>
      <c r="AC30" s="151" t="s">
        <v>74</v>
      </c>
      <c r="AD30" s="7" t="s">
        <v>15</v>
      </c>
      <c r="AE30" s="7" t="s">
        <v>16</v>
      </c>
      <c r="AF30" s="151" t="s">
        <v>74</v>
      </c>
      <c r="AG30" s="7" t="s">
        <v>15</v>
      </c>
      <c r="AH30" s="7" t="s">
        <v>16</v>
      </c>
      <c r="AI30" s="151" t="s">
        <v>74</v>
      </c>
      <c r="AJ30" s="7" t="s">
        <v>15</v>
      </c>
      <c r="AK30" s="7" t="s">
        <v>16</v>
      </c>
      <c r="AL30" s="151" t="s">
        <v>74</v>
      </c>
      <c r="AM30" s="7" t="s">
        <v>15</v>
      </c>
      <c r="AN30" s="7" t="s">
        <v>16</v>
      </c>
      <c r="AO30" s="151" t="s">
        <v>74</v>
      </c>
      <c r="AP30" s="7" t="s">
        <v>15</v>
      </c>
      <c r="AQ30" s="7" t="s">
        <v>16</v>
      </c>
    </row>
    <row r="31" spans="1:49" ht="14.95" customHeight="1" thickBot="1" x14ac:dyDescent="0.3">
      <c r="A31" s="187" t="s">
        <v>991</v>
      </c>
      <c r="B31" s="78">
        <v>0</v>
      </c>
      <c r="C31" s="308">
        <v>1</v>
      </c>
      <c r="D31" s="252">
        <v>0</v>
      </c>
      <c r="E31" s="5">
        <f t="shared" si="0"/>
        <v>1</v>
      </c>
      <c r="F31" s="190" t="s">
        <v>991</v>
      </c>
      <c r="G31" s="79">
        <v>0</v>
      </c>
      <c r="H31" s="292">
        <v>5</v>
      </c>
      <c r="I31" s="254">
        <v>0</v>
      </c>
      <c r="J31" s="64">
        <f t="shared" si="1"/>
        <v>5</v>
      </c>
      <c r="K31" s="187" t="s">
        <v>407</v>
      </c>
      <c r="L31" s="5">
        <v>10</v>
      </c>
      <c r="M31" s="5">
        <v>13</v>
      </c>
      <c r="N31" s="191">
        <v>71</v>
      </c>
      <c r="O31" s="7"/>
      <c r="P31" s="7"/>
      <c r="Q31" s="156"/>
      <c r="R31" s="7" t="s">
        <v>21</v>
      </c>
      <c r="S31" s="7" t="s">
        <v>21</v>
      </c>
      <c r="T31" s="7" t="s">
        <v>21</v>
      </c>
      <c r="U31" s="151">
        <v>12</v>
      </c>
      <c r="V31" s="7">
        <v>15</v>
      </c>
      <c r="W31" s="156">
        <f>SUM(U31/V31)*100</f>
        <v>80</v>
      </c>
      <c r="AC31" s="151" t="s">
        <v>21</v>
      </c>
      <c r="AD31" s="7" t="s">
        <v>21</v>
      </c>
      <c r="AE31" s="7" t="s">
        <v>21</v>
      </c>
      <c r="AF31" s="7">
        <v>3</v>
      </c>
      <c r="AG31" s="7">
        <v>4</v>
      </c>
      <c r="AH31" s="156">
        <f>SUM(AF31/AG31)*100</f>
        <v>75</v>
      </c>
      <c r="AI31" s="7" t="s">
        <v>21</v>
      </c>
      <c r="AJ31" s="7" t="s">
        <v>21</v>
      </c>
      <c r="AK31" s="7" t="s">
        <v>21</v>
      </c>
      <c r="AL31" s="151" t="s">
        <v>21</v>
      </c>
      <c r="AM31" s="7" t="s">
        <v>21</v>
      </c>
      <c r="AN31" s="7" t="s">
        <v>21</v>
      </c>
      <c r="AO31" s="7" t="s">
        <v>21</v>
      </c>
      <c r="AP31" s="7" t="s">
        <v>21</v>
      </c>
      <c r="AQ31" s="7" t="s">
        <v>21</v>
      </c>
    </row>
    <row r="32" spans="1:49" ht="14.95" customHeight="1" thickBot="1" x14ac:dyDescent="0.3">
      <c r="A32" s="187" t="s">
        <v>899</v>
      </c>
      <c r="B32" s="78">
        <v>1</v>
      </c>
      <c r="C32" s="308">
        <v>0</v>
      </c>
      <c r="D32" s="252">
        <v>1</v>
      </c>
      <c r="E32" s="5">
        <f t="shared" ref="E32" si="11">SUM(B32:D32)</f>
        <v>2</v>
      </c>
      <c r="F32" s="190" t="s">
        <v>899</v>
      </c>
      <c r="G32" s="79">
        <v>5</v>
      </c>
      <c r="H32" s="292">
        <v>0</v>
      </c>
      <c r="I32" s="254">
        <v>5</v>
      </c>
      <c r="J32" s="64">
        <f t="shared" ref="J32" si="12">SUM(G32:I32)</f>
        <v>10</v>
      </c>
      <c r="K32" s="187" t="s">
        <v>939</v>
      </c>
      <c r="L32" s="5" t="s">
        <v>21</v>
      </c>
      <c r="M32" s="5" t="s">
        <v>21</v>
      </c>
      <c r="N32" s="191" t="s">
        <v>21</v>
      </c>
      <c r="O32" s="7">
        <v>17</v>
      </c>
      <c r="P32" s="7">
        <v>22</v>
      </c>
      <c r="Q32" s="156">
        <v>77.272727272727266</v>
      </c>
      <c r="R32" s="7">
        <v>9</v>
      </c>
      <c r="S32" s="7">
        <v>12</v>
      </c>
      <c r="T32" s="7">
        <v>75</v>
      </c>
      <c r="U32" s="151" t="s">
        <v>21</v>
      </c>
      <c r="V32" s="7" t="s">
        <v>21</v>
      </c>
      <c r="W32" s="7" t="s">
        <v>21</v>
      </c>
      <c r="AC32" s="151" t="s">
        <v>21</v>
      </c>
      <c r="AD32" s="7" t="s">
        <v>21</v>
      </c>
      <c r="AE32" s="7" t="s">
        <v>21</v>
      </c>
      <c r="AF32" s="151" t="s">
        <v>21</v>
      </c>
      <c r="AG32" s="7" t="s">
        <v>21</v>
      </c>
      <c r="AH32" s="7" t="s">
        <v>21</v>
      </c>
      <c r="AI32" s="151" t="s">
        <v>21</v>
      </c>
      <c r="AJ32" s="7" t="s">
        <v>21</v>
      </c>
      <c r="AK32" s="7" t="s">
        <v>21</v>
      </c>
      <c r="AL32" s="151">
        <v>1</v>
      </c>
      <c r="AM32" s="7">
        <v>1</v>
      </c>
      <c r="AN32" s="7">
        <v>100</v>
      </c>
      <c r="AO32" s="7" t="s">
        <v>21</v>
      </c>
      <c r="AP32" s="7" t="s">
        <v>21</v>
      </c>
      <c r="AQ32" s="7" t="s">
        <v>21</v>
      </c>
    </row>
    <row r="33" spans="1:43" ht="14.95" customHeight="1" thickBot="1" x14ac:dyDescent="0.3">
      <c r="A33" s="187" t="s">
        <v>590</v>
      </c>
      <c r="B33" s="78">
        <v>0</v>
      </c>
      <c r="C33" s="308">
        <v>0</v>
      </c>
      <c r="D33" s="252">
        <v>0</v>
      </c>
      <c r="E33" s="5">
        <f t="shared" si="0"/>
        <v>0</v>
      </c>
      <c r="F33" s="190" t="s">
        <v>590</v>
      </c>
      <c r="G33" s="79">
        <v>0</v>
      </c>
      <c r="H33" s="292">
        <v>0</v>
      </c>
      <c r="I33" s="254">
        <v>0</v>
      </c>
      <c r="J33" s="64">
        <f t="shared" si="1"/>
        <v>0</v>
      </c>
      <c r="K33" s="187" t="s">
        <v>12</v>
      </c>
      <c r="L33" s="5">
        <v>10</v>
      </c>
      <c r="M33" s="5">
        <v>12</v>
      </c>
      <c r="N33" s="191">
        <f>SUM(L33/M33)*100</f>
        <v>83.333333333333343</v>
      </c>
      <c r="O33" s="151">
        <v>1</v>
      </c>
      <c r="P33" s="7">
        <v>1</v>
      </c>
      <c r="Q33" s="7">
        <v>100</v>
      </c>
      <c r="R33" s="151" t="s">
        <v>21</v>
      </c>
      <c r="S33" s="7" t="s">
        <v>21</v>
      </c>
      <c r="T33" s="7" t="s">
        <v>21</v>
      </c>
      <c r="U33" s="151" t="s">
        <v>21</v>
      </c>
      <c r="V33" s="7" t="s">
        <v>21</v>
      </c>
      <c r="W33" s="7" t="s">
        <v>21</v>
      </c>
      <c r="AC33" s="151" t="s">
        <v>21</v>
      </c>
      <c r="AD33" s="7" t="s">
        <v>21</v>
      </c>
      <c r="AE33" s="7" t="s">
        <v>21</v>
      </c>
      <c r="AF33" s="151" t="s">
        <v>21</v>
      </c>
      <c r="AG33" s="7" t="s">
        <v>21</v>
      </c>
      <c r="AH33" s="7" t="s">
        <v>21</v>
      </c>
      <c r="AI33" s="151" t="s">
        <v>21</v>
      </c>
      <c r="AJ33" s="7" t="s">
        <v>21</v>
      </c>
      <c r="AK33" s="7" t="s">
        <v>21</v>
      </c>
      <c r="AL33" s="151" t="s">
        <v>21</v>
      </c>
      <c r="AM33" s="7" t="s">
        <v>21</v>
      </c>
      <c r="AN33" s="7" t="s">
        <v>21</v>
      </c>
      <c r="AO33" s="151" t="s">
        <v>21</v>
      </c>
      <c r="AP33" s="7" t="s">
        <v>21</v>
      </c>
      <c r="AQ33" s="7" t="s">
        <v>21</v>
      </c>
    </row>
    <row r="34" spans="1:43" ht="14.95" customHeight="1" thickBot="1" x14ac:dyDescent="0.3">
      <c r="A34" s="187" t="s">
        <v>488</v>
      </c>
      <c r="B34" s="78">
        <v>2</v>
      </c>
      <c r="C34" s="308">
        <v>0</v>
      </c>
      <c r="D34" s="252">
        <v>0</v>
      </c>
      <c r="E34" s="5">
        <f t="shared" si="0"/>
        <v>2</v>
      </c>
      <c r="F34" s="190" t="s">
        <v>488</v>
      </c>
      <c r="G34" s="79">
        <v>10</v>
      </c>
      <c r="H34" s="292">
        <v>0</v>
      </c>
      <c r="I34" s="254">
        <v>0</v>
      </c>
      <c r="J34" s="64">
        <f t="shared" si="1"/>
        <v>10</v>
      </c>
      <c r="K34" s="187" t="s">
        <v>605</v>
      </c>
      <c r="L34" s="5">
        <v>1</v>
      </c>
      <c r="M34" s="5">
        <v>2</v>
      </c>
      <c r="N34" s="191">
        <v>50</v>
      </c>
      <c r="O34" s="151">
        <v>4</v>
      </c>
      <c r="P34" s="7">
        <v>4</v>
      </c>
      <c r="Q34" s="7">
        <v>100</v>
      </c>
      <c r="R34" s="151" t="s">
        <v>21</v>
      </c>
      <c r="S34" s="7" t="s">
        <v>21</v>
      </c>
      <c r="T34" s="7" t="s">
        <v>21</v>
      </c>
      <c r="U34" s="151" t="s">
        <v>21</v>
      </c>
      <c r="V34" s="7" t="s">
        <v>21</v>
      </c>
      <c r="W34" s="7" t="s">
        <v>21</v>
      </c>
      <c r="AC34" s="151" t="s">
        <v>21</v>
      </c>
      <c r="AD34" s="7" t="s">
        <v>21</v>
      </c>
      <c r="AE34" s="7" t="s">
        <v>21</v>
      </c>
      <c r="AF34" s="7" t="s">
        <v>21</v>
      </c>
      <c r="AG34" s="7" t="s">
        <v>21</v>
      </c>
      <c r="AH34" s="7" t="s">
        <v>21</v>
      </c>
      <c r="AI34" s="7" t="s">
        <v>21</v>
      </c>
      <c r="AJ34" s="7" t="s">
        <v>21</v>
      </c>
      <c r="AK34" s="7" t="s">
        <v>21</v>
      </c>
      <c r="AL34" s="151" t="s">
        <v>21</v>
      </c>
      <c r="AM34" s="7" t="s">
        <v>21</v>
      </c>
      <c r="AN34" s="7" t="s">
        <v>21</v>
      </c>
      <c r="AO34" s="7" t="s">
        <v>21</v>
      </c>
      <c r="AP34" s="7" t="s">
        <v>21</v>
      </c>
      <c r="AQ34" s="7" t="s">
        <v>21</v>
      </c>
    </row>
    <row r="35" spans="1:43" ht="14.95" customHeight="1" thickBot="1" x14ac:dyDescent="0.3">
      <c r="A35" s="187" t="s">
        <v>402</v>
      </c>
      <c r="B35" s="78">
        <v>0</v>
      </c>
      <c r="C35" s="308">
        <v>0</v>
      </c>
      <c r="D35" s="252">
        <v>0</v>
      </c>
      <c r="E35" s="5">
        <f t="shared" si="0"/>
        <v>0</v>
      </c>
      <c r="F35" s="190" t="s">
        <v>402</v>
      </c>
      <c r="G35" s="79">
        <v>0</v>
      </c>
      <c r="H35" s="292">
        <v>0</v>
      </c>
      <c r="I35" s="254">
        <v>0</v>
      </c>
      <c r="J35" s="64">
        <f t="shared" si="1"/>
        <v>0</v>
      </c>
      <c r="K35" s="93" t="s">
        <v>870</v>
      </c>
    </row>
    <row r="36" spans="1:43" ht="14.95" customHeight="1" thickBot="1" x14ac:dyDescent="0.3">
      <c r="A36" s="187" t="s">
        <v>592</v>
      </c>
      <c r="B36" s="78">
        <v>0</v>
      </c>
      <c r="C36" s="308">
        <v>0</v>
      </c>
      <c r="D36" s="252">
        <v>0</v>
      </c>
      <c r="E36" s="5">
        <f t="shared" si="0"/>
        <v>0</v>
      </c>
      <c r="F36" s="190" t="s">
        <v>592</v>
      </c>
      <c r="G36" s="79">
        <v>0</v>
      </c>
      <c r="H36" s="292">
        <v>0</v>
      </c>
      <c r="I36" s="254">
        <v>0</v>
      </c>
      <c r="J36" s="64">
        <f t="shared" si="1"/>
        <v>0</v>
      </c>
      <c r="K36" s="451" t="s">
        <v>940</v>
      </c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</row>
    <row r="37" spans="1:43" ht="14.95" customHeight="1" thickBot="1" x14ac:dyDescent="0.3">
      <c r="A37" s="187" t="s">
        <v>496</v>
      </c>
      <c r="B37" s="78">
        <v>0</v>
      </c>
      <c r="C37" s="308">
        <v>0</v>
      </c>
      <c r="D37" s="252">
        <v>0</v>
      </c>
      <c r="E37" s="5">
        <f t="shared" si="0"/>
        <v>0</v>
      </c>
      <c r="F37" s="190" t="s">
        <v>496</v>
      </c>
      <c r="G37" s="79">
        <v>0</v>
      </c>
      <c r="H37" s="292">
        <v>0</v>
      </c>
      <c r="I37" s="254">
        <v>0</v>
      </c>
      <c r="J37" s="64">
        <f t="shared" si="1"/>
        <v>0</v>
      </c>
    </row>
    <row r="38" spans="1:43" ht="14.95" customHeight="1" thickBot="1" x14ac:dyDescent="0.3">
      <c r="A38" s="187" t="s">
        <v>449</v>
      </c>
      <c r="B38" s="78">
        <v>1</v>
      </c>
      <c r="C38" s="308">
        <v>0</v>
      </c>
      <c r="D38" s="252">
        <v>0</v>
      </c>
      <c r="E38" s="5">
        <f t="shared" si="0"/>
        <v>1</v>
      </c>
      <c r="F38" s="190" t="s">
        <v>449</v>
      </c>
      <c r="G38" s="79">
        <v>5</v>
      </c>
      <c r="H38" s="292">
        <v>0</v>
      </c>
      <c r="I38" s="254">
        <v>0</v>
      </c>
      <c r="J38" s="64">
        <f t="shared" si="1"/>
        <v>5</v>
      </c>
    </row>
    <row r="39" spans="1:43" ht="14.95" customHeight="1" thickBot="1" x14ac:dyDescent="0.3">
      <c r="A39" s="187" t="s">
        <v>999</v>
      </c>
      <c r="B39" s="78">
        <v>0</v>
      </c>
      <c r="C39" s="308">
        <v>1</v>
      </c>
      <c r="D39" s="252">
        <v>0</v>
      </c>
      <c r="E39" s="5">
        <f t="shared" si="0"/>
        <v>1</v>
      </c>
      <c r="F39" s="190" t="s">
        <v>999</v>
      </c>
      <c r="G39" s="79">
        <v>0</v>
      </c>
      <c r="H39" s="292">
        <v>5</v>
      </c>
      <c r="I39" s="254">
        <v>0</v>
      </c>
      <c r="J39" s="64">
        <f t="shared" si="1"/>
        <v>5</v>
      </c>
    </row>
    <row r="40" spans="1:43" ht="14.95" customHeight="1" thickBot="1" x14ac:dyDescent="0.3">
      <c r="A40" s="187" t="s">
        <v>5</v>
      </c>
      <c r="B40" s="78">
        <v>2</v>
      </c>
      <c r="C40" s="308">
        <v>0</v>
      </c>
      <c r="D40" s="252">
        <v>1</v>
      </c>
      <c r="E40" s="5">
        <f t="shared" si="0"/>
        <v>3</v>
      </c>
      <c r="F40" s="190" t="s">
        <v>5</v>
      </c>
      <c r="G40" s="79">
        <v>14</v>
      </c>
      <c r="H40" s="292">
        <v>0</v>
      </c>
      <c r="I40" s="254">
        <v>7</v>
      </c>
      <c r="J40" s="64">
        <f t="shared" si="1"/>
        <v>21</v>
      </c>
    </row>
    <row r="41" spans="1:43" ht="14.95" customHeight="1" thickBot="1" x14ac:dyDescent="0.3">
      <c r="A41" s="187" t="s">
        <v>420</v>
      </c>
      <c r="B41" s="78">
        <v>0</v>
      </c>
      <c r="C41" s="308">
        <v>0</v>
      </c>
      <c r="D41" s="252">
        <v>0</v>
      </c>
      <c r="E41" s="5">
        <f t="shared" si="0"/>
        <v>0</v>
      </c>
      <c r="F41" s="190" t="s">
        <v>420</v>
      </c>
      <c r="G41" s="79">
        <v>0</v>
      </c>
      <c r="H41" s="292">
        <v>0</v>
      </c>
      <c r="I41" s="254">
        <v>0</v>
      </c>
      <c r="J41" s="64">
        <f t="shared" si="1"/>
        <v>0</v>
      </c>
    </row>
    <row r="42" spans="1:43" ht="14.95" customHeight="1" thickBot="1" x14ac:dyDescent="0.3">
      <c r="A42" s="187" t="s">
        <v>791</v>
      </c>
      <c r="B42" s="78">
        <v>1</v>
      </c>
      <c r="C42" s="308">
        <v>0</v>
      </c>
      <c r="D42" s="252">
        <v>1</v>
      </c>
      <c r="E42" s="5">
        <f t="shared" si="0"/>
        <v>2</v>
      </c>
      <c r="F42" s="190" t="s">
        <v>900</v>
      </c>
      <c r="G42" s="79">
        <v>5</v>
      </c>
      <c r="H42" s="292">
        <v>0</v>
      </c>
      <c r="I42" s="254">
        <v>5</v>
      </c>
      <c r="J42" s="64">
        <f t="shared" si="1"/>
        <v>10</v>
      </c>
    </row>
    <row r="43" spans="1:43" ht="14.95" customHeight="1" thickBot="1" x14ac:dyDescent="0.3">
      <c r="A43" s="187" t="s">
        <v>901</v>
      </c>
      <c r="B43" s="78">
        <v>0</v>
      </c>
      <c r="C43" s="308">
        <v>0</v>
      </c>
      <c r="D43" s="252">
        <v>1</v>
      </c>
      <c r="E43" s="5">
        <f t="shared" ref="E43" si="13">SUM(B43:D43)</f>
        <v>1</v>
      </c>
      <c r="F43" s="190" t="s">
        <v>901</v>
      </c>
      <c r="G43" s="79">
        <v>0</v>
      </c>
      <c r="H43" s="292">
        <v>0</v>
      </c>
      <c r="I43" s="254">
        <v>5</v>
      </c>
      <c r="J43" s="64">
        <f t="shared" ref="J43" si="14">SUM(G43:I43)</f>
        <v>5</v>
      </c>
    </row>
    <row r="44" spans="1:43" ht="14.95" customHeight="1" thickBot="1" x14ac:dyDescent="0.3">
      <c r="A44" s="187" t="s">
        <v>798</v>
      </c>
      <c r="B44" s="78">
        <v>0</v>
      </c>
      <c r="C44" s="308">
        <v>0</v>
      </c>
      <c r="D44" s="252">
        <v>0</v>
      </c>
      <c r="E44" s="5">
        <f t="shared" si="0"/>
        <v>0</v>
      </c>
      <c r="F44" s="190" t="s">
        <v>798</v>
      </c>
      <c r="G44" s="79">
        <v>0</v>
      </c>
      <c r="H44" s="292">
        <v>0</v>
      </c>
      <c r="I44" s="254">
        <v>0</v>
      </c>
      <c r="J44" s="64">
        <f t="shared" si="1"/>
        <v>0</v>
      </c>
    </row>
    <row r="45" spans="1:43" ht="14.95" customHeight="1" thickBot="1" x14ac:dyDescent="0.3">
      <c r="A45" s="187" t="s">
        <v>404</v>
      </c>
      <c r="B45" s="78">
        <v>0</v>
      </c>
      <c r="C45" s="308">
        <v>0</v>
      </c>
      <c r="D45" s="252">
        <v>0</v>
      </c>
      <c r="E45" s="5">
        <f t="shared" si="0"/>
        <v>0</v>
      </c>
      <c r="F45" s="190" t="s">
        <v>404</v>
      </c>
      <c r="G45" s="79">
        <v>0</v>
      </c>
      <c r="H45" s="292">
        <v>0</v>
      </c>
      <c r="I45" s="254">
        <v>0</v>
      </c>
      <c r="J45" s="64">
        <f t="shared" si="1"/>
        <v>0</v>
      </c>
    </row>
    <row r="46" spans="1:43" ht="14.95" thickBot="1" x14ac:dyDescent="0.3">
      <c r="A46" s="187" t="s">
        <v>820</v>
      </c>
      <c r="B46" s="78">
        <v>0</v>
      </c>
      <c r="C46" s="308">
        <v>0</v>
      </c>
      <c r="D46" s="252">
        <v>0</v>
      </c>
      <c r="E46" s="5">
        <f t="shared" si="0"/>
        <v>0</v>
      </c>
      <c r="F46" s="190" t="s">
        <v>820</v>
      </c>
      <c r="G46" s="79">
        <v>0</v>
      </c>
      <c r="H46" s="292">
        <v>0</v>
      </c>
      <c r="I46" s="254">
        <v>0</v>
      </c>
      <c r="J46" s="64">
        <f t="shared" si="1"/>
        <v>0</v>
      </c>
    </row>
    <row r="47" spans="1:43" ht="14.95" thickBot="1" x14ac:dyDescent="0.3">
      <c r="A47" s="187" t="s">
        <v>408</v>
      </c>
      <c r="B47" s="78">
        <v>4</v>
      </c>
      <c r="C47" s="308">
        <v>0</v>
      </c>
      <c r="D47" s="252">
        <v>2</v>
      </c>
      <c r="E47" s="5">
        <f t="shared" si="0"/>
        <v>6</v>
      </c>
      <c r="F47" s="190" t="s">
        <v>408</v>
      </c>
      <c r="G47" s="79">
        <v>20</v>
      </c>
      <c r="H47" s="292">
        <v>0</v>
      </c>
      <c r="I47" s="254">
        <v>10</v>
      </c>
      <c r="J47" s="64">
        <f t="shared" si="1"/>
        <v>30</v>
      </c>
    </row>
    <row r="48" spans="1:43" ht="14.95" customHeight="1" thickBot="1" x14ac:dyDescent="0.3">
      <c r="A48" s="187" t="s">
        <v>997</v>
      </c>
      <c r="B48" s="78">
        <v>1</v>
      </c>
      <c r="C48" s="308">
        <v>1</v>
      </c>
      <c r="D48" s="252">
        <v>0</v>
      </c>
      <c r="E48" s="5">
        <f t="shared" si="0"/>
        <v>2</v>
      </c>
      <c r="F48" s="190" t="s">
        <v>997</v>
      </c>
      <c r="G48" s="79">
        <v>5</v>
      </c>
      <c r="H48" s="292">
        <v>5</v>
      </c>
      <c r="I48" s="254">
        <v>0</v>
      </c>
      <c r="J48" s="64">
        <f t="shared" si="1"/>
        <v>10</v>
      </c>
    </row>
    <row r="49" spans="1:10" ht="14.95" customHeight="1" thickBot="1" x14ac:dyDescent="0.3">
      <c r="A49" s="187" t="s">
        <v>852</v>
      </c>
      <c r="B49" s="78">
        <v>0</v>
      </c>
      <c r="C49" s="308">
        <v>0</v>
      </c>
      <c r="D49" s="252">
        <v>0</v>
      </c>
      <c r="E49" s="5">
        <f t="shared" si="0"/>
        <v>0</v>
      </c>
      <c r="F49" s="190" t="s">
        <v>852</v>
      </c>
      <c r="G49" s="79">
        <v>0</v>
      </c>
      <c r="H49" s="292">
        <v>0</v>
      </c>
      <c r="I49" s="254">
        <v>0</v>
      </c>
      <c r="J49" s="64">
        <f t="shared" si="1"/>
        <v>0</v>
      </c>
    </row>
    <row r="50" spans="1:10" ht="14.95" thickBot="1" x14ac:dyDescent="0.3">
      <c r="A50" s="187" t="s">
        <v>750</v>
      </c>
      <c r="B50" s="78">
        <v>0</v>
      </c>
      <c r="C50" s="308">
        <v>0</v>
      </c>
      <c r="D50" s="252">
        <v>0</v>
      </c>
      <c r="E50" s="5">
        <f t="shared" si="0"/>
        <v>0</v>
      </c>
      <c r="F50" s="190" t="s">
        <v>750</v>
      </c>
      <c r="G50" s="79">
        <v>0</v>
      </c>
      <c r="H50" s="292">
        <v>0</v>
      </c>
      <c r="I50" s="254">
        <v>0</v>
      </c>
      <c r="J50" s="64">
        <f t="shared" si="1"/>
        <v>0</v>
      </c>
    </row>
    <row r="51" spans="1:10" ht="14.95" thickBot="1" x14ac:dyDescent="0.3">
      <c r="A51" s="187" t="s">
        <v>32</v>
      </c>
      <c r="B51" s="78">
        <v>0</v>
      </c>
      <c r="C51" s="308">
        <v>0</v>
      </c>
      <c r="D51" s="252">
        <v>0</v>
      </c>
      <c r="E51" s="5">
        <f t="shared" si="0"/>
        <v>0</v>
      </c>
      <c r="F51" s="190" t="s">
        <v>32</v>
      </c>
      <c r="G51" s="79">
        <v>0</v>
      </c>
      <c r="H51" s="292">
        <v>0</v>
      </c>
      <c r="I51" s="254">
        <v>0</v>
      </c>
      <c r="J51" s="64">
        <f t="shared" si="1"/>
        <v>0</v>
      </c>
    </row>
    <row r="52" spans="1:10" ht="14.95" thickBot="1" x14ac:dyDescent="0.3">
      <c r="A52" s="187" t="s">
        <v>594</v>
      </c>
      <c r="B52" s="78">
        <v>2</v>
      </c>
      <c r="C52" s="308">
        <v>1</v>
      </c>
      <c r="D52" s="252">
        <v>4</v>
      </c>
      <c r="E52" s="5">
        <f t="shared" si="0"/>
        <v>7</v>
      </c>
      <c r="F52" s="190" t="s">
        <v>594</v>
      </c>
      <c r="G52" s="79">
        <v>10</v>
      </c>
      <c r="H52" s="292">
        <v>5</v>
      </c>
      <c r="I52" s="254">
        <v>20</v>
      </c>
      <c r="J52" s="64">
        <f t="shared" si="1"/>
        <v>35</v>
      </c>
    </row>
    <row r="53" spans="1:10" ht="14.95" thickBot="1" x14ac:dyDescent="0.3">
      <c r="A53" s="187" t="s">
        <v>426</v>
      </c>
      <c r="B53" s="78">
        <v>2</v>
      </c>
      <c r="C53" s="308">
        <v>0</v>
      </c>
      <c r="D53" s="252">
        <v>1</v>
      </c>
      <c r="E53" s="5">
        <f t="shared" si="0"/>
        <v>3</v>
      </c>
      <c r="F53" s="190" t="s">
        <v>426</v>
      </c>
      <c r="G53" s="79">
        <v>10</v>
      </c>
      <c r="H53" s="292">
        <v>0</v>
      </c>
      <c r="I53" s="254">
        <v>5</v>
      </c>
      <c r="J53" s="64">
        <f t="shared" si="1"/>
        <v>15</v>
      </c>
    </row>
    <row r="54" spans="1:10" ht="14.95" thickBot="1" x14ac:dyDescent="0.3">
      <c r="A54" s="187" t="s">
        <v>98</v>
      </c>
      <c r="B54" s="78">
        <v>1</v>
      </c>
      <c r="C54" s="308">
        <v>0</v>
      </c>
      <c r="D54" s="252">
        <v>0</v>
      </c>
      <c r="E54" s="5">
        <f t="shared" si="0"/>
        <v>1</v>
      </c>
      <c r="F54" s="190" t="s">
        <v>98</v>
      </c>
      <c r="G54" s="79">
        <v>5</v>
      </c>
      <c r="H54" s="292">
        <v>0</v>
      </c>
      <c r="I54" s="254">
        <v>0</v>
      </c>
      <c r="J54" s="64">
        <f t="shared" si="1"/>
        <v>5</v>
      </c>
    </row>
    <row r="55" spans="1:10" ht="14.95" thickBot="1" x14ac:dyDescent="0.3">
      <c r="A55" s="187" t="s">
        <v>410</v>
      </c>
      <c r="B55" s="78">
        <v>0</v>
      </c>
      <c r="C55" s="308">
        <v>0</v>
      </c>
      <c r="D55" s="252">
        <v>0</v>
      </c>
      <c r="E55" s="5">
        <f t="shared" si="0"/>
        <v>0</v>
      </c>
      <c r="F55" s="190" t="s">
        <v>410</v>
      </c>
      <c r="G55" s="79">
        <v>0</v>
      </c>
      <c r="H55" s="292">
        <v>0</v>
      </c>
      <c r="I55" s="254">
        <v>0</v>
      </c>
      <c r="J55" s="64">
        <f t="shared" si="1"/>
        <v>0</v>
      </c>
    </row>
    <row r="56" spans="1:10" ht="14.95" thickBot="1" x14ac:dyDescent="0.3">
      <c r="A56" s="187" t="s">
        <v>406</v>
      </c>
      <c r="B56" s="78">
        <v>0</v>
      </c>
      <c r="C56" s="308">
        <v>0</v>
      </c>
      <c r="D56" s="252">
        <v>0</v>
      </c>
      <c r="E56" s="5">
        <f t="shared" si="0"/>
        <v>0</v>
      </c>
      <c r="F56" s="190" t="s">
        <v>406</v>
      </c>
      <c r="G56" s="79">
        <v>0</v>
      </c>
      <c r="H56" s="292">
        <v>0</v>
      </c>
      <c r="I56" s="254">
        <v>0</v>
      </c>
      <c r="J56" s="64">
        <f t="shared" si="1"/>
        <v>0</v>
      </c>
    </row>
    <row r="57" spans="1:10" ht="14.95" thickBot="1" x14ac:dyDescent="0.3">
      <c r="A57" s="187" t="s">
        <v>605</v>
      </c>
      <c r="B57" s="78">
        <v>0</v>
      </c>
      <c r="C57" s="308">
        <v>0</v>
      </c>
      <c r="D57" s="252">
        <v>0</v>
      </c>
      <c r="E57" s="5">
        <f t="shared" si="0"/>
        <v>0</v>
      </c>
      <c r="F57" s="190" t="s">
        <v>605</v>
      </c>
      <c r="G57" s="79">
        <v>2</v>
      </c>
      <c r="H57" s="292">
        <v>0</v>
      </c>
      <c r="I57" s="254">
        <v>2</v>
      </c>
      <c r="J57" s="64">
        <f t="shared" si="1"/>
        <v>4</v>
      </c>
    </row>
    <row r="58" spans="1:10" ht="14.95" thickBot="1" x14ac:dyDescent="0.3">
      <c r="A58" s="187" t="s">
        <v>692</v>
      </c>
      <c r="B58" s="78">
        <v>0</v>
      </c>
      <c r="C58" s="308">
        <v>0</v>
      </c>
      <c r="D58" s="252">
        <v>0</v>
      </c>
      <c r="E58" s="5">
        <f t="shared" si="0"/>
        <v>0</v>
      </c>
      <c r="F58" s="190" t="s">
        <v>692</v>
      </c>
      <c r="G58" s="79">
        <v>0</v>
      </c>
      <c r="H58" s="292">
        <v>0</v>
      </c>
      <c r="I58" s="254">
        <v>0</v>
      </c>
      <c r="J58" s="64">
        <f t="shared" si="1"/>
        <v>0</v>
      </c>
    </row>
    <row r="59" spans="1:10" ht="14.95" thickBot="1" x14ac:dyDescent="0.3">
      <c r="A59" s="187" t="s">
        <v>902</v>
      </c>
      <c r="B59" s="78">
        <v>0</v>
      </c>
      <c r="C59" s="308">
        <v>0</v>
      </c>
      <c r="D59" s="252">
        <v>1</v>
      </c>
      <c r="E59" s="5">
        <f t="shared" ref="E59" si="15">SUM(B59:D59)</f>
        <v>1</v>
      </c>
      <c r="F59" s="190" t="s">
        <v>902</v>
      </c>
      <c r="G59" s="79">
        <v>0</v>
      </c>
      <c r="H59" s="292">
        <v>0</v>
      </c>
      <c r="I59" s="254">
        <v>5</v>
      </c>
      <c r="J59" s="64">
        <f t="shared" ref="J59" si="16">SUM(G59:I59)</f>
        <v>5</v>
      </c>
    </row>
    <row r="60" spans="1:10" ht="14.95" thickBot="1" x14ac:dyDescent="0.3">
      <c r="A60" s="187" t="s">
        <v>413</v>
      </c>
      <c r="B60" s="78">
        <v>0</v>
      </c>
      <c r="C60" s="308">
        <v>0</v>
      </c>
      <c r="D60" s="252">
        <v>0</v>
      </c>
      <c r="E60" s="5">
        <f t="shared" si="0"/>
        <v>0</v>
      </c>
      <c r="F60" s="190" t="s">
        <v>413</v>
      </c>
      <c r="G60" s="79">
        <v>0</v>
      </c>
      <c r="H60" s="292">
        <v>0</v>
      </c>
      <c r="I60" s="254">
        <v>0</v>
      </c>
      <c r="J60" s="64">
        <f t="shared" si="1"/>
        <v>0</v>
      </c>
    </row>
    <row r="61" spans="1:10" ht="14.95" thickBot="1" x14ac:dyDescent="0.3">
      <c r="A61" s="187" t="s">
        <v>436</v>
      </c>
      <c r="B61" s="78">
        <v>0</v>
      </c>
      <c r="C61" s="308">
        <v>0</v>
      </c>
      <c r="D61" s="252">
        <v>1</v>
      </c>
      <c r="E61" s="5">
        <f t="shared" si="0"/>
        <v>1</v>
      </c>
      <c r="F61" s="190" t="s">
        <v>436</v>
      </c>
      <c r="G61" s="79">
        <v>0</v>
      </c>
      <c r="H61" s="292">
        <v>0</v>
      </c>
      <c r="I61" s="254">
        <v>5</v>
      </c>
      <c r="J61" s="64">
        <f t="shared" si="1"/>
        <v>5</v>
      </c>
    </row>
    <row r="62" spans="1:10" ht="14.95" thickBot="1" x14ac:dyDescent="0.3">
      <c r="A62" s="187" t="s">
        <v>28</v>
      </c>
      <c r="B62" s="78">
        <v>0</v>
      </c>
      <c r="C62" s="308">
        <v>0</v>
      </c>
      <c r="D62" s="252">
        <v>0</v>
      </c>
      <c r="E62" s="5">
        <f t="shared" si="0"/>
        <v>0</v>
      </c>
      <c r="F62" s="190" t="s">
        <v>28</v>
      </c>
      <c r="G62" s="79">
        <v>0</v>
      </c>
      <c r="H62" s="292">
        <v>0</v>
      </c>
      <c r="I62" s="254">
        <v>0</v>
      </c>
      <c r="J62" s="64">
        <f t="shared" si="1"/>
        <v>0</v>
      </c>
    </row>
    <row r="63" spans="1:10" ht="14.95" thickBot="1" x14ac:dyDescent="0.3">
      <c r="A63" s="187" t="s">
        <v>415</v>
      </c>
      <c r="B63" s="78">
        <v>0</v>
      </c>
      <c r="C63" s="308">
        <v>0</v>
      </c>
      <c r="D63" s="252">
        <v>0</v>
      </c>
      <c r="E63" s="5">
        <f t="shared" si="0"/>
        <v>0</v>
      </c>
      <c r="F63" s="190" t="s">
        <v>415</v>
      </c>
      <c r="G63" s="79">
        <v>0</v>
      </c>
      <c r="H63" s="292">
        <v>0</v>
      </c>
      <c r="I63" s="254">
        <v>0</v>
      </c>
      <c r="J63" s="64">
        <f t="shared" si="1"/>
        <v>0</v>
      </c>
    </row>
    <row r="64" spans="1:10" ht="14.95" thickBot="1" x14ac:dyDescent="0.3">
      <c r="A64" s="187" t="s">
        <v>163</v>
      </c>
      <c r="B64" s="78">
        <v>0</v>
      </c>
      <c r="C64" s="308">
        <v>0</v>
      </c>
      <c r="D64" s="252">
        <v>0</v>
      </c>
      <c r="E64" s="5">
        <f t="shared" si="0"/>
        <v>0</v>
      </c>
      <c r="F64" s="190" t="s">
        <v>163</v>
      </c>
      <c r="G64" s="79">
        <v>0</v>
      </c>
      <c r="H64" s="292">
        <v>0</v>
      </c>
      <c r="I64" s="254">
        <v>0</v>
      </c>
      <c r="J64" s="64">
        <f t="shared" si="1"/>
        <v>0</v>
      </c>
    </row>
    <row r="65" spans="1:10" ht="14.95" thickBot="1" x14ac:dyDescent="0.3">
      <c r="A65" s="187" t="s">
        <v>35</v>
      </c>
      <c r="B65" s="78">
        <v>0</v>
      </c>
      <c r="C65" s="308">
        <v>0</v>
      </c>
      <c r="D65" s="252">
        <v>0</v>
      </c>
      <c r="E65" s="5">
        <f t="shared" si="0"/>
        <v>0</v>
      </c>
      <c r="F65" s="190" t="s">
        <v>35</v>
      </c>
      <c r="G65" s="79">
        <v>0</v>
      </c>
      <c r="H65" s="292">
        <v>0</v>
      </c>
      <c r="I65" s="254">
        <v>0</v>
      </c>
      <c r="J65" s="64">
        <f t="shared" si="1"/>
        <v>0</v>
      </c>
    </row>
    <row r="66" spans="1:10" ht="14.95" thickBot="1" x14ac:dyDescent="0.3">
      <c r="A66" s="187" t="s">
        <v>3</v>
      </c>
      <c r="B66" s="78">
        <f>SUM(B3:B65)</f>
        <v>30</v>
      </c>
      <c r="C66" s="308">
        <f>SUM(C3:C65)</f>
        <v>8</v>
      </c>
      <c r="D66" s="252">
        <f>SUM(D3:D65)</f>
        <v>23</v>
      </c>
      <c r="E66" s="5">
        <f t="shared" si="0"/>
        <v>61</v>
      </c>
      <c r="F66" s="189" t="s">
        <v>3</v>
      </c>
      <c r="G66" s="79">
        <f>SUM(G3:G65)</f>
        <v>253</v>
      </c>
      <c r="H66" s="292">
        <f>SUM(H3:H65)</f>
        <v>82</v>
      </c>
      <c r="I66" s="254">
        <f>SUM(I3:I65)</f>
        <v>162</v>
      </c>
      <c r="J66" s="64">
        <f t="shared" si="1"/>
        <v>497</v>
      </c>
    </row>
    <row r="67" spans="1:10" x14ac:dyDescent="0.25">
      <c r="A67" s="444"/>
      <c r="B67" s="445"/>
      <c r="C67" s="445"/>
      <c r="D67" s="445"/>
      <c r="E67" s="445"/>
      <c r="F67" s="445"/>
      <c r="G67" s="445"/>
      <c r="H67" s="445"/>
      <c r="I67" s="37"/>
      <c r="J67" s="35"/>
    </row>
    <row r="68" spans="1:10" ht="14.95" thickBot="1" x14ac:dyDescent="0.3">
      <c r="A68" s="71" t="s">
        <v>18</v>
      </c>
      <c r="B68" s="136"/>
      <c r="C68" s="72"/>
      <c r="D68" s="72"/>
      <c r="E68" s="63"/>
      <c r="F68" s="37"/>
      <c r="G68" s="136"/>
      <c r="H68" s="105"/>
      <c r="I68" s="37"/>
      <c r="J68" s="37"/>
    </row>
    <row r="69" spans="1:10" ht="14.95" thickBot="1" x14ac:dyDescent="0.3">
      <c r="A69" s="186" t="s">
        <v>0</v>
      </c>
      <c r="B69" s="116" t="s">
        <v>355</v>
      </c>
      <c r="C69" s="307" t="s">
        <v>43</v>
      </c>
      <c r="D69" s="251" t="s">
        <v>564</v>
      </c>
      <c r="E69" s="109" t="s">
        <v>1</v>
      </c>
      <c r="F69" s="188" t="s">
        <v>2</v>
      </c>
      <c r="G69" s="111" t="s">
        <v>355</v>
      </c>
      <c r="H69" s="291" t="s">
        <v>43</v>
      </c>
      <c r="I69" s="253" t="s">
        <v>564</v>
      </c>
      <c r="J69" s="112" t="s">
        <v>1</v>
      </c>
    </row>
    <row r="70" spans="1:10" ht="14.95" thickBot="1" x14ac:dyDescent="0.3">
      <c r="A70" s="187" t="s">
        <v>390</v>
      </c>
      <c r="B70" s="78">
        <v>6</v>
      </c>
      <c r="C70" s="308">
        <v>1</v>
      </c>
      <c r="D70" s="252">
        <v>1</v>
      </c>
      <c r="E70" s="5">
        <f t="shared" ref="E70:E101" si="17">SUM(B70:D70)</f>
        <v>8</v>
      </c>
      <c r="F70" s="190" t="s">
        <v>407</v>
      </c>
      <c r="G70" s="79">
        <v>68</v>
      </c>
      <c r="H70" s="292">
        <v>16</v>
      </c>
      <c r="I70" s="254">
        <v>23</v>
      </c>
      <c r="J70" s="64">
        <f t="shared" ref="J70:J101" si="18">SUM(G70:I70)</f>
        <v>107</v>
      </c>
    </row>
    <row r="71" spans="1:10" ht="14.95" thickBot="1" x14ac:dyDescent="0.3">
      <c r="A71" s="187" t="s">
        <v>594</v>
      </c>
      <c r="B71" s="78">
        <v>2</v>
      </c>
      <c r="C71" s="308">
        <v>1</v>
      </c>
      <c r="D71" s="252">
        <v>4</v>
      </c>
      <c r="E71" s="5">
        <f t="shared" si="17"/>
        <v>7</v>
      </c>
      <c r="F71" s="190" t="s">
        <v>12</v>
      </c>
      <c r="G71" s="79">
        <v>15</v>
      </c>
      <c r="H71" s="292">
        <v>24</v>
      </c>
      <c r="I71" s="254">
        <v>25</v>
      </c>
      <c r="J71" s="64">
        <f t="shared" si="18"/>
        <v>64</v>
      </c>
    </row>
    <row r="72" spans="1:10" ht="14.95" thickBot="1" x14ac:dyDescent="0.3">
      <c r="A72" s="187" t="s">
        <v>408</v>
      </c>
      <c r="B72" s="78">
        <v>4</v>
      </c>
      <c r="C72" s="308">
        <v>0</v>
      </c>
      <c r="D72" s="252">
        <v>2</v>
      </c>
      <c r="E72" s="5">
        <f t="shared" si="17"/>
        <v>6</v>
      </c>
      <c r="F72" s="190" t="s">
        <v>390</v>
      </c>
      <c r="G72" s="79">
        <v>30</v>
      </c>
      <c r="H72" s="292">
        <v>5</v>
      </c>
      <c r="I72" s="254">
        <v>5</v>
      </c>
      <c r="J72" s="64">
        <f t="shared" si="18"/>
        <v>40</v>
      </c>
    </row>
    <row r="73" spans="1:10" ht="14.95" thickBot="1" x14ac:dyDescent="0.3">
      <c r="A73" s="187" t="s">
        <v>9</v>
      </c>
      <c r="B73" s="78">
        <v>1</v>
      </c>
      <c r="C73" s="308">
        <v>0</v>
      </c>
      <c r="D73" s="252">
        <v>2</v>
      </c>
      <c r="E73" s="5">
        <f t="shared" si="17"/>
        <v>3</v>
      </c>
      <c r="F73" s="190" t="s">
        <v>594</v>
      </c>
      <c r="G73" s="79">
        <v>10</v>
      </c>
      <c r="H73" s="292">
        <v>5</v>
      </c>
      <c r="I73" s="254">
        <v>20</v>
      </c>
      <c r="J73" s="64">
        <f t="shared" si="18"/>
        <v>35</v>
      </c>
    </row>
    <row r="74" spans="1:10" ht="14.95" thickBot="1" x14ac:dyDescent="0.3">
      <c r="A74" s="187" t="s">
        <v>5</v>
      </c>
      <c r="B74" s="78">
        <v>2</v>
      </c>
      <c r="C74" s="308">
        <v>0</v>
      </c>
      <c r="D74" s="252">
        <v>1</v>
      </c>
      <c r="E74" s="5">
        <f t="shared" si="17"/>
        <v>3</v>
      </c>
      <c r="F74" s="190" t="s">
        <v>408</v>
      </c>
      <c r="G74" s="79">
        <v>20</v>
      </c>
      <c r="H74" s="292">
        <v>0</v>
      </c>
      <c r="I74" s="254">
        <v>10</v>
      </c>
      <c r="J74" s="64">
        <f t="shared" si="18"/>
        <v>30</v>
      </c>
    </row>
    <row r="75" spans="1:10" ht="14.95" thickBot="1" x14ac:dyDescent="0.3">
      <c r="A75" s="187" t="s">
        <v>426</v>
      </c>
      <c r="B75" s="78">
        <v>2</v>
      </c>
      <c r="C75" s="308">
        <v>0</v>
      </c>
      <c r="D75" s="252">
        <v>1</v>
      </c>
      <c r="E75" s="5">
        <f t="shared" si="17"/>
        <v>3</v>
      </c>
      <c r="F75" s="190" t="s">
        <v>971</v>
      </c>
      <c r="G75" s="79">
        <v>19</v>
      </c>
      <c r="H75" s="292">
        <v>2</v>
      </c>
      <c r="I75" s="254">
        <v>0</v>
      </c>
      <c r="J75" s="64">
        <f t="shared" si="18"/>
        <v>21</v>
      </c>
    </row>
    <row r="76" spans="1:10" ht="14.95" thickBot="1" x14ac:dyDescent="0.3">
      <c r="A76" s="187" t="s">
        <v>350</v>
      </c>
      <c r="B76" s="78">
        <v>2</v>
      </c>
      <c r="C76" s="308">
        <v>0</v>
      </c>
      <c r="D76" s="252">
        <v>0</v>
      </c>
      <c r="E76" s="5">
        <f t="shared" si="17"/>
        <v>2</v>
      </c>
      <c r="F76" s="190" t="s">
        <v>5</v>
      </c>
      <c r="G76" s="79">
        <v>14</v>
      </c>
      <c r="H76" s="292">
        <v>0</v>
      </c>
      <c r="I76" s="254">
        <v>7</v>
      </c>
      <c r="J76" s="64">
        <f t="shared" si="18"/>
        <v>21</v>
      </c>
    </row>
    <row r="77" spans="1:10" ht="14.95" thickBot="1" x14ac:dyDescent="0.3">
      <c r="A77" s="187" t="s">
        <v>394</v>
      </c>
      <c r="B77" s="78">
        <v>1</v>
      </c>
      <c r="C77" s="308">
        <v>1</v>
      </c>
      <c r="D77" s="252">
        <v>0</v>
      </c>
      <c r="E77" s="5">
        <f t="shared" si="17"/>
        <v>2</v>
      </c>
      <c r="F77" s="190" t="s">
        <v>9</v>
      </c>
      <c r="G77" s="79">
        <v>5</v>
      </c>
      <c r="H77" s="292">
        <v>0</v>
      </c>
      <c r="I77" s="254">
        <v>10</v>
      </c>
      <c r="J77" s="64">
        <f t="shared" si="18"/>
        <v>15</v>
      </c>
    </row>
    <row r="78" spans="1:10" ht="14.95" thickBot="1" x14ac:dyDescent="0.3">
      <c r="A78" s="187" t="s">
        <v>898</v>
      </c>
      <c r="B78" s="78">
        <v>1</v>
      </c>
      <c r="C78" s="308">
        <v>0</v>
      </c>
      <c r="D78" s="252">
        <v>1</v>
      </c>
      <c r="E78" s="5">
        <f t="shared" si="17"/>
        <v>2</v>
      </c>
      <c r="F78" s="190" t="s">
        <v>426</v>
      </c>
      <c r="G78" s="79">
        <v>10</v>
      </c>
      <c r="H78" s="292">
        <v>0</v>
      </c>
      <c r="I78" s="254">
        <v>5</v>
      </c>
      <c r="J78" s="64">
        <f t="shared" si="18"/>
        <v>15</v>
      </c>
    </row>
    <row r="79" spans="1:10" ht="14.95" thickBot="1" x14ac:dyDescent="0.3">
      <c r="A79" s="187" t="s">
        <v>818</v>
      </c>
      <c r="B79" s="78">
        <v>0</v>
      </c>
      <c r="C79" s="308">
        <v>0</v>
      </c>
      <c r="D79" s="252">
        <v>2</v>
      </c>
      <c r="E79" s="5">
        <f t="shared" si="17"/>
        <v>2</v>
      </c>
      <c r="F79" s="190" t="s">
        <v>350</v>
      </c>
      <c r="G79" s="79">
        <v>10</v>
      </c>
      <c r="H79" s="292">
        <v>0</v>
      </c>
      <c r="I79" s="254">
        <v>0</v>
      </c>
      <c r="J79" s="64">
        <f t="shared" si="18"/>
        <v>10</v>
      </c>
    </row>
    <row r="80" spans="1:10" ht="14.95" thickBot="1" x14ac:dyDescent="0.3">
      <c r="A80" s="187" t="s">
        <v>847</v>
      </c>
      <c r="B80" s="78">
        <v>0</v>
      </c>
      <c r="C80" s="308">
        <v>1</v>
      </c>
      <c r="D80" s="252">
        <v>1</v>
      </c>
      <c r="E80" s="5">
        <f t="shared" si="17"/>
        <v>2</v>
      </c>
      <c r="F80" s="190" t="s">
        <v>394</v>
      </c>
      <c r="G80" s="79">
        <v>5</v>
      </c>
      <c r="H80" s="292">
        <v>5</v>
      </c>
      <c r="I80" s="254">
        <v>0</v>
      </c>
      <c r="J80" s="64">
        <f t="shared" si="18"/>
        <v>10</v>
      </c>
    </row>
    <row r="81" spans="1:10" ht="14.95" thickBot="1" x14ac:dyDescent="0.3">
      <c r="A81" s="187" t="s">
        <v>899</v>
      </c>
      <c r="B81" s="78">
        <v>1</v>
      </c>
      <c r="C81" s="308">
        <v>0</v>
      </c>
      <c r="D81" s="252">
        <v>1</v>
      </c>
      <c r="E81" s="5">
        <f t="shared" si="17"/>
        <v>2</v>
      </c>
      <c r="F81" s="190" t="s">
        <v>898</v>
      </c>
      <c r="G81" s="79">
        <v>5</v>
      </c>
      <c r="H81" s="292">
        <v>0</v>
      </c>
      <c r="I81" s="254">
        <v>5</v>
      </c>
      <c r="J81" s="64">
        <f t="shared" si="18"/>
        <v>10</v>
      </c>
    </row>
    <row r="82" spans="1:10" ht="14.95" thickBot="1" x14ac:dyDescent="0.3">
      <c r="A82" s="187" t="s">
        <v>488</v>
      </c>
      <c r="B82" s="78">
        <v>2</v>
      </c>
      <c r="C82" s="308">
        <v>0</v>
      </c>
      <c r="D82" s="252">
        <v>0</v>
      </c>
      <c r="E82" s="5">
        <f t="shared" si="17"/>
        <v>2</v>
      </c>
      <c r="F82" s="190" t="s">
        <v>818</v>
      </c>
      <c r="G82" s="79">
        <v>0</v>
      </c>
      <c r="H82" s="292">
        <v>0</v>
      </c>
      <c r="I82" s="254">
        <v>10</v>
      </c>
      <c r="J82" s="64">
        <f t="shared" si="18"/>
        <v>10</v>
      </c>
    </row>
    <row r="83" spans="1:10" ht="14.95" thickBot="1" x14ac:dyDescent="0.3">
      <c r="A83" s="187" t="s">
        <v>791</v>
      </c>
      <c r="B83" s="78">
        <v>1</v>
      </c>
      <c r="C83" s="308">
        <v>0</v>
      </c>
      <c r="D83" s="252">
        <v>1</v>
      </c>
      <c r="E83" s="5">
        <f t="shared" si="17"/>
        <v>2</v>
      </c>
      <c r="F83" s="190" t="s">
        <v>847</v>
      </c>
      <c r="G83" s="79">
        <v>0</v>
      </c>
      <c r="H83" s="292">
        <v>5</v>
      </c>
      <c r="I83" s="254">
        <v>5</v>
      </c>
      <c r="J83" s="64">
        <f t="shared" si="18"/>
        <v>10</v>
      </c>
    </row>
    <row r="84" spans="1:10" ht="14.95" thickBot="1" x14ac:dyDescent="0.3">
      <c r="A84" s="187" t="s">
        <v>997</v>
      </c>
      <c r="B84" s="78">
        <v>1</v>
      </c>
      <c r="C84" s="308">
        <v>1</v>
      </c>
      <c r="D84" s="252">
        <v>0</v>
      </c>
      <c r="E84" s="5">
        <f t="shared" si="17"/>
        <v>2</v>
      </c>
      <c r="F84" s="190" t="s">
        <v>899</v>
      </c>
      <c r="G84" s="79">
        <v>5</v>
      </c>
      <c r="H84" s="292">
        <v>0</v>
      </c>
      <c r="I84" s="254">
        <v>5</v>
      </c>
      <c r="J84" s="64">
        <f t="shared" si="18"/>
        <v>10</v>
      </c>
    </row>
    <row r="85" spans="1:10" ht="14.95" thickBot="1" x14ac:dyDescent="0.3">
      <c r="A85" s="187" t="s">
        <v>988</v>
      </c>
      <c r="B85" s="78">
        <v>0</v>
      </c>
      <c r="C85" s="308">
        <v>1</v>
      </c>
      <c r="D85" s="252">
        <v>0</v>
      </c>
      <c r="E85" s="5">
        <f t="shared" si="17"/>
        <v>1</v>
      </c>
      <c r="F85" s="190" t="s">
        <v>488</v>
      </c>
      <c r="G85" s="79">
        <v>10</v>
      </c>
      <c r="H85" s="292">
        <v>0</v>
      </c>
      <c r="I85" s="254">
        <v>0</v>
      </c>
      <c r="J85" s="64">
        <f t="shared" si="18"/>
        <v>10</v>
      </c>
    </row>
    <row r="86" spans="1:10" ht="14.95" thickBot="1" x14ac:dyDescent="0.3">
      <c r="A86" s="187" t="s">
        <v>1026</v>
      </c>
      <c r="B86" s="78">
        <v>1</v>
      </c>
      <c r="C86" s="308">
        <v>0</v>
      </c>
      <c r="D86" s="252">
        <v>0</v>
      </c>
      <c r="E86" s="5">
        <f t="shared" si="17"/>
        <v>1</v>
      </c>
      <c r="F86" s="190" t="s">
        <v>900</v>
      </c>
      <c r="G86" s="79">
        <v>5</v>
      </c>
      <c r="H86" s="292">
        <v>0</v>
      </c>
      <c r="I86" s="254">
        <v>5</v>
      </c>
      <c r="J86" s="64">
        <f t="shared" si="18"/>
        <v>10</v>
      </c>
    </row>
    <row r="87" spans="1:10" ht="14.95" thickBot="1" x14ac:dyDescent="0.3">
      <c r="A87" s="187" t="s">
        <v>407</v>
      </c>
      <c r="B87" s="78">
        <v>1</v>
      </c>
      <c r="C87" s="308">
        <v>0</v>
      </c>
      <c r="D87" s="252">
        <v>0</v>
      </c>
      <c r="E87" s="5">
        <f t="shared" si="17"/>
        <v>1</v>
      </c>
      <c r="F87" s="190" t="s">
        <v>997</v>
      </c>
      <c r="G87" s="79">
        <v>5</v>
      </c>
      <c r="H87" s="292">
        <v>5</v>
      </c>
      <c r="I87" s="254">
        <v>0</v>
      </c>
      <c r="J87" s="64">
        <f t="shared" si="18"/>
        <v>10</v>
      </c>
    </row>
    <row r="88" spans="1:10" ht="14.95" thickBot="1" x14ac:dyDescent="0.3">
      <c r="A88" s="187" t="s">
        <v>897</v>
      </c>
      <c r="B88" s="78">
        <v>0</v>
      </c>
      <c r="C88" s="308">
        <v>0</v>
      </c>
      <c r="D88" s="252">
        <v>1</v>
      </c>
      <c r="E88" s="5">
        <f t="shared" si="17"/>
        <v>1</v>
      </c>
      <c r="F88" s="190" t="s">
        <v>989</v>
      </c>
      <c r="G88" s="79">
        <v>0</v>
      </c>
      <c r="H88" s="292">
        <v>5</v>
      </c>
      <c r="I88" s="254">
        <v>0</v>
      </c>
      <c r="J88" s="64">
        <f t="shared" si="18"/>
        <v>5</v>
      </c>
    </row>
    <row r="89" spans="1:10" ht="14.95" thickBot="1" x14ac:dyDescent="0.3">
      <c r="A89" s="187" t="s">
        <v>12</v>
      </c>
      <c r="B89" s="78">
        <v>0</v>
      </c>
      <c r="C89" s="308">
        <v>0</v>
      </c>
      <c r="D89" s="252">
        <v>1</v>
      </c>
      <c r="E89" s="5">
        <f t="shared" si="17"/>
        <v>1</v>
      </c>
      <c r="F89" s="190" t="s">
        <v>1026</v>
      </c>
      <c r="G89" s="79">
        <v>5</v>
      </c>
      <c r="H89" s="292">
        <v>0</v>
      </c>
      <c r="I89" s="254">
        <v>0</v>
      </c>
      <c r="J89" s="64">
        <f t="shared" si="18"/>
        <v>5</v>
      </c>
    </row>
    <row r="90" spans="1:10" ht="14.95" thickBot="1" x14ac:dyDescent="0.3">
      <c r="A90" s="187" t="s">
        <v>522</v>
      </c>
      <c r="B90" s="78">
        <v>0</v>
      </c>
      <c r="C90" s="308">
        <v>0</v>
      </c>
      <c r="D90" s="252">
        <v>1</v>
      </c>
      <c r="E90" s="5">
        <f t="shared" si="17"/>
        <v>1</v>
      </c>
      <c r="F90" s="190" t="s">
        <v>897</v>
      </c>
      <c r="G90" s="79">
        <v>0</v>
      </c>
      <c r="H90" s="292">
        <v>0</v>
      </c>
      <c r="I90" s="254">
        <v>5</v>
      </c>
      <c r="J90" s="64">
        <f t="shared" si="18"/>
        <v>5</v>
      </c>
    </row>
    <row r="91" spans="1:10" ht="14.95" thickBot="1" x14ac:dyDescent="0.3">
      <c r="A91" s="187" t="s">
        <v>991</v>
      </c>
      <c r="B91" s="78">
        <v>0</v>
      </c>
      <c r="C91" s="308">
        <v>1</v>
      </c>
      <c r="D91" s="252">
        <v>0</v>
      </c>
      <c r="E91" s="5">
        <f t="shared" si="17"/>
        <v>1</v>
      </c>
      <c r="F91" s="190" t="s">
        <v>522</v>
      </c>
      <c r="G91" s="79">
        <v>0</v>
      </c>
      <c r="H91" s="292">
        <v>0</v>
      </c>
      <c r="I91" s="254">
        <v>5</v>
      </c>
      <c r="J91" s="64">
        <f t="shared" si="18"/>
        <v>5</v>
      </c>
    </row>
    <row r="92" spans="1:10" ht="14.95" thickBot="1" x14ac:dyDescent="0.3">
      <c r="A92" s="187" t="s">
        <v>449</v>
      </c>
      <c r="B92" s="78">
        <v>1</v>
      </c>
      <c r="C92" s="308">
        <v>0</v>
      </c>
      <c r="D92" s="252">
        <v>0</v>
      </c>
      <c r="E92" s="5">
        <f t="shared" si="17"/>
        <v>1</v>
      </c>
      <c r="F92" s="190" t="s">
        <v>991</v>
      </c>
      <c r="G92" s="79">
        <v>0</v>
      </c>
      <c r="H92" s="292">
        <v>5</v>
      </c>
      <c r="I92" s="254">
        <v>0</v>
      </c>
      <c r="J92" s="64">
        <f t="shared" si="18"/>
        <v>5</v>
      </c>
    </row>
    <row r="93" spans="1:10" ht="14.95" thickBot="1" x14ac:dyDescent="0.3">
      <c r="A93" s="187" t="s">
        <v>999</v>
      </c>
      <c r="B93" s="78">
        <v>0</v>
      </c>
      <c r="C93" s="308">
        <v>1</v>
      </c>
      <c r="D93" s="252">
        <v>0</v>
      </c>
      <c r="E93" s="5">
        <f t="shared" si="17"/>
        <v>1</v>
      </c>
      <c r="F93" s="190" t="s">
        <v>449</v>
      </c>
      <c r="G93" s="79">
        <v>5</v>
      </c>
      <c r="H93" s="292">
        <v>0</v>
      </c>
      <c r="I93" s="254">
        <v>0</v>
      </c>
      <c r="J93" s="64">
        <f t="shared" si="18"/>
        <v>5</v>
      </c>
    </row>
    <row r="94" spans="1:10" ht="14.95" thickBot="1" x14ac:dyDescent="0.3">
      <c r="A94" s="187" t="s">
        <v>901</v>
      </c>
      <c r="B94" s="78">
        <v>0</v>
      </c>
      <c r="C94" s="308">
        <v>0</v>
      </c>
      <c r="D94" s="252">
        <v>1</v>
      </c>
      <c r="E94" s="5">
        <f t="shared" si="17"/>
        <v>1</v>
      </c>
      <c r="F94" s="190" t="s">
        <v>999</v>
      </c>
      <c r="G94" s="79">
        <v>0</v>
      </c>
      <c r="H94" s="292">
        <v>5</v>
      </c>
      <c r="I94" s="254">
        <v>0</v>
      </c>
      <c r="J94" s="64">
        <f t="shared" si="18"/>
        <v>5</v>
      </c>
    </row>
    <row r="95" spans="1:10" ht="14.95" thickBot="1" x14ac:dyDescent="0.3">
      <c r="A95" s="187" t="s">
        <v>98</v>
      </c>
      <c r="B95" s="78">
        <v>1</v>
      </c>
      <c r="C95" s="308">
        <v>0</v>
      </c>
      <c r="D95" s="252">
        <v>0</v>
      </c>
      <c r="E95" s="5">
        <f t="shared" si="17"/>
        <v>1</v>
      </c>
      <c r="F95" s="190" t="s">
        <v>901</v>
      </c>
      <c r="G95" s="79">
        <v>0</v>
      </c>
      <c r="H95" s="292">
        <v>0</v>
      </c>
      <c r="I95" s="254">
        <v>5</v>
      </c>
      <c r="J95" s="64">
        <f t="shared" si="18"/>
        <v>5</v>
      </c>
    </row>
    <row r="96" spans="1:10" ht="14.95" thickBot="1" x14ac:dyDescent="0.3">
      <c r="A96" s="187" t="s">
        <v>902</v>
      </c>
      <c r="B96" s="78">
        <v>0</v>
      </c>
      <c r="C96" s="308">
        <v>0</v>
      </c>
      <c r="D96" s="252">
        <v>1</v>
      </c>
      <c r="E96" s="5">
        <f t="shared" si="17"/>
        <v>1</v>
      </c>
      <c r="F96" s="190" t="s">
        <v>98</v>
      </c>
      <c r="G96" s="79">
        <v>5</v>
      </c>
      <c r="H96" s="292">
        <v>0</v>
      </c>
      <c r="I96" s="254">
        <v>0</v>
      </c>
      <c r="J96" s="64">
        <f t="shared" si="18"/>
        <v>5</v>
      </c>
    </row>
    <row r="97" spans="1:10" ht="14.95" thickBot="1" x14ac:dyDescent="0.3">
      <c r="A97" s="187" t="s">
        <v>436</v>
      </c>
      <c r="B97" s="78">
        <v>0</v>
      </c>
      <c r="C97" s="308">
        <v>0</v>
      </c>
      <c r="D97" s="252">
        <v>1</v>
      </c>
      <c r="E97" s="5">
        <f t="shared" si="17"/>
        <v>1</v>
      </c>
      <c r="F97" s="190" t="s">
        <v>902</v>
      </c>
      <c r="G97" s="79">
        <v>0</v>
      </c>
      <c r="H97" s="292">
        <v>0</v>
      </c>
      <c r="I97" s="254">
        <v>5</v>
      </c>
      <c r="J97" s="64">
        <f t="shared" si="18"/>
        <v>5</v>
      </c>
    </row>
    <row r="98" spans="1:10" ht="14.95" thickBot="1" x14ac:dyDescent="0.3">
      <c r="A98" s="187" t="s">
        <v>278</v>
      </c>
      <c r="B98" s="78">
        <v>0</v>
      </c>
      <c r="C98" s="308">
        <v>0</v>
      </c>
      <c r="D98" s="252">
        <v>0</v>
      </c>
      <c r="E98" s="5">
        <f t="shared" si="17"/>
        <v>0</v>
      </c>
      <c r="F98" s="190" t="s">
        <v>436</v>
      </c>
      <c r="G98" s="79">
        <v>0</v>
      </c>
      <c r="H98" s="292">
        <v>0</v>
      </c>
      <c r="I98" s="254">
        <v>5</v>
      </c>
      <c r="J98" s="64">
        <f t="shared" si="18"/>
        <v>5</v>
      </c>
    </row>
    <row r="99" spans="1:10" ht="14.95" thickBot="1" x14ac:dyDescent="0.3">
      <c r="A99" s="187" t="s">
        <v>724</v>
      </c>
      <c r="B99" s="78">
        <v>0</v>
      </c>
      <c r="C99" s="308">
        <v>0</v>
      </c>
      <c r="D99" s="252">
        <v>0</v>
      </c>
      <c r="E99" s="5">
        <f t="shared" si="17"/>
        <v>0</v>
      </c>
      <c r="F99" s="190" t="s">
        <v>605</v>
      </c>
      <c r="G99" s="79">
        <v>2</v>
      </c>
      <c r="H99" s="292">
        <v>0</v>
      </c>
      <c r="I99" s="254">
        <v>2</v>
      </c>
      <c r="J99" s="64">
        <f t="shared" si="18"/>
        <v>4</v>
      </c>
    </row>
    <row r="100" spans="1:10" ht="14.95" thickBot="1" x14ac:dyDescent="0.3">
      <c r="A100" s="187" t="s">
        <v>392</v>
      </c>
      <c r="B100" s="78">
        <v>0</v>
      </c>
      <c r="C100" s="308">
        <v>0</v>
      </c>
      <c r="D100" s="252">
        <v>0</v>
      </c>
      <c r="E100" s="5">
        <f t="shared" si="17"/>
        <v>0</v>
      </c>
      <c r="F100" s="190" t="s">
        <v>278</v>
      </c>
      <c r="G100" s="79">
        <v>0</v>
      </c>
      <c r="H100" s="292">
        <v>0</v>
      </c>
      <c r="I100" s="254">
        <v>0</v>
      </c>
      <c r="J100" s="64">
        <f t="shared" si="18"/>
        <v>0</v>
      </c>
    </row>
    <row r="101" spans="1:10" ht="14.95" thickBot="1" x14ac:dyDescent="0.3">
      <c r="A101" s="187" t="s">
        <v>397</v>
      </c>
      <c r="B101" s="78">
        <v>0</v>
      </c>
      <c r="C101" s="308">
        <v>0</v>
      </c>
      <c r="D101" s="252">
        <v>0</v>
      </c>
      <c r="E101" s="5">
        <f t="shared" si="17"/>
        <v>0</v>
      </c>
      <c r="F101" s="190" t="s">
        <v>724</v>
      </c>
      <c r="G101" s="79">
        <v>0</v>
      </c>
      <c r="H101" s="292">
        <v>0</v>
      </c>
      <c r="I101" s="254">
        <v>0</v>
      </c>
      <c r="J101" s="64">
        <f t="shared" si="18"/>
        <v>0</v>
      </c>
    </row>
    <row r="102" spans="1:10" ht="14.95" thickBot="1" x14ac:dyDescent="0.3">
      <c r="A102" s="187" t="s">
        <v>398</v>
      </c>
      <c r="B102" s="78">
        <v>0</v>
      </c>
      <c r="C102" s="308">
        <v>0</v>
      </c>
      <c r="D102" s="252">
        <v>0</v>
      </c>
      <c r="E102" s="5">
        <f t="shared" ref="E102:E132" si="19">SUM(B102:D102)</f>
        <v>0</v>
      </c>
      <c r="F102" s="190" t="s">
        <v>392</v>
      </c>
      <c r="G102" s="79">
        <v>0</v>
      </c>
      <c r="H102" s="292">
        <v>0</v>
      </c>
      <c r="I102" s="254">
        <v>0</v>
      </c>
      <c r="J102" s="64">
        <f t="shared" ref="J102:J132" si="20">SUM(G102:I102)</f>
        <v>0</v>
      </c>
    </row>
    <row r="103" spans="1:10" ht="14.95" thickBot="1" x14ac:dyDescent="0.3">
      <c r="A103" s="187" t="s">
        <v>580</v>
      </c>
      <c r="B103" s="78">
        <v>0</v>
      </c>
      <c r="C103" s="308">
        <v>0</v>
      </c>
      <c r="D103" s="252">
        <v>0</v>
      </c>
      <c r="E103" s="5">
        <f t="shared" si="19"/>
        <v>0</v>
      </c>
      <c r="F103" s="190" t="s">
        <v>397</v>
      </c>
      <c r="G103" s="79">
        <v>0</v>
      </c>
      <c r="H103" s="292">
        <v>0</v>
      </c>
      <c r="I103" s="254">
        <v>0</v>
      </c>
      <c r="J103" s="64">
        <f t="shared" si="20"/>
        <v>0</v>
      </c>
    </row>
    <row r="104" spans="1:10" ht="14.95" thickBot="1" x14ac:dyDescent="0.3">
      <c r="A104" s="187" t="s">
        <v>475</v>
      </c>
      <c r="B104" s="78">
        <v>0</v>
      </c>
      <c r="C104" s="308">
        <v>0</v>
      </c>
      <c r="D104" s="252">
        <v>0</v>
      </c>
      <c r="E104" s="5">
        <f t="shared" si="19"/>
        <v>0</v>
      </c>
      <c r="F104" s="190" t="s">
        <v>398</v>
      </c>
      <c r="G104" s="79">
        <v>0</v>
      </c>
      <c r="H104" s="292">
        <v>0</v>
      </c>
      <c r="I104" s="254">
        <v>0</v>
      </c>
      <c r="J104" s="64">
        <f t="shared" si="20"/>
        <v>0</v>
      </c>
    </row>
    <row r="105" spans="1:10" ht="14.95" thickBot="1" x14ac:dyDescent="0.3">
      <c r="A105" s="187" t="s">
        <v>29</v>
      </c>
      <c r="B105" s="78">
        <v>0</v>
      </c>
      <c r="C105" s="308">
        <v>0</v>
      </c>
      <c r="D105" s="252">
        <v>0</v>
      </c>
      <c r="E105" s="5">
        <f t="shared" si="19"/>
        <v>0</v>
      </c>
      <c r="F105" s="190" t="s">
        <v>580</v>
      </c>
      <c r="G105" s="79">
        <v>0</v>
      </c>
      <c r="H105" s="292">
        <v>0</v>
      </c>
      <c r="I105" s="254">
        <v>0</v>
      </c>
      <c r="J105" s="64">
        <f t="shared" si="20"/>
        <v>0</v>
      </c>
    </row>
    <row r="106" spans="1:10" ht="14.95" thickBot="1" x14ac:dyDescent="0.3">
      <c r="A106" s="187" t="s">
        <v>582</v>
      </c>
      <c r="B106" s="78">
        <v>0</v>
      </c>
      <c r="C106" s="308">
        <v>0</v>
      </c>
      <c r="D106" s="252">
        <v>0</v>
      </c>
      <c r="E106" s="5">
        <f t="shared" si="19"/>
        <v>0</v>
      </c>
      <c r="F106" s="190" t="s">
        <v>475</v>
      </c>
      <c r="G106" s="79">
        <v>0</v>
      </c>
      <c r="H106" s="292">
        <v>0</v>
      </c>
      <c r="I106" s="254">
        <v>0</v>
      </c>
      <c r="J106" s="64">
        <f t="shared" si="20"/>
        <v>0</v>
      </c>
    </row>
    <row r="107" spans="1:10" ht="14.95" thickBot="1" x14ac:dyDescent="0.3">
      <c r="A107" s="187" t="s">
        <v>584</v>
      </c>
      <c r="B107" s="78">
        <v>0</v>
      </c>
      <c r="C107" s="308">
        <v>0</v>
      </c>
      <c r="D107" s="252">
        <v>0</v>
      </c>
      <c r="E107" s="5">
        <f t="shared" si="19"/>
        <v>0</v>
      </c>
      <c r="F107" s="190" t="s">
        <v>29</v>
      </c>
      <c r="G107" s="79">
        <v>0</v>
      </c>
      <c r="H107" s="292">
        <v>0</v>
      </c>
      <c r="I107" s="254">
        <v>0</v>
      </c>
      <c r="J107" s="64">
        <f t="shared" si="20"/>
        <v>0</v>
      </c>
    </row>
    <row r="108" spans="1:10" ht="14.95" thickBot="1" x14ac:dyDescent="0.3">
      <c r="A108" s="187" t="s">
        <v>430</v>
      </c>
      <c r="B108" s="78">
        <v>0</v>
      </c>
      <c r="C108" s="308">
        <v>0</v>
      </c>
      <c r="D108" s="252">
        <v>0</v>
      </c>
      <c r="E108" s="5">
        <f t="shared" si="19"/>
        <v>0</v>
      </c>
      <c r="F108" s="190" t="s">
        <v>582</v>
      </c>
      <c r="G108" s="79">
        <v>0</v>
      </c>
      <c r="H108" s="292">
        <v>0</v>
      </c>
      <c r="I108" s="254">
        <v>0</v>
      </c>
      <c r="J108" s="64">
        <f t="shared" si="20"/>
        <v>0</v>
      </c>
    </row>
    <row r="109" spans="1:10" ht="14.95" thickBot="1" x14ac:dyDescent="0.3">
      <c r="A109" s="187" t="s">
        <v>971</v>
      </c>
      <c r="B109" s="78">
        <v>0</v>
      </c>
      <c r="C109" s="308">
        <v>0</v>
      </c>
      <c r="D109" s="252">
        <v>0</v>
      </c>
      <c r="E109" s="5">
        <f t="shared" si="19"/>
        <v>0</v>
      </c>
      <c r="F109" s="190" t="s">
        <v>584</v>
      </c>
      <c r="G109" s="79">
        <v>0</v>
      </c>
      <c r="H109" s="292">
        <v>0</v>
      </c>
      <c r="I109" s="254">
        <v>0</v>
      </c>
      <c r="J109" s="64">
        <f t="shared" si="20"/>
        <v>0</v>
      </c>
    </row>
    <row r="110" spans="1:10" ht="14.95" thickBot="1" x14ac:dyDescent="0.3">
      <c r="A110" s="187" t="s">
        <v>588</v>
      </c>
      <c r="B110" s="78">
        <v>0</v>
      </c>
      <c r="C110" s="308">
        <v>0</v>
      </c>
      <c r="D110" s="252">
        <v>0</v>
      </c>
      <c r="E110" s="5">
        <f t="shared" si="19"/>
        <v>0</v>
      </c>
      <c r="F110" s="190" t="s">
        <v>430</v>
      </c>
      <c r="G110" s="79">
        <v>0</v>
      </c>
      <c r="H110" s="292">
        <v>0</v>
      </c>
      <c r="I110" s="254">
        <v>0</v>
      </c>
      <c r="J110" s="64">
        <f t="shared" si="20"/>
        <v>0</v>
      </c>
    </row>
    <row r="111" spans="1:10" ht="14.95" thickBot="1" x14ac:dyDescent="0.3">
      <c r="A111" s="187" t="s">
        <v>275</v>
      </c>
      <c r="B111" s="78">
        <v>0</v>
      </c>
      <c r="C111" s="308">
        <v>0</v>
      </c>
      <c r="D111" s="252">
        <v>0</v>
      </c>
      <c r="E111" s="5">
        <f t="shared" si="19"/>
        <v>0</v>
      </c>
      <c r="F111" s="190" t="s">
        <v>588</v>
      </c>
      <c r="G111" s="79">
        <v>0</v>
      </c>
      <c r="H111" s="292">
        <v>0</v>
      </c>
      <c r="I111" s="254">
        <v>0</v>
      </c>
      <c r="J111" s="64">
        <f t="shared" si="20"/>
        <v>0</v>
      </c>
    </row>
    <row r="112" spans="1:10" ht="14.95" thickBot="1" x14ac:dyDescent="0.3">
      <c r="A112" s="187" t="s">
        <v>65</v>
      </c>
      <c r="B112" s="78">
        <v>0</v>
      </c>
      <c r="C112" s="308">
        <v>0</v>
      </c>
      <c r="D112" s="252">
        <v>0</v>
      </c>
      <c r="E112" s="5">
        <f t="shared" si="19"/>
        <v>0</v>
      </c>
      <c r="F112" s="190" t="s">
        <v>275</v>
      </c>
      <c r="G112" s="79">
        <v>0</v>
      </c>
      <c r="H112" s="292">
        <v>0</v>
      </c>
      <c r="I112" s="254">
        <v>0</v>
      </c>
      <c r="J112" s="64">
        <f t="shared" si="20"/>
        <v>0</v>
      </c>
    </row>
    <row r="113" spans="1:10" ht="14.95" thickBot="1" x14ac:dyDescent="0.3">
      <c r="A113" s="187" t="s">
        <v>590</v>
      </c>
      <c r="B113" s="78">
        <v>0</v>
      </c>
      <c r="C113" s="308">
        <v>0</v>
      </c>
      <c r="D113" s="252">
        <v>0</v>
      </c>
      <c r="E113" s="5">
        <f t="shared" si="19"/>
        <v>0</v>
      </c>
      <c r="F113" s="190" t="s">
        <v>65</v>
      </c>
      <c r="G113" s="79">
        <v>0</v>
      </c>
      <c r="H113" s="292">
        <v>0</v>
      </c>
      <c r="I113" s="254">
        <v>0</v>
      </c>
      <c r="J113" s="64">
        <f t="shared" si="20"/>
        <v>0</v>
      </c>
    </row>
    <row r="114" spans="1:10" ht="14.95" thickBot="1" x14ac:dyDescent="0.3">
      <c r="A114" s="187" t="s">
        <v>402</v>
      </c>
      <c r="B114" s="78">
        <v>0</v>
      </c>
      <c r="C114" s="308">
        <v>0</v>
      </c>
      <c r="D114" s="252">
        <v>0</v>
      </c>
      <c r="E114" s="5">
        <f t="shared" si="19"/>
        <v>0</v>
      </c>
      <c r="F114" s="190" t="s">
        <v>590</v>
      </c>
      <c r="G114" s="79">
        <v>0</v>
      </c>
      <c r="H114" s="292">
        <v>0</v>
      </c>
      <c r="I114" s="254">
        <v>0</v>
      </c>
      <c r="J114" s="64">
        <f t="shared" si="20"/>
        <v>0</v>
      </c>
    </row>
    <row r="115" spans="1:10" ht="14.95" thickBot="1" x14ac:dyDescent="0.3">
      <c r="A115" s="187" t="s">
        <v>592</v>
      </c>
      <c r="B115" s="78">
        <v>0</v>
      </c>
      <c r="C115" s="308">
        <v>0</v>
      </c>
      <c r="D115" s="252">
        <v>0</v>
      </c>
      <c r="E115" s="5">
        <f t="shared" si="19"/>
        <v>0</v>
      </c>
      <c r="F115" s="190" t="s">
        <v>402</v>
      </c>
      <c r="G115" s="79">
        <v>0</v>
      </c>
      <c r="H115" s="292">
        <v>0</v>
      </c>
      <c r="I115" s="254">
        <v>0</v>
      </c>
      <c r="J115" s="64">
        <f t="shared" si="20"/>
        <v>0</v>
      </c>
    </row>
    <row r="116" spans="1:10" ht="14.95" thickBot="1" x14ac:dyDescent="0.3">
      <c r="A116" s="187" t="s">
        <v>496</v>
      </c>
      <c r="B116" s="78">
        <v>0</v>
      </c>
      <c r="C116" s="308">
        <v>0</v>
      </c>
      <c r="D116" s="252">
        <v>0</v>
      </c>
      <c r="E116" s="5">
        <f t="shared" si="19"/>
        <v>0</v>
      </c>
      <c r="F116" s="190" t="s">
        <v>592</v>
      </c>
      <c r="G116" s="79">
        <v>0</v>
      </c>
      <c r="H116" s="292">
        <v>0</v>
      </c>
      <c r="I116" s="254">
        <v>0</v>
      </c>
      <c r="J116" s="64">
        <f t="shared" si="20"/>
        <v>0</v>
      </c>
    </row>
    <row r="117" spans="1:10" ht="14.95" thickBot="1" x14ac:dyDescent="0.3">
      <c r="A117" s="187" t="s">
        <v>420</v>
      </c>
      <c r="B117" s="78">
        <v>0</v>
      </c>
      <c r="C117" s="308">
        <v>0</v>
      </c>
      <c r="D117" s="252">
        <v>0</v>
      </c>
      <c r="E117" s="5">
        <f t="shared" si="19"/>
        <v>0</v>
      </c>
      <c r="F117" s="190" t="s">
        <v>496</v>
      </c>
      <c r="G117" s="79">
        <v>0</v>
      </c>
      <c r="H117" s="292">
        <v>0</v>
      </c>
      <c r="I117" s="254">
        <v>0</v>
      </c>
      <c r="J117" s="64">
        <f t="shared" si="20"/>
        <v>0</v>
      </c>
    </row>
    <row r="118" spans="1:10" ht="14.95" thickBot="1" x14ac:dyDescent="0.3">
      <c r="A118" s="187" t="s">
        <v>798</v>
      </c>
      <c r="B118" s="78">
        <v>0</v>
      </c>
      <c r="C118" s="308">
        <v>0</v>
      </c>
      <c r="D118" s="252">
        <v>0</v>
      </c>
      <c r="E118" s="5">
        <f t="shared" si="19"/>
        <v>0</v>
      </c>
      <c r="F118" s="190" t="s">
        <v>420</v>
      </c>
      <c r="G118" s="79">
        <v>0</v>
      </c>
      <c r="H118" s="292">
        <v>0</v>
      </c>
      <c r="I118" s="254">
        <v>0</v>
      </c>
      <c r="J118" s="64">
        <f t="shared" si="20"/>
        <v>0</v>
      </c>
    </row>
    <row r="119" spans="1:10" ht="14.95" thickBot="1" x14ac:dyDescent="0.3">
      <c r="A119" s="187" t="s">
        <v>404</v>
      </c>
      <c r="B119" s="78">
        <v>0</v>
      </c>
      <c r="C119" s="308">
        <v>0</v>
      </c>
      <c r="D119" s="252">
        <v>0</v>
      </c>
      <c r="E119" s="5">
        <f t="shared" si="19"/>
        <v>0</v>
      </c>
      <c r="F119" s="190" t="s">
        <v>798</v>
      </c>
      <c r="G119" s="79">
        <v>0</v>
      </c>
      <c r="H119" s="292">
        <v>0</v>
      </c>
      <c r="I119" s="254">
        <v>0</v>
      </c>
      <c r="J119" s="64">
        <f t="shared" si="20"/>
        <v>0</v>
      </c>
    </row>
    <row r="120" spans="1:10" ht="14.95" thickBot="1" x14ac:dyDescent="0.3">
      <c r="A120" s="187" t="s">
        <v>820</v>
      </c>
      <c r="B120" s="78">
        <v>0</v>
      </c>
      <c r="C120" s="308">
        <v>0</v>
      </c>
      <c r="D120" s="252">
        <v>0</v>
      </c>
      <c r="E120" s="5">
        <f t="shared" si="19"/>
        <v>0</v>
      </c>
      <c r="F120" s="190" t="s">
        <v>404</v>
      </c>
      <c r="G120" s="79">
        <v>0</v>
      </c>
      <c r="H120" s="292">
        <v>0</v>
      </c>
      <c r="I120" s="254">
        <v>0</v>
      </c>
      <c r="J120" s="64">
        <f t="shared" si="20"/>
        <v>0</v>
      </c>
    </row>
    <row r="121" spans="1:10" ht="14.95" thickBot="1" x14ac:dyDescent="0.3">
      <c r="A121" s="187" t="s">
        <v>852</v>
      </c>
      <c r="B121" s="78">
        <v>0</v>
      </c>
      <c r="C121" s="308">
        <v>0</v>
      </c>
      <c r="D121" s="252">
        <v>0</v>
      </c>
      <c r="E121" s="5">
        <f t="shared" si="19"/>
        <v>0</v>
      </c>
      <c r="F121" s="190" t="s">
        <v>820</v>
      </c>
      <c r="G121" s="79">
        <v>0</v>
      </c>
      <c r="H121" s="292">
        <v>0</v>
      </c>
      <c r="I121" s="254">
        <v>0</v>
      </c>
      <c r="J121" s="64">
        <f t="shared" si="20"/>
        <v>0</v>
      </c>
    </row>
    <row r="122" spans="1:10" ht="14.95" thickBot="1" x14ac:dyDescent="0.3">
      <c r="A122" s="187" t="s">
        <v>750</v>
      </c>
      <c r="B122" s="78">
        <v>0</v>
      </c>
      <c r="C122" s="308">
        <v>0</v>
      </c>
      <c r="D122" s="252">
        <v>0</v>
      </c>
      <c r="E122" s="5">
        <f t="shared" si="19"/>
        <v>0</v>
      </c>
      <c r="F122" s="190" t="s">
        <v>852</v>
      </c>
      <c r="G122" s="79">
        <v>0</v>
      </c>
      <c r="H122" s="292">
        <v>0</v>
      </c>
      <c r="I122" s="254">
        <v>0</v>
      </c>
      <c r="J122" s="64">
        <f t="shared" si="20"/>
        <v>0</v>
      </c>
    </row>
    <row r="123" spans="1:10" ht="14.95" thickBot="1" x14ac:dyDescent="0.3">
      <c r="A123" s="187" t="s">
        <v>32</v>
      </c>
      <c r="B123" s="78">
        <v>0</v>
      </c>
      <c r="C123" s="308">
        <v>0</v>
      </c>
      <c r="D123" s="252">
        <v>0</v>
      </c>
      <c r="E123" s="5">
        <f t="shared" si="19"/>
        <v>0</v>
      </c>
      <c r="F123" s="190" t="s">
        <v>750</v>
      </c>
      <c r="G123" s="79">
        <v>0</v>
      </c>
      <c r="H123" s="292">
        <v>0</v>
      </c>
      <c r="I123" s="254">
        <v>0</v>
      </c>
      <c r="J123" s="64">
        <f t="shared" si="20"/>
        <v>0</v>
      </c>
    </row>
    <row r="124" spans="1:10" ht="14.95" thickBot="1" x14ac:dyDescent="0.3">
      <c r="A124" s="187" t="s">
        <v>410</v>
      </c>
      <c r="B124" s="78">
        <v>0</v>
      </c>
      <c r="C124" s="308">
        <v>0</v>
      </c>
      <c r="D124" s="252">
        <v>0</v>
      </c>
      <c r="E124" s="5">
        <f t="shared" si="19"/>
        <v>0</v>
      </c>
      <c r="F124" s="190" t="s">
        <v>32</v>
      </c>
      <c r="G124" s="79">
        <v>0</v>
      </c>
      <c r="H124" s="292">
        <v>0</v>
      </c>
      <c r="I124" s="254">
        <v>0</v>
      </c>
      <c r="J124" s="64">
        <f t="shared" si="20"/>
        <v>0</v>
      </c>
    </row>
    <row r="125" spans="1:10" ht="14.95" thickBot="1" x14ac:dyDescent="0.3">
      <c r="A125" s="187" t="s">
        <v>406</v>
      </c>
      <c r="B125" s="78">
        <v>0</v>
      </c>
      <c r="C125" s="308">
        <v>0</v>
      </c>
      <c r="D125" s="252">
        <v>0</v>
      </c>
      <c r="E125" s="5">
        <f t="shared" si="19"/>
        <v>0</v>
      </c>
      <c r="F125" s="190" t="s">
        <v>410</v>
      </c>
      <c r="G125" s="79">
        <v>0</v>
      </c>
      <c r="H125" s="292">
        <v>0</v>
      </c>
      <c r="I125" s="254">
        <v>0</v>
      </c>
      <c r="J125" s="64">
        <f t="shared" si="20"/>
        <v>0</v>
      </c>
    </row>
    <row r="126" spans="1:10" ht="14.95" thickBot="1" x14ac:dyDescent="0.3">
      <c r="A126" s="187" t="s">
        <v>605</v>
      </c>
      <c r="B126" s="78">
        <v>0</v>
      </c>
      <c r="C126" s="308">
        <v>0</v>
      </c>
      <c r="D126" s="252">
        <v>0</v>
      </c>
      <c r="E126" s="5">
        <f t="shared" si="19"/>
        <v>0</v>
      </c>
      <c r="F126" s="190" t="s">
        <v>406</v>
      </c>
      <c r="G126" s="79">
        <v>0</v>
      </c>
      <c r="H126" s="292">
        <v>0</v>
      </c>
      <c r="I126" s="254">
        <v>0</v>
      </c>
      <c r="J126" s="64">
        <f t="shared" si="20"/>
        <v>0</v>
      </c>
    </row>
    <row r="127" spans="1:10" ht="14.95" thickBot="1" x14ac:dyDescent="0.3">
      <c r="A127" s="187" t="s">
        <v>692</v>
      </c>
      <c r="B127" s="78">
        <v>0</v>
      </c>
      <c r="C127" s="308">
        <v>0</v>
      </c>
      <c r="D127" s="252">
        <v>0</v>
      </c>
      <c r="E127" s="5">
        <f t="shared" si="19"/>
        <v>0</v>
      </c>
      <c r="F127" s="190" t="s">
        <v>692</v>
      </c>
      <c r="G127" s="79">
        <v>0</v>
      </c>
      <c r="H127" s="292">
        <v>0</v>
      </c>
      <c r="I127" s="254">
        <v>0</v>
      </c>
      <c r="J127" s="64">
        <f t="shared" si="20"/>
        <v>0</v>
      </c>
    </row>
    <row r="128" spans="1:10" ht="14.95" thickBot="1" x14ac:dyDescent="0.3">
      <c r="A128" s="187" t="s">
        <v>413</v>
      </c>
      <c r="B128" s="78">
        <v>0</v>
      </c>
      <c r="C128" s="308">
        <v>0</v>
      </c>
      <c r="D128" s="252">
        <v>0</v>
      </c>
      <c r="E128" s="5">
        <f t="shared" si="19"/>
        <v>0</v>
      </c>
      <c r="F128" s="190" t="s">
        <v>413</v>
      </c>
      <c r="G128" s="79">
        <v>0</v>
      </c>
      <c r="H128" s="292">
        <v>0</v>
      </c>
      <c r="I128" s="254">
        <v>0</v>
      </c>
      <c r="J128" s="64">
        <f t="shared" si="20"/>
        <v>0</v>
      </c>
    </row>
    <row r="129" spans="1:10" ht="14.95" thickBot="1" x14ac:dyDescent="0.3">
      <c r="A129" s="187" t="s">
        <v>28</v>
      </c>
      <c r="B129" s="78">
        <v>0</v>
      </c>
      <c r="C129" s="308">
        <v>0</v>
      </c>
      <c r="D129" s="252">
        <v>0</v>
      </c>
      <c r="E129" s="5">
        <f t="shared" si="19"/>
        <v>0</v>
      </c>
      <c r="F129" s="190" t="s">
        <v>28</v>
      </c>
      <c r="G129" s="79">
        <v>0</v>
      </c>
      <c r="H129" s="292">
        <v>0</v>
      </c>
      <c r="I129" s="254">
        <v>0</v>
      </c>
      <c r="J129" s="64">
        <f t="shared" si="20"/>
        <v>0</v>
      </c>
    </row>
    <row r="130" spans="1:10" ht="14.95" thickBot="1" x14ac:dyDescent="0.3">
      <c r="A130" s="187" t="s">
        <v>415</v>
      </c>
      <c r="B130" s="78">
        <v>0</v>
      </c>
      <c r="C130" s="308">
        <v>0</v>
      </c>
      <c r="D130" s="252">
        <v>0</v>
      </c>
      <c r="E130" s="5">
        <f t="shared" si="19"/>
        <v>0</v>
      </c>
      <c r="F130" s="190" t="s">
        <v>415</v>
      </c>
      <c r="G130" s="79">
        <v>0</v>
      </c>
      <c r="H130" s="292">
        <v>0</v>
      </c>
      <c r="I130" s="254">
        <v>0</v>
      </c>
      <c r="J130" s="64">
        <f t="shared" si="20"/>
        <v>0</v>
      </c>
    </row>
    <row r="131" spans="1:10" ht="14.95" thickBot="1" x14ac:dyDescent="0.3">
      <c r="A131" s="187" t="s">
        <v>163</v>
      </c>
      <c r="B131" s="78">
        <v>0</v>
      </c>
      <c r="C131" s="308">
        <v>0</v>
      </c>
      <c r="D131" s="252">
        <v>0</v>
      </c>
      <c r="E131" s="5">
        <f t="shared" si="19"/>
        <v>0</v>
      </c>
      <c r="F131" s="190" t="s">
        <v>163</v>
      </c>
      <c r="G131" s="79">
        <v>0</v>
      </c>
      <c r="H131" s="292">
        <v>0</v>
      </c>
      <c r="I131" s="254">
        <v>0</v>
      </c>
      <c r="J131" s="64">
        <f t="shared" si="20"/>
        <v>0</v>
      </c>
    </row>
    <row r="132" spans="1:10" ht="14.95" thickBot="1" x14ac:dyDescent="0.3">
      <c r="A132" s="187" t="s">
        <v>35</v>
      </c>
      <c r="B132" s="78">
        <v>0</v>
      </c>
      <c r="C132" s="308">
        <v>0</v>
      </c>
      <c r="D132" s="252">
        <v>0</v>
      </c>
      <c r="E132" s="5">
        <f t="shared" si="19"/>
        <v>0</v>
      </c>
      <c r="F132" s="190" t="s">
        <v>35</v>
      </c>
      <c r="G132" s="79">
        <v>0</v>
      </c>
      <c r="H132" s="292">
        <v>0</v>
      </c>
      <c r="I132" s="254">
        <v>0</v>
      </c>
      <c r="J132" s="64">
        <f t="shared" si="20"/>
        <v>0</v>
      </c>
    </row>
    <row r="133" spans="1:10" ht="14.3" customHeight="1" thickBot="1" x14ac:dyDescent="0.3">
      <c r="A133" s="187" t="s">
        <v>3</v>
      </c>
      <c r="B133" s="78">
        <f>SUM(B70:B132)</f>
        <v>30</v>
      </c>
      <c r="C133" s="308">
        <f>SUM(C70:C132)</f>
        <v>8</v>
      </c>
      <c r="D133" s="252">
        <f>SUM(D70:D132)</f>
        <v>23</v>
      </c>
      <c r="E133" s="5">
        <f t="shared" ref="E133" si="21">SUM(B133:D133)</f>
        <v>61</v>
      </c>
      <c r="F133" s="189" t="s">
        <v>3</v>
      </c>
      <c r="G133" s="79">
        <f>SUM(G70:G132)</f>
        <v>253</v>
      </c>
      <c r="H133" s="292">
        <f>SUM(H70:H132)</f>
        <v>82</v>
      </c>
      <c r="I133" s="254">
        <f>SUM(I70:I132)</f>
        <v>162</v>
      </c>
      <c r="J133" s="64">
        <f t="shared" ref="J133" si="22">SUM(G133:I133)</f>
        <v>497</v>
      </c>
    </row>
    <row r="134" spans="1:10" x14ac:dyDescent="0.25">
      <c r="A134" s="420" t="s">
        <v>57</v>
      </c>
      <c r="B134" s="421"/>
      <c r="C134" s="421"/>
      <c r="D134" s="421"/>
      <c r="E134" s="421"/>
      <c r="F134" s="421"/>
      <c r="G134" s="421"/>
      <c r="H134" s="421"/>
      <c r="I134" s="421"/>
      <c r="J134" s="421"/>
    </row>
  </sheetData>
  <sortState xmlns:xlrd2="http://schemas.microsoft.com/office/spreadsheetml/2017/richdata2" ref="F70:J132">
    <sortCondition descending="1" ref="J70:J132"/>
  </sortState>
  <mergeCells count="53">
    <mergeCell ref="A1:J1"/>
    <mergeCell ref="K28:K29"/>
    <mergeCell ref="L28:N29"/>
    <mergeCell ref="K36:Y36"/>
    <mergeCell ref="A67:H67"/>
    <mergeCell ref="K20:K21"/>
    <mergeCell ref="L20:N21"/>
    <mergeCell ref="K1:K2"/>
    <mergeCell ref="L1:N2"/>
    <mergeCell ref="O28:Q29"/>
    <mergeCell ref="R28:T29"/>
    <mergeCell ref="T1:V2"/>
    <mergeCell ref="L11:N12"/>
    <mergeCell ref="O11:Q12"/>
    <mergeCell ref="O20:Q21"/>
    <mergeCell ref="O1:Q2"/>
    <mergeCell ref="U20:W21"/>
    <mergeCell ref="R20:T21"/>
    <mergeCell ref="AC1:AE2"/>
    <mergeCell ref="AC11:AE12"/>
    <mergeCell ref="AC20:AE21"/>
    <mergeCell ref="AU20:AW21"/>
    <mergeCell ref="U28:W29"/>
    <mergeCell ref="W1:Y2"/>
    <mergeCell ref="R11:T12"/>
    <mergeCell ref="U11:W12"/>
    <mergeCell ref="AI20:AK21"/>
    <mergeCell ref="AL20:AN21"/>
    <mergeCell ref="AO20:AQ21"/>
    <mergeCell ref="AR20:AT21"/>
    <mergeCell ref="AF28:AH29"/>
    <mergeCell ref="AI28:AK29"/>
    <mergeCell ref="AO28:AQ29"/>
    <mergeCell ref="AL28:AN29"/>
    <mergeCell ref="AF1:AH2"/>
    <mergeCell ref="AF11:AH12"/>
    <mergeCell ref="AF20:AH21"/>
    <mergeCell ref="A134:J134"/>
    <mergeCell ref="BA1:BC2"/>
    <mergeCell ref="AR1:AT2"/>
    <mergeCell ref="AR11:AT12"/>
    <mergeCell ref="AU11:AW12"/>
    <mergeCell ref="AI1:AK2"/>
    <mergeCell ref="AL11:AN12"/>
    <mergeCell ref="AL1:AN2"/>
    <mergeCell ref="AO1:AQ2"/>
    <mergeCell ref="AO11:AQ12"/>
    <mergeCell ref="AX1:AZ2"/>
    <mergeCell ref="AU1:AW2"/>
    <mergeCell ref="AI11:AK12"/>
    <mergeCell ref="AC28:AE29"/>
    <mergeCell ref="R1:S2"/>
    <mergeCell ref="K11:K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94"/>
  <sheetViews>
    <sheetView topLeftCell="A15" zoomScaleNormal="100" workbookViewId="0">
      <selection activeCell="A49" sqref="A49:J93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5.375" customWidth="1"/>
    <col min="18" max="52" width="5.75" customWidth="1"/>
    <col min="53" max="55" width="5.625" customWidth="1"/>
  </cols>
  <sheetData>
    <row r="1" spans="1:62" ht="14.95" customHeight="1" thickBot="1" x14ac:dyDescent="0.3">
      <c r="A1" s="516" t="s">
        <v>859</v>
      </c>
      <c r="B1" s="517"/>
      <c r="C1" s="517"/>
      <c r="D1" s="517"/>
      <c r="E1" s="517"/>
      <c r="F1" s="517"/>
      <c r="G1" s="517"/>
      <c r="H1" s="517"/>
      <c r="I1" s="517"/>
      <c r="J1" s="518"/>
      <c r="K1" s="457" t="s">
        <v>301</v>
      </c>
      <c r="L1" s="436" t="s">
        <v>20</v>
      </c>
      <c r="M1" s="437"/>
      <c r="N1" s="438"/>
      <c r="O1" s="436" t="s">
        <v>66</v>
      </c>
      <c r="P1" s="437"/>
      <c r="Q1" s="438"/>
      <c r="R1" s="436" t="s">
        <v>300</v>
      </c>
      <c r="S1" s="438"/>
      <c r="T1" s="422" t="s">
        <v>365</v>
      </c>
      <c r="U1" s="423"/>
      <c r="V1" s="424"/>
      <c r="W1" s="422" t="s">
        <v>854</v>
      </c>
      <c r="X1" s="423"/>
      <c r="Y1" s="424"/>
      <c r="Z1" s="204"/>
      <c r="AA1" s="163"/>
      <c r="AB1" s="205"/>
      <c r="AC1" s="422" t="s">
        <v>700</v>
      </c>
      <c r="AD1" s="423"/>
      <c r="AE1" s="424"/>
      <c r="AF1" s="422" t="s">
        <v>518</v>
      </c>
      <c r="AG1" s="423"/>
      <c r="AH1" s="424"/>
      <c r="AI1" s="422" t="s">
        <v>356</v>
      </c>
      <c r="AJ1" s="423"/>
      <c r="AK1" s="424"/>
      <c r="AL1" s="422" t="s">
        <v>272</v>
      </c>
      <c r="AM1" s="423"/>
      <c r="AN1" s="424"/>
      <c r="AO1" s="422" t="s">
        <v>115</v>
      </c>
      <c r="AP1" s="423"/>
      <c r="AQ1" s="424"/>
      <c r="AR1" s="422" t="s">
        <v>83</v>
      </c>
      <c r="AS1" s="423"/>
      <c r="AT1" s="424"/>
      <c r="AU1" s="422" t="s">
        <v>78</v>
      </c>
      <c r="AV1" s="423"/>
      <c r="AW1" s="424"/>
      <c r="AX1" s="422" t="s">
        <v>67</v>
      </c>
      <c r="AY1" s="423"/>
      <c r="AZ1" s="424"/>
      <c r="BA1" s="422" t="s">
        <v>73</v>
      </c>
      <c r="BB1" s="423"/>
      <c r="BC1" s="424"/>
      <c r="BE1" s="4"/>
      <c r="BF1" s="4"/>
      <c r="BG1" s="4"/>
      <c r="BJ1" s="4"/>
    </row>
    <row r="2" spans="1:62" ht="14.95" customHeight="1" thickBot="1" x14ac:dyDescent="0.3">
      <c r="A2" s="123" t="s">
        <v>0</v>
      </c>
      <c r="B2" s="116" t="s">
        <v>355</v>
      </c>
      <c r="C2" s="284" t="s">
        <v>42</v>
      </c>
      <c r="D2" s="260" t="s">
        <v>564</v>
      </c>
      <c r="E2" s="131" t="s">
        <v>1</v>
      </c>
      <c r="F2" s="125" t="s">
        <v>2</v>
      </c>
      <c r="G2" s="140" t="s">
        <v>355</v>
      </c>
      <c r="H2" s="309" t="s">
        <v>42</v>
      </c>
      <c r="I2" s="227" t="s">
        <v>564</v>
      </c>
      <c r="J2" s="128" t="s">
        <v>1</v>
      </c>
      <c r="K2" s="458"/>
      <c r="L2" s="439"/>
      <c r="M2" s="440"/>
      <c r="N2" s="441"/>
      <c r="O2" s="439"/>
      <c r="P2" s="440"/>
      <c r="Q2" s="441"/>
      <c r="R2" s="439"/>
      <c r="S2" s="441"/>
      <c r="T2" s="425"/>
      <c r="U2" s="426"/>
      <c r="V2" s="427"/>
      <c r="W2" s="425"/>
      <c r="X2" s="426"/>
      <c r="Y2" s="427"/>
      <c r="Z2" s="204"/>
      <c r="AA2" s="163"/>
      <c r="AB2" s="205"/>
      <c r="AC2" s="425"/>
      <c r="AD2" s="426"/>
      <c r="AE2" s="427"/>
      <c r="AF2" s="425"/>
      <c r="AG2" s="426"/>
      <c r="AH2" s="427"/>
      <c r="AI2" s="425"/>
      <c r="AJ2" s="426"/>
      <c r="AK2" s="427"/>
      <c r="AL2" s="425"/>
      <c r="AM2" s="426"/>
      <c r="AN2" s="427"/>
      <c r="AO2" s="425"/>
      <c r="AP2" s="426"/>
      <c r="AQ2" s="427"/>
      <c r="AR2" s="425"/>
      <c r="AS2" s="426"/>
      <c r="AT2" s="427"/>
      <c r="AU2" s="425"/>
      <c r="AV2" s="426"/>
      <c r="AW2" s="427"/>
      <c r="AX2" s="425"/>
      <c r="AY2" s="426"/>
      <c r="AZ2" s="427"/>
      <c r="BA2" s="425"/>
      <c r="BB2" s="426"/>
      <c r="BC2" s="427"/>
    </row>
    <row r="3" spans="1:62" ht="14.95" customHeight="1" thickBot="1" x14ac:dyDescent="0.3">
      <c r="A3" s="124" t="s">
        <v>640</v>
      </c>
      <c r="B3" s="78">
        <v>1</v>
      </c>
      <c r="C3" s="285">
        <v>1</v>
      </c>
      <c r="D3" s="261">
        <v>0</v>
      </c>
      <c r="E3" s="132">
        <f t="shared" ref="E3:E45" si="0">SUM(B3:D3)</f>
        <v>2</v>
      </c>
      <c r="F3" s="126" t="s">
        <v>640</v>
      </c>
      <c r="G3" s="138">
        <v>5</v>
      </c>
      <c r="H3" s="310">
        <v>5</v>
      </c>
      <c r="I3" s="228">
        <v>0</v>
      </c>
      <c r="J3" s="129">
        <f t="shared" ref="J3:J45" si="1">SUM(G3:I3)</f>
        <v>10</v>
      </c>
      <c r="K3" s="233" t="s">
        <v>30</v>
      </c>
      <c r="L3" s="3" t="s">
        <v>74</v>
      </c>
      <c r="M3" s="3" t="s">
        <v>15</v>
      </c>
      <c r="N3" s="3" t="s">
        <v>16</v>
      </c>
      <c r="O3" s="3" t="s">
        <v>74</v>
      </c>
      <c r="P3" s="3" t="s">
        <v>15</v>
      </c>
      <c r="Q3" s="3" t="s">
        <v>16</v>
      </c>
      <c r="R3" s="3" t="s">
        <v>24</v>
      </c>
      <c r="S3" s="3" t="s">
        <v>87</v>
      </c>
      <c r="T3" s="7" t="s">
        <v>74</v>
      </c>
      <c r="U3" s="7" t="s">
        <v>15</v>
      </c>
      <c r="V3" s="7" t="s">
        <v>16</v>
      </c>
      <c r="W3" s="7" t="s">
        <v>74</v>
      </c>
      <c r="X3" s="7" t="s">
        <v>15</v>
      </c>
      <c r="Y3" s="7" t="s">
        <v>16</v>
      </c>
      <c r="Z3" s="94"/>
      <c r="AA3" s="95"/>
      <c r="AB3" s="206"/>
      <c r="AC3" s="151" t="s">
        <v>74</v>
      </c>
      <c r="AD3" s="7" t="s">
        <v>15</v>
      </c>
      <c r="AE3" s="7" t="s">
        <v>16</v>
      </c>
      <c r="AF3" s="151" t="s">
        <v>74</v>
      </c>
      <c r="AG3" s="7" t="s">
        <v>15</v>
      </c>
      <c r="AH3" s="7" t="s">
        <v>16</v>
      </c>
      <c r="AI3" s="151" t="s">
        <v>74</v>
      </c>
      <c r="AJ3" s="7" t="s">
        <v>15</v>
      </c>
      <c r="AK3" s="7" t="s">
        <v>16</v>
      </c>
      <c r="AL3" s="151" t="s">
        <v>74</v>
      </c>
      <c r="AM3" s="7" t="s">
        <v>15</v>
      </c>
      <c r="AN3" s="7" t="s">
        <v>16</v>
      </c>
      <c r="AO3" s="151" t="s">
        <v>74</v>
      </c>
      <c r="AP3" s="7" t="s">
        <v>15</v>
      </c>
      <c r="AQ3" s="7" t="s">
        <v>16</v>
      </c>
      <c r="AR3" s="151" t="s">
        <v>74</v>
      </c>
      <c r="AS3" s="7" t="s">
        <v>15</v>
      </c>
      <c r="AT3" s="7" t="s">
        <v>16</v>
      </c>
      <c r="AU3" s="7" t="s">
        <v>74</v>
      </c>
      <c r="AV3" s="7" t="s">
        <v>15</v>
      </c>
      <c r="AW3" s="7" t="s">
        <v>16</v>
      </c>
      <c r="AX3" s="7" t="s">
        <v>74</v>
      </c>
      <c r="AY3" s="7" t="s">
        <v>15</v>
      </c>
      <c r="AZ3" s="7" t="s">
        <v>16</v>
      </c>
      <c r="BA3" s="7" t="s">
        <v>74</v>
      </c>
      <c r="BB3" s="7" t="s">
        <v>15</v>
      </c>
      <c r="BC3" s="7" t="s">
        <v>16</v>
      </c>
    </row>
    <row r="4" spans="1:62" ht="14.95" customHeight="1" thickBot="1" x14ac:dyDescent="0.3">
      <c r="A4" s="124" t="s">
        <v>982</v>
      </c>
      <c r="B4" s="78">
        <v>1</v>
      </c>
      <c r="C4" s="285">
        <v>0</v>
      </c>
      <c r="D4" s="261">
        <v>0</v>
      </c>
      <c r="E4" s="132">
        <f t="shared" si="0"/>
        <v>1</v>
      </c>
      <c r="F4" s="126" t="s">
        <v>982</v>
      </c>
      <c r="G4" s="138">
        <v>5</v>
      </c>
      <c r="H4" s="310">
        <v>0</v>
      </c>
      <c r="I4" s="228">
        <v>0</v>
      </c>
      <c r="J4" s="129">
        <f t="shared" si="1"/>
        <v>5</v>
      </c>
      <c r="K4" s="124" t="s">
        <v>100</v>
      </c>
      <c r="L4" s="333">
        <v>14</v>
      </c>
      <c r="M4" s="333">
        <v>20</v>
      </c>
      <c r="N4" s="334">
        <f t="shared" ref="N4:N5" si="2">SUM(L4/M4)*100</f>
        <v>70</v>
      </c>
      <c r="O4" s="132">
        <v>1</v>
      </c>
      <c r="P4" s="132">
        <v>1</v>
      </c>
      <c r="Q4" s="133">
        <f t="shared" ref="Q4" si="3">SUM(O4/P4)*100</f>
        <v>100</v>
      </c>
      <c r="R4" s="132">
        <v>1</v>
      </c>
      <c r="S4" s="132">
        <v>1</v>
      </c>
      <c r="T4" s="7">
        <v>17</v>
      </c>
      <c r="U4" s="7">
        <v>21</v>
      </c>
      <c r="V4" s="156">
        <v>80.952380952380949</v>
      </c>
      <c r="W4" s="7">
        <v>11</v>
      </c>
      <c r="X4" s="7">
        <v>16</v>
      </c>
      <c r="Y4" s="156">
        <f t="shared" ref="Y4:Y5" si="4">SUM(W4/X4)*100</f>
        <v>68.75</v>
      </c>
      <c r="Z4" s="94"/>
      <c r="AA4" s="95"/>
      <c r="AB4" s="206"/>
      <c r="AC4" s="151" t="s">
        <v>21</v>
      </c>
      <c r="AD4" s="7" t="s">
        <v>21</v>
      </c>
      <c r="AE4" s="7" t="s">
        <v>21</v>
      </c>
      <c r="AF4" s="151" t="s">
        <v>21</v>
      </c>
      <c r="AG4" s="7" t="s">
        <v>21</v>
      </c>
      <c r="AH4" s="7" t="s">
        <v>21</v>
      </c>
      <c r="AI4" s="151" t="s">
        <v>21</v>
      </c>
      <c r="AJ4" s="7" t="s">
        <v>21</v>
      </c>
      <c r="AK4" s="7" t="s">
        <v>21</v>
      </c>
      <c r="AL4" s="151" t="s">
        <v>21</v>
      </c>
      <c r="AM4" s="7" t="s">
        <v>21</v>
      </c>
      <c r="AN4" s="7" t="s">
        <v>21</v>
      </c>
      <c r="AO4" s="151" t="s">
        <v>21</v>
      </c>
      <c r="AP4" s="7" t="s">
        <v>21</v>
      </c>
      <c r="AQ4" s="7" t="s">
        <v>21</v>
      </c>
      <c r="AR4" s="6" t="s">
        <v>21</v>
      </c>
      <c r="AS4" s="7" t="s">
        <v>21</v>
      </c>
      <c r="AT4" s="7" t="s">
        <v>21</v>
      </c>
      <c r="AU4" s="7" t="s">
        <v>21</v>
      </c>
      <c r="AV4" s="7" t="s">
        <v>21</v>
      </c>
      <c r="AW4" s="7" t="s">
        <v>21</v>
      </c>
      <c r="AX4" s="7" t="s">
        <v>21</v>
      </c>
      <c r="AY4" s="7" t="s">
        <v>21</v>
      </c>
      <c r="AZ4" s="7" t="s">
        <v>21</v>
      </c>
      <c r="BA4" s="7" t="s">
        <v>21</v>
      </c>
      <c r="BB4" s="7" t="s">
        <v>21</v>
      </c>
      <c r="BC4" s="7" t="s">
        <v>21</v>
      </c>
    </row>
    <row r="5" spans="1:62" ht="14.95" customHeight="1" thickBot="1" x14ac:dyDescent="0.3">
      <c r="A5" s="124" t="s">
        <v>265</v>
      </c>
      <c r="B5" s="78">
        <v>4</v>
      </c>
      <c r="C5" s="285">
        <v>1</v>
      </c>
      <c r="D5" s="261">
        <v>0</v>
      </c>
      <c r="E5" s="132">
        <f t="shared" si="0"/>
        <v>5</v>
      </c>
      <c r="F5" s="127" t="s">
        <v>265</v>
      </c>
      <c r="G5" s="138">
        <v>20</v>
      </c>
      <c r="H5" s="310">
        <v>5</v>
      </c>
      <c r="I5" s="228">
        <v>0</v>
      </c>
      <c r="J5" s="129">
        <f t="shared" si="1"/>
        <v>25</v>
      </c>
      <c r="K5" s="124" t="s">
        <v>69</v>
      </c>
      <c r="L5" s="333">
        <v>0</v>
      </c>
      <c r="M5" s="333">
        <v>1</v>
      </c>
      <c r="N5" s="334">
        <f t="shared" si="2"/>
        <v>0</v>
      </c>
      <c r="O5" s="132" t="s">
        <v>21</v>
      </c>
      <c r="P5" s="132" t="s">
        <v>21</v>
      </c>
      <c r="Q5" s="133" t="s">
        <v>21</v>
      </c>
      <c r="R5" s="132">
        <v>-2</v>
      </c>
      <c r="S5" s="132">
        <v>-2</v>
      </c>
      <c r="T5" s="7">
        <v>3</v>
      </c>
      <c r="U5" s="7">
        <v>6</v>
      </c>
      <c r="V5" s="156">
        <v>50</v>
      </c>
      <c r="W5" s="7">
        <v>2</v>
      </c>
      <c r="X5" s="7">
        <v>4</v>
      </c>
      <c r="Y5" s="156">
        <f t="shared" si="4"/>
        <v>50</v>
      </c>
      <c r="Z5" s="94"/>
      <c r="AA5" s="95"/>
      <c r="AB5" s="206"/>
      <c r="AC5" s="151">
        <v>3</v>
      </c>
      <c r="AD5" s="7">
        <v>5</v>
      </c>
      <c r="AE5" s="7">
        <f t="shared" ref="AE5" si="5">SUM(AC5/AD5)*100</f>
        <v>60</v>
      </c>
      <c r="AF5" s="151" t="s">
        <v>21</v>
      </c>
      <c r="AG5" s="7" t="s">
        <v>21</v>
      </c>
      <c r="AH5" s="7" t="s">
        <v>21</v>
      </c>
      <c r="AI5" s="151">
        <v>3</v>
      </c>
      <c r="AJ5" s="7">
        <v>3</v>
      </c>
      <c r="AK5" s="7">
        <v>100</v>
      </c>
      <c r="AL5" s="151" t="s">
        <v>21</v>
      </c>
      <c r="AM5" s="7" t="s">
        <v>21</v>
      </c>
      <c r="AN5" s="7" t="s">
        <v>21</v>
      </c>
      <c r="AO5" s="151" t="s">
        <v>21</v>
      </c>
      <c r="AP5" s="7" t="s">
        <v>21</v>
      </c>
      <c r="AQ5" s="7" t="s">
        <v>21</v>
      </c>
      <c r="AR5" s="6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  <c r="BC5" s="7" t="s">
        <v>21</v>
      </c>
    </row>
    <row r="6" spans="1:62" ht="14.95" customHeight="1" thickBot="1" x14ac:dyDescent="0.3">
      <c r="A6" s="124" t="s">
        <v>903</v>
      </c>
      <c r="B6" s="78">
        <v>0</v>
      </c>
      <c r="C6" s="285">
        <v>0</v>
      </c>
      <c r="D6" s="261">
        <v>1</v>
      </c>
      <c r="E6" s="132">
        <f t="shared" ref="E6" si="6">SUM(B6:D6)</f>
        <v>1</v>
      </c>
      <c r="F6" s="127" t="s">
        <v>903</v>
      </c>
      <c r="G6" s="138">
        <v>0</v>
      </c>
      <c r="H6" s="310">
        <v>0</v>
      </c>
      <c r="I6" s="228">
        <v>5</v>
      </c>
      <c r="J6" s="129">
        <f t="shared" ref="J6" si="7">SUM(G6:I6)</f>
        <v>5</v>
      </c>
      <c r="K6" s="332" t="s">
        <v>765</v>
      </c>
      <c r="L6" s="333" t="s">
        <v>21</v>
      </c>
      <c r="M6" s="333" t="s">
        <v>21</v>
      </c>
      <c r="N6" s="334" t="s">
        <v>21</v>
      </c>
      <c r="O6" s="132" t="s">
        <v>21</v>
      </c>
      <c r="P6" s="132" t="s">
        <v>21</v>
      </c>
      <c r="Q6" s="133" t="s">
        <v>21</v>
      </c>
      <c r="R6" s="333" t="s">
        <v>25</v>
      </c>
      <c r="S6" s="333">
        <v>8</v>
      </c>
      <c r="T6" s="151" t="s">
        <v>21</v>
      </c>
      <c r="U6" s="7" t="s">
        <v>21</v>
      </c>
      <c r="V6" s="7" t="s">
        <v>21</v>
      </c>
      <c r="W6" s="151" t="s">
        <v>21</v>
      </c>
      <c r="X6" s="7" t="s">
        <v>21</v>
      </c>
      <c r="Y6" s="7" t="s">
        <v>21</v>
      </c>
      <c r="Z6" s="95"/>
      <c r="AA6" s="95"/>
      <c r="AB6" s="95"/>
      <c r="AC6" s="151" t="s">
        <v>21</v>
      </c>
      <c r="AD6" s="7" t="s">
        <v>21</v>
      </c>
      <c r="AE6" s="7" t="s">
        <v>21</v>
      </c>
      <c r="AF6" s="151" t="s">
        <v>21</v>
      </c>
      <c r="AG6" s="7" t="s">
        <v>21</v>
      </c>
      <c r="AH6" s="7" t="s">
        <v>21</v>
      </c>
      <c r="AI6" s="151" t="s">
        <v>21</v>
      </c>
      <c r="AJ6" s="7" t="s">
        <v>21</v>
      </c>
      <c r="AK6" s="7" t="s">
        <v>21</v>
      </c>
      <c r="AL6" s="151" t="s">
        <v>21</v>
      </c>
      <c r="AM6" s="7" t="s">
        <v>21</v>
      </c>
      <c r="AN6" s="7" t="s">
        <v>21</v>
      </c>
      <c r="AO6" s="151" t="s">
        <v>21</v>
      </c>
      <c r="AP6" s="7" t="s">
        <v>21</v>
      </c>
      <c r="AQ6" s="7" t="s">
        <v>21</v>
      </c>
      <c r="AR6" s="151" t="s">
        <v>21</v>
      </c>
      <c r="AS6" s="7" t="s">
        <v>21</v>
      </c>
      <c r="AT6" s="7" t="s">
        <v>21</v>
      </c>
      <c r="AU6" s="151" t="s">
        <v>21</v>
      </c>
      <c r="AV6" s="7" t="s">
        <v>21</v>
      </c>
      <c r="AW6" s="7" t="s">
        <v>21</v>
      </c>
      <c r="AX6" s="151" t="s">
        <v>21</v>
      </c>
      <c r="AY6" s="7" t="s">
        <v>21</v>
      </c>
      <c r="AZ6" s="7" t="s">
        <v>21</v>
      </c>
      <c r="BA6" s="151" t="s">
        <v>21</v>
      </c>
      <c r="BB6" s="7" t="s">
        <v>21</v>
      </c>
      <c r="BC6" s="7" t="s">
        <v>21</v>
      </c>
    </row>
    <row r="7" spans="1:62" ht="14.95" customHeight="1" thickBot="1" x14ac:dyDescent="0.3">
      <c r="A7" s="124" t="s">
        <v>475</v>
      </c>
      <c r="B7" s="78">
        <v>0</v>
      </c>
      <c r="C7" s="285">
        <v>0</v>
      </c>
      <c r="D7" s="261">
        <v>1</v>
      </c>
      <c r="E7" s="132">
        <f t="shared" ref="E7" si="8">SUM(B7:D7)</f>
        <v>1</v>
      </c>
      <c r="F7" s="127" t="s">
        <v>475</v>
      </c>
      <c r="G7" s="138">
        <v>0</v>
      </c>
      <c r="H7" s="310">
        <v>0</v>
      </c>
      <c r="I7" s="228">
        <v>5</v>
      </c>
      <c r="J7" s="129">
        <f t="shared" si="1"/>
        <v>5</v>
      </c>
      <c r="K7" s="332" t="s">
        <v>1003</v>
      </c>
      <c r="L7" s="333">
        <v>4</v>
      </c>
      <c r="M7" s="333">
        <v>6</v>
      </c>
      <c r="N7" s="334">
        <f t="shared" ref="N7:N8" si="9">SUM(L7/M7)*100</f>
        <v>66.666666666666657</v>
      </c>
      <c r="O7" s="132" t="s">
        <v>21</v>
      </c>
      <c r="P7" s="132" t="s">
        <v>21</v>
      </c>
      <c r="Q7" s="133" t="s">
        <v>21</v>
      </c>
      <c r="R7" s="333">
        <v>2</v>
      </c>
      <c r="S7" s="333">
        <v>2</v>
      </c>
      <c r="T7" s="7">
        <v>9</v>
      </c>
      <c r="U7" s="7">
        <v>11</v>
      </c>
      <c r="V7" s="7">
        <v>82</v>
      </c>
      <c r="W7" s="151" t="s">
        <v>21</v>
      </c>
      <c r="X7" s="7" t="s">
        <v>21</v>
      </c>
      <c r="Y7" s="7" t="s">
        <v>21</v>
      </c>
      <c r="Z7" s="95"/>
      <c r="AA7" s="95"/>
      <c r="AB7" s="95"/>
      <c r="AC7" s="151">
        <v>2</v>
      </c>
      <c r="AD7" s="7">
        <v>3</v>
      </c>
      <c r="AE7" s="7">
        <v>67</v>
      </c>
      <c r="AF7" s="151" t="s">
        <v>21</v>
      </c>
      <c r="AG7" s="7" t="s">
        <v>21</v>
      </c>
      <c r="AH7" s="7" t="s">
        <v>21</v>
      </c>
      <c r="AI7" s="151" t="s">
        <v>21</v>
      </c>
      <c r="AJ7" s="7" t="s">
        <v>21</v>
      </c>
      <c r="AK7" s="7" t="s">
        <v>21</v>
      </c>
      <c r="AL7" s="151" t="s">
        <v>21</v>
      </c>
      <c r="AM7" s="7" t="s">
        <v>21</v>
      </c>
      <c r="AN7" s="7" t="s">
        <v>21</v>
      </c>
      <c r="AO7" s="151" t="s">
        <v>21</v>
      </c>
      <c r="AP7" s="7" t="s">
        <v>21</v>
      </c>
      <c r="AQ7" s="7" t="s">
        <v>21</v>
      </c>
      <c r="AR7" s="151" t="s">
        <v>21</v>
      </c>
      <c r="AS7" s="7" t="s">
        <v>21</v>
      </c>
      <c r="AT7" s="7" t="s">
        <v>21</v>
      </c>
      <c r="AU7" s="151" t="s">
        <v>21</v>
      </c>
      <c r="AV7" s="7" t="s">
        <v>21</v>
      </c>
      <c r="AW7" s="7" t="s">
        <v>21</v>
      </c>
      <c r="AX7" s="151" t="s">
        <v>21</v>
      </c>
      <c r="AY7" s="7" t="s">
        <v>21</v>
      </c>
      <c r="AZ7" s="7" t="s">
        <v>21</v>
      </c>
      <c r="BA7" s="151" t="s">
        <v>21</v>
      </c>
      <c r="BB7" s="7" t="s">
        <v>21</v>
      </c>
      <c r="BC7" s="7" t="s">
        <v>21</v>
      </c>
    </row>
    <row r="8" spans="1:62" ht="14.95" customHeight="1" thickBot="1" x14ac:dyDescent="0.3">
      <c r="A8" s="124" t="s">
        <v>258</v>
      </c>
      <c r="B8" s="78">
        <v>2</v>
      </c>
      <c r="C8" s="285">
        <v>1</v>
      </c>
      <c r="D8" s="261">
        <v>0</v>
      </c>
      <c r="E8" s="132">
        <f t="shared" si="0"/>
        <v>3</v>
      </c>
      <c r="F8" s="127" t="s">
        <v>258</v>
      </c>
      <c r="G8" s="138">
        <v>10</v>
      </c>
      <c r="H8" s="310">
        <v>5</v>
      </c>
      <c r="I8" s="228">
        <v>0</v>
      </c>
      <c r="J8" s="129">
        <f t="shared" si="1"/>
        <v>15</v>
      </c>
      <c r="K8" s="332" t="s">
        <v>841</v>
      </c>
      <c r="L8" s="333">
        <v>65</v>
      </c>
      <c r="M8" s="333">
        <v>80</v>
      </c>
      <c r="N8" s="334">
        <f t="shared" si="9"/>
        <v>81.25</v>
      </c>
      <c r="O8" s="132">
        <v>2</v>
      </c>
      <c r="P8" s="132">
        <v>4</v>
      </c>
      <c r="Q8" s="133">
        <f t="shared" ref="Q8" si="10">SUM(O8/P8)*100</f>
        <v>50</v>
      </c>
      <c r="R8" s="333">
        <v>2</v>
      </c>
      <c r="S8" s="333">
        <v>2</v>
      </c>
      <c r="T8" s="7">
        <v>47</v>
      </c>
      <c r="U8" s="7">
        <v>59</v>
      </c>
      <c r="V8" s="156">
        <v>79.66101694915254</v>
      </c>
      <c r="W8" s="7">
        <v>39</v>
      </c>
      <c r="X8" s="7">
        <v>54</v>
      </c>
      <c r="Y8" s="156">
        <f>(W8/X8)*100</f>
        <v>72.222222222222214</v>
      </c>
      <c r="Z8" s="95"/>
      <c r="AA8" s="95"/>
      <c r="AB8" s="95"/>
      <c r="AC8" s="151">
        <v>2</v>
      </c>
      <c r="AD8" s="7">
        <v>5</v>
      </c>
      <c r="AE8" s="156">
        <f>(AC8/AD8)*100</f>
        <v>40</v>
      </c>
      <c r="AF8" s="151" t="s">
        <v>21</v>
      </c>
      <c r="AG8" s="7" t="s">
        <v>21</v>
      </c>
      <c r="AH8" s="7" t="s">
        <v>21</v>
      </c>
      <c r="AI8" s="151" t="s">
        <v>21</v>
      </c>
      <c r="AJ8" s="7" t="s">
        <v>21</v>
      </c>
      <c r="AK8" s="7" t="s">
        <v>21</v>
      </c>
      <c r="AL8" s="151" t="s">
        <v>21</v>
      </c>
      <c r="AM8" s="7" t="s">
        <v>21</v>
      </c>
      <c r="AN8" s="7" t="s">
        <v>21</v>
      </c>
      <c r="AO8" s="151" t="s">
        <v>21</v>
      </c>
      <c r="AP8" s="7" t="s">
        <v>21</v>
      </c>
      <c r="AQ8" s="7" t="s">
        <v>21</v>
      </c>
      <c r="AR8" s="6" t="s">
        <v>21</v>
      </c>
      <c r="AS8" s="7" t="s">
        <v>21</v>
      </c>
      <c r="AT8" s="7" t="s">
        <v>21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  <c r="BC8" s="7" t="s">
        <v>21</v>
      </c>
    </row>
    <row r="9" spans="1:62" ht="14.95" customHeight="1" thickBot="1" x14ac:dyDescent="0.3">
      <c r="A9" s="124" t="s">
        <v>470</v>
      </c>
      <c r="B9" s="78">
        <v>5</v>
      </c>
      <c r="C9" s="285">
        <v>4</v>
      </c>
      <c r="D9" s="261">
        <v>5</v>
      </c>
      <c r="E9" s="132">
        <f t="shared" si="0"/>
        <v>14</v>
      </c>
      <c r="F9" s="126" t="s">
        <v>470</v>
      </c>
      <c r="G9" s="138">
        <v>25</v>
      </c>
      <c r="H9" s="310">
        <v>20</v>
      </c>
      <c r="I9" s="228">
        <v>25</v>
      </c>
      <c r="J9" s="129">
        <f t="shared" si="1"/>
        <v>70</v>
      </c>
    </row>
    <row r="10" spans="1:62" ht="14.95" customHeight="1" thickBot="1" x14ac:dyDescent="0.3">
      <c r="A10" s="124" t="s">
        <v>100</v>
      </c>
      <c r="B10" s="78">
        <v>4</v>
      </c>
      <c r="C10" s="285">
        <v>2</v>
      </c>
      <c r="D10" s="261">
        <v>1</v>
      </c>
      <c r="E10" s="132">
        <f t="shared" si="0"/>
        <v>7</v>
      </c>
      <c r="F10" s="126" t="s">
        <v>100</v>
      </c>
      <c r="G10" s="138">
        <v>51</v>
      </c>
      <c r="H10" s="310">
        <v>10</v>
      </c>
      <c r="I10" s="228">
        <v>13</v>
      </c>
      <c r="J10" s="129">
        <f t="shared" si="1"/>
        <v>74</v>
      </c>
      <c r="K10" s="498" t="s">
        <v>302</v>
      </c>
      <c r="L10" s="436" t="s">
        <v>20</v>
      </c>
      <c r="M10" s="437"/>
      <c r="N10" s="438"/>
      <c r="O10" s="422" t="s">
        <v>365</v>
      </c>
      <c r="P10" s="423"/>
      <c r="Q10" s="424"/>
      <c r="R10" s="422" t="s">
        <v>854</v>
      </c>
      <c r="S10" s="423"/>
      <c r="T10" s="424"/>
      <c r="U10" s="422" t="s">
        <v>700</v>
      </c>
      <c r="V10" s="423"/>
      <c r="W10" s="424"/>
      <c r="X10" s="163"/>
      <c r="Y10" s="163"/>
      <c r="Z10" s="163"/>
      <c r="AC10" s="422" t="s">
        <v>518</v>
      </c>
      <c r="AD10" s="423"/>
      <c r="AE10" s="424"/>
      <c r="AF10" s="422" t="s">
        <v>356</v>
      </c>
      <c r="AG10" s="423"/>
      <c r="AH10" s="424"/>
      <c r="AI10" s="422" t="s">
        <v>272</v>
      </c>
      <c r="AJ10" s="423"/>
      <c r="AK10" s="424"/>
      <c r="AL10" s="422" t="s">
        <v>115</v>
      </c>
      <c r="AM10" s="423"/>
      <c r="AN10" s="424"/>
      <c r="AO10" s="422" t="s">
        <v>83</v>
      </c>
      <c r="AP10" s="423"/>
      <c r="AQ10" s="424"/>
      <c r="AR10" s="422" t="s">
        <v>78</v>
      </c>
      <c r="AS10" s="423"/>
      <c r="AT10" s="424"/>
      <c r="AU10" s="422" t="s">
        <v>238</v>
      </c>
      <c r="AV10" s="423"/>
      <c r="AW10" s="424"/>
    </row>
    <row r="11" spans="1:62" ht="14.95" customHeight="1" thickBot="1" x14ac:dyDescent="0.3">
      <c r="A11" s="124" t="s">
        <v>1017</v>
      </c>
      <c r="B11" s="78">
        <v>1</v>
      </c>
      <c r="C11" s="285">
        <v>0</v>
      </c>
      <c r="D11" s="261">
        <v>0</v>
      </c>
      <c r="E11" s="132">
        <f t="shared" si="0"/>
        <v>1</v>
      </c>
      <c r="F11" s="126" t="s">
        <v>1017</v>
      </c>
      <c r="G11" s="138">
        <v>5</v>
      </c>
      <c r="H11" s="310">
        <v>0</v>
      </c>
      <c r="I11" s="228">
        <v>0</v>
      </c>
      <c r="J11" s="129">
        <f t="shared" si="1"/>
        <v>5</v>
      </c>
      <c r="K11" s="499"/>
      <c r="L11" s="439"/>
      <c r="M11" s="440"/>
      <c r="N11" s="441"/>
      <c r="O11" s="425"/>
      <c r="P11" s="426"/>
      <c r="Q11" s="427"/>
      <c r="R11" s="425"/>
      <c r="S11" s="426"/>
      <c r="T11" s="427"/>
      <c r="U11" s="425"/>
      <c r="V11" s="426"/>
      <c r="W11" s="427"/>
      <c r="X11" s="163"/>
      <c r="Y11" s="163"/>
      <c r="Z11" s="163"/>
      <c r="AC11" s="425"/>
      <c r="AD11" s="426"/>
      <c r="AE11" s="427"/>
      <c r="AF11" s="425"/>
      <c r="AG11" s="426"/>
      <c r="AH11" s="427"/>
      <c r="AI11" s="425"/>
      <c r="AJ11" s="426"/>
      <c r="AK11" s="427"/>
      <c r="AL11" s="425"/>
      <c r="AM11" s="426"/>
      <c r="AN11" s="427"/>
      <c r="AO11" s="425"/>
      <c r="AP11" s="426"/>
      <c r="AQ11" s="427"/>
      <c r="AR11" s="425"/>
      <c r="AS11" s="426"/>
      <c r="AT11" s="427"/>
      <c r="AU11" s="425"/>
      <c r="AV11" s="426"/>
      <c r="AW11" s="427"/>
    </row>
    <row r="12" spans="1:62" ht="14.95" customHeight="1" thickBot="1" x14ac:dyDescent="0.3">
      <c r="A12" s="124" t="s">
        <v>904</v>
      </c>
      <c r="B12" s="78">
        <v>0</v>
      </c>
      <c r="C12" s="285">
        <v>0</v>
      </c>
      <c r="D12" s="261">
        <v>3</v>
      </c>
      <c r="E12" s="132">
        <f t="shared" si="0"/>
        <v>3</v>
      </c>
      <c r="F12" s="126" t="s">
        <v>904</v>
      </c>
      <c r="G12" s="138">
        <v>0</v>
      </c>
      <c r="H12" s="310">
        <v>0</v>
      </c>
      <c r="I12" s="228">
        <v>15</v>
      </c>
      <c r="J12" s="129">
        <f t="shared" si="1"/>
        <v>15</v>
      </c>
      <c r="K12" s="278" t="s">
        <v>30</v>
      </c>
      <c r="L12" s="3" t="s">
        <v>74</v>
      </c>
      <c r="M12" s="3" t="s">
        <v>15</v>
      </c>
      <c r="N12" s="3" t="s">
        <v>16</v>
      </c>
      <c r="O12" s="7" t="s">
        <v>74</v>
      </c>
      <c r="P12" s="7" t="s">
        <v>15</v>
      </c>
      <c r="Q12" s="7" t="s">
        <v>16</v>
      </c>
      <c r="R12" s="7" t="s">
        <v>74</v>
      </c>
      <c r="S12" s="7" t="s">
        <v>15</v>
      </c>
      <c r="T12" s="7" t="s">
        <v>16</v>
      </c>
      <c r="U12" s="7" t="s">
        <v>74</v>
      </c>
      <c r="V12" s="7" t="s">
        <v>15</v>
      </c>
      <c r="W12" s="7" t="s">
        <v>16</v>
      </c>
      <c r="AC12" s="151" t="s">
        <v>74</v>
      </c>
      <c r="AD12" s="7" t="s">
        <v>15</v>
      </c>
      <c r="AE12" s="7" t="s">
        <v>16</v>
      </c>
      <c r="AF12" s="151" t="s">
        <v>74</v>
      </c>
      <c r="AG12" s="7" t="s">
        <v>15</v>
      </c>
      <c r="AH12" s="7" t="s">
        <v>16</v>
      </c>
      <c r="AI12" s="151" t="s">
        <v>74</v>
      </c>
      <c r="AJ12" s="7" t="s">
        <v>15</v>
      </c>
      <c r="AK12" s="7" t="s">
        <v>16</v>
      </c>
      <c r="AL12" s="151" t="s">
        <v>74</v>
      </c>
      <c r="AM12" s="7" t="s">
        <v>15</v>
      </c>
      <c r="AN12" s="7" t="s">
        <v>16</v>
      </c>
      <c r="AO12" s="151" t="s">
        <v>74</v>
      </c>
      <c r="AP12" s="7" t="s">
        <v>15</v>
      </c>
      <c r="AQ12" s="7" t="s">
        <v>16</v>
      </c>
      <c r="AR12" s="151" t="s">
        <v>74</v>
      </c>
      <c r="AS12" s="7" t="s">
        <v>15</v>
      </c>
      <c r="AT12" s="7" t="s">
        <v>16</v>
      </c>
      <c r="AU12" s="151" t="s">
        <v>74</v>
      </c>
      <c r="AV12" s="7" t="s">
        <v>15</v>
      </c>
      <c r="AW12" s="7" t="s">
        <v>16</v>
      </c>
    </row>
    <row r="13" spans="1:62" ht="14.95" customHeight="1" thickBot="1" x14ac:dyDescent="0.3">
      <c r="A13" s="124" t="s">
        <v>430</v>
      </c>
      <c r="B13" s="78">
        <v>0</v>
      </c>
      <c r="C13" s="285">
        <v>1</v>
      </c>
      <c r="D13" s="261">
        <v>1</v>
      </c>
      <c r="E13" s="132">
        <f t="shared" si="0"/>
        <v>2</v>
      </c>
      <c r="F13" s="126" t="s">
        <v>430</v>
      </c>
      <c r="G13" s="138">
        <v>0</v>
      </c>
      <c r="H13" s="310">
        <v>5</v>
      </c>
      <c r="I13" s="228">
        <v>5</v>
      </c>
      <c r="J13" s="129">
        <f t="shared" si="1"/>
        <v>10</v>
      </c>
      <c r="K13" s="124" t="s">
        <v>100</v>
      </c>
      <c r="L13" s="132" t="s">
        <v>21</v>
      </c>
      <c r="M13" s="132" t="s">
        <v>21</v>
      </c>
      <c r="N13" s="133" t="s">
        <v>21</v>
      </c>
      <c r="O13" s="7" t="s">
        <v>21</v>
      </c>
      <c r="P13" s="7" t="s">
        <v>21</v>
      </c>
      <c r="Q13" s="156" t="s">
        <v>21</v>
      </c>
      <c r="R13" s="7">
        <v>6</v>
      </c>
      <c r="S13" s="7">
        <v>8</v>
      </c>
      <c r="T13" s="156">
        <f t="shared" ref="T13" si="11">SUM(R13/S13)*100</f>
        <v>75</v>
      </c>
      <c r="U13" s="7" t="s">
        <v>21</v>
      </c>
      <c r="V13" s="7" t="s">
        <v>21</v>
      </c>
      <c r="W13" s="7" t="s">
        <v>21</v>
      </c>
      <c r="AC13" s="151" t="s">
        <v>21</v>
      </c>
      <c r="AD13" s="7" t="s">
        <v>21</v>
      </c>
      <c r="AE13" s="7" t="s">
        <v>21</v>
      </c>
      <c r="AF13" s="6" t="s">
        <v>21</v>
      </c>
      <c r="AG13" s="155" t="s">
        <v>21</v>
      </c>
      <c r="AH13" s="155" t="s">
        <v>21</v>
      </c>
      <c r="AI13" s="6" t="s">
        <v>21</v>
      </c>
      <c r="AJ13" s="155" t="s">
        <v>21</v>
      </c>
      <c r="AK13" s="155" t="s">
        <v>21</v>
      </c>
      <c r="AL13" s="6" t="s">
        <v>21</v>
      </c>
      <c r="AM13" s="155" t="s">
        <v>21</v>
      </c>
      <c r="AN13" s="155" t="s">
        <v>21</v>
      </c>
      <c r="AO13" s="6" t="s">
        <v>21</v>
      </c>
      <c r="AP13" s="155" t="s">
        <v>21</v>
      </c>
      <c r="AQ13" s="155" t="s">
        <v>21</v>
      </c>
      <c r="AR13" s="6" t="s">
        <v>21</v>
      </c>
      <c r="AS13" s="155" t="s">
        <v>21</v>
      </c>
      <c r="AT13" s="155" t="s">
        <v>21</v>
      </c>
      <c r="AU13" s="155" t="s">
        <v>21</v>
      </c>
      <c r="AV13" s="155" t="s">
        <v>21</v>
      </c>
      <c r="AW13" s="155" t="s">
        <v>21</v>
      </c>
    </row>
    <row r="14" spans="1:62" ht="14.95" customHeight="1" thickBot="1" x14ac:dyDescent="0.3">
      <c r="A14" s="124" t="s">
        <v>187</v>
      </c>
      <c r="B14" s="78">
        <v>0</v>
      </c>
      <c r="C14" s="285">
        <v>0</v>
      </c>
      <c r="D14" s="261">
        <v>0</v>
      </c>
      <c r="E14" s="132">
        <f t="shared" si="0"/>
        <v>0</v>
      </c>
      <c r="F14" s="126" t="s">
        <v>187</v>
      </c>
      <c r="G14" s="138">
        <v>0</v>
      </c>
      <c r="H14" s="310">
        <v>0</v>
      </c>
      <c r="I14" s="228">
        <v>22</v>
      </c>
      <c r="J14" s="129">
        <f t="shared" si="1"/>
        <v>22</v>
      </c>
      <c r="K14" s="124" t="s">
        <v>69</v>
      </c>
      <c r="L14" s="132" t="s">
        <v>21</v>
      </c>
      <c r="M14" s="132" t="s">
        <v>21</v>
      </c>
      <c r="N14" s="133" t="s">
        <v>21</v>
      </c>
      <c r="O14" s="7" t="s">
        <v>21</v>
      </c>
      <c r="P14" s="7" t="s">
        <v>21</v>
      </c>
      <c r="Q14" s="156" t="s">
        <v>21</v>
      </c>
      <c r="R14" s="7" t="s">
        <v>21</v>
      </c>
      <c r="S14" s="7" t="s">
        <v>21</v>
      </c>
      <c r="T14" s="156" t="s">
        <v>21</v>
      </c>
      <c r="U14" s="7">
        <v>2</v>
      </c>
      <c r="V14" s="7">
        <v>3</v>
      </c>
      <c r="W14" s="156">
        <f t="shared" ref="W14" si="12">SUM(U14/V14)*100</f>
        <v>66.666666666666657</v>
      </c>
      <c r="AC14" s="151" t="s">
        <v>21</v>
      </c>
      <c r="AD14" s="7" t="s">
        <v>21</v>
      </c>
      <c r="AE14" s="156" t="s">
        <v>21</v>
      </c>
      <c r="AF14" s="6" t="s">
        <v>21</v>
      </c>
      <c r="AG14" s="155" t="s">
        <v>21</v>
      </c>
      <c r="AH14" s="155" t="s">
        <v>21</v>
      </c>
      <c r="AI14" s="6" t="s">
        <v>21</v>
      </c>
      <c r="AJ14" s="155" t="s">
        <v>21</v>
      </c>
      <c r="AK14" s="155" t="s">
        <v>21</v>
      </c>
      <c r="AL14" s="6" t="s">
        <v>21</v>
      </c>
      <c r="AM14" s="155" t="s">
        <v>21</v>
      </c>
      <c r="AN14" s="155" t="s">
        <v>21</v>
      </c>
      <c r="AO14" s="6" t="s">
        <v>21</v>
      </c>
      <c r="AP14" s="155" t="s">
        <v>21</v>
      </c>
      <c r="AQ14" s="155" t="s">
        <v>21</v>
      </c>
      <c r="AR14" s="6" t="s">
        <v>21</v>
      </c>
      <c r="AS14" s="155" t="s">
        <v>21</v>
      </c>
      <c r="AT14" s="155" t="s">
        <v>21</v>
      </c>
      <c r="AU14" s="155" t="s">
        <v>21</v>
      </c>
      <c r="AV14" s="155" t="s">
        <v>21</v>
      </c>
      <c r="AW14" s="155" t="s">
        <v>21</v>
      </c>
    </row>
    <row r="15" spans="1:62" ht="14.95" customHeight="1" thickBot="1" x14ac:dyDescent="0.3">
      <c r="A15" s="124" t="s">
        <v>622</v>
      </c>
      <c r="B15" s="78">
        <v>2</v>
      </c>
      <c r="C15" s="285">
        <v>3</v>
      </c>
      <c r="D15" s="261">
        <v>3</v>
      </c>
      <c r="E15" s="132">
        <f t="shared" si="0"/>
        <v>8</v>
      </c>
      <c r="F15" s="126" t="s">
        <v>622</v>
      </c>
      <c r="G15" s="138">
        <v>10</v>
      </c>
      <c r="H15" s="310">
        <v>15</v>
      </c>
      <c r="I15" s="228">
        <v>15</v>
      </c>
      <c r="J15" s="130">
        <f t="shared" si="1"/>
        <v>40</v>
      </c>
      <c r="K15" s="332" t="s">
        <v>841</v>
      </c>
      <c r="L15" s="132">
        <v>31</v>
      </c>
      <c r="M15" s="132">
        <v>42</v>
      </c>
      <c r="N15" s="133">
        <f t="shared" ref="N15" si="13">SUM(L15/M15)*100</f>
        <v>73.80952380952381</v>
      </c>
      <c r="O15" s="7">
        <v>11</v>
      </c>
      <c r="P15" s="7">
        <v>13</v>
      </c>
      <c r="Q15" s="156">
        <v>84.615384615384613</v>
      </c>
      <c r="R15" s="7" t="s">
        <v>21</v>
      </c>
      <c r="S15" s="7" t="s">
        <v>21</v>
      </c>
      <c r="T15" s="156" t="s">
        <v>21</v>
      </c>
      <c r="U15" s="7" t="s">
        <v>21</v>
      </c>
      <c r="V15" s="7" t="s">
        <v>21</v>
      </c>
      <c r="W15" s="7" t="s">
        <v>21</v>
      </c>
      <c r="AC15" s="151" t="s">
        <v>21</v>
      </c>
      <c r="AD15" s="7" t="s">
        <v>21</v>
      </c>
      <c r="AE15" s="7" t="s">
        <v>21</v>
      </c>
      <c r="AF15" s="6" t="s">
        <v>21</v>
      </c>
      <c r="AG15" s="155" t="s">
        <v>21</v>
      </c>
      <c r="AH15" s="155" t="s">
        <v>21</v>
      </c>
      <c r="AI15" s="151" t="s">
        <v>21</v>
      </c>
      <c r="AJ15" s="7" t="s">
        <v>21</v>
      </c>
      <c r="AK15" s="7" t="s">
        <v>21</v>
      </c>
      <c r="AL15" s="151" t="s">
        <v>21</v>
      </c>
      <c r="AM15" s="7" t="s">
        <v>21</v>
      </c>
      <c r="AN15" s="7" t="s">
        <v>21</v>
      </c>
      <c r="AO15" s="151" t="s">
        <v>21</v>
      </c>
      <c r="AP15" s="7" t="s">
        <v>21</v>
      </c>
      <c r="AQ15" s="7" t="s">
        <v>21</v>
      </c>
      <c r="AR15" s="151" t="s">
        <v>21</v>
      </c>
      <c r="AS15" s="7" t="s">
        <v>21</v>
      </c>
      <c r="AT15" s="7" t="s">
        <v>21</v>
      </c>
      <c r="AU15" s="151" t="s">
        <v>21</v>
      </c>
      <c r="AV15" s="7" t="s">
        <v>21</v>
      </c>
      <c r="AW15" s="7" t="s">
        <v>21</v>
      </c>
    </row>
    <row r="16" spans="1:62" ht="14.95" customHeight="1" thickBot="1" x14ac:dyDescent="0.3">
      <c r="A16" s="124" t="s">
        <v>41</v>
      </c>
      <c r="B16" s="78">
        <v>0</v>
      </c>
      <c r="C16" s="285">
        <v>0</v>
      </c>
      <c r="D16" s="261">
        <v>0</v>
      </c>
      <c r="E16" s="132">
        <f t="shared" si="0"/>
        <v>0</v>
      </c>
      <c r="F16" s="126" t="s">
        <v>41</v>
      </c>
      <c r="G16" s="138">
        <v>0</v>
      </c>
      <c r="H16" s="310">
        <v>0</v>
      </c>
      <c r="I16" s="228">
        <v>0</v>
      </c>
      <c r="J16" s="130">
        <f t="shared" si="1"/>
        <v>0</v>
      </c>
    </row>
    <row r="17" spans="1:52" ht="14.95" customHeight="1" thickBot="1" x14ac:dyDescent="0.3">
      <c r="A17" s="124" t="s">
        <v>69</v>
      </c>
      <c r="B17" s="78">
        <v>1</v>
      </c>
      <c r="C17" s="285">
        <v>0</v>
      </c>
      <c r="D17" s="261">
        <v>0</v>
      </c>
      <c r="E17" s="132">
        <f t="shared" si="0"/>
        <v>1</v>
      </c>
      <c r="F17" s="126" t="s">
        <v>69</v>
      </c>
      <c r="G17" s="138">
        <v>5</v>
      </c>
      <c r="H17" s="310">
        <v>0</v>
      </c>
      <c r="I17" s="228">
        <v>4</v>
      </c>
      <c r="J17" s="129">
        <f t="shared" si="1"/>
        <v>9</v>
      </c>
      <c r="K17" s="496" t="s">
        <v>303</v>
      </c>
      <c r="L17" s="422" t="s">
        <v>20</v>
      </c>
      <c r="M17" s="423"/>
      <c r="N17" s="424"/>
      <c r="O17" s="422" t="s">
        <v>365</v>
      </c>
      <c r="P17" s="423"/>
      <c r="Q17" s="424"/>
      <c r="R17" s="422" t="s">
        <v>854</v>
      </c>
      <c r="S17" s="423"/>
      <c r="T17" s="424"/>
      <c r="U17" s="422" t="s">
        <v>700</v>
      </c>
      <c r="V17" s="423"/>
      <c r="W17" s="424"/>
      <c r="AC17" s="422" t="s">
        <v>518</v>
      </c>
      <c r="AD17" s="423"/>
      <c r="AE17" s="424"/>
      <c r="AF17" s="422" t="s">
        <v>356</v>
      </c>
      <c r="AG17" s="423"/>
      <c r="AH17" s="424"/>
      <c r="AI17" s="422" t="s">
        <v>272</v>
      </c>
      <c r="AJ17" s="423"/>
      <c r="AK17" s="424"/>
      <c r="AL17" s="422" t="s">
        <v>115</v>
      </c>
      <c r="AM17" s="423"/>
      <c r="AN17" s="424"/>
      <c r="AO17" s="422" t="s">
        <v>83</v>
      </c>
      <c r="AP17" s="423"/>
      <c r="AQ17" s="424"/>
      <c r="AR17" s="422" t="s">
        <v>78</v>
      </c>
      <c r="AS17" s="423"/>
      <c r="AT17" s="424"/>
      <c r="AU17" s="422" t="s">
        <v>60</v>
      </c>
      <c r="AV17" s="423"/>
      <c r="AW17" s="424"/>
    </row>
    <row r="18" spans="1:52" ht="14.95" customHeight="1" thickBot="1" x14ac:dyDescent="0.3">
      <c r="A18" s="124" t="s">
        <v>1035</v>
      </c>
      <c r="B18" s="78">
        <v>1</v>
      </c>
      <c r="C18" s="285">
        <v>0</v>
      </c>
      <c r="D18" s="261">
        <v>0</v>
      </c>
      <c r="E18" s="132">
        <f t="shared" si="0"/>
        <v>1</v>
      </c>
      <c r="F18" s="126" t="s">
        <v>1035</v>
      </c>
      <c r="G18" s="138">
        <v>5</v>
      </c>
      <c r="H18" s="310">
        <v>0</v>
      </c>
      <c r="I18" s="228">
        <v>0</v>
      </c>
      <c r="J18" s="129">
        <f t="shared" si="1"/>
        <v>5</v>
      </c>
      <c r="K18" s="497"/>
      <c r="L18" s="425"/>
      <c r="M18" s="426"/>
      <c r="N18" s="427"/>
      <c r="O18" s="425"/>
      <c r="P18" s="426"/>
      <c r="Q18" s="427"/>
      <c r="R18" s="425"/>
      <c r="S18" s="426"/>
      <c r="T18" s="427"/>
      <c r="U18" s="425"/>
      <c r="V18" s="426"/>
      <c r="W18" s="427"/>
      <c r="AC18" s="425"/>
      <c r="AD18" s="426"/>
      <c r="AE18" s="427"/>
      <c r="AF18" s="425"/>
      <c r="AG18" s="426"/>
      <c r="AH18" s="427"/>
      <c r="AI18" s="425"/>
      <c r="AJ18" s="426"/>
      <c r="AK18" s="427"/>
      <c r="AL18" s="425"/>
      <c r="AM18" s="426"/>
      <c r="AN18" s="427"/>
      <c r="AO18" s="425"/>
      <c r="AP18" s="426"/>
      <c r="AQ18" s="427"/>
      <c r="AR18" s="425"/>
      <c r="AS18" s="426"/>
      <c r="AT18" s="427"/>
      <c r="AU18" s="425"/>
      <c r="AV18" s="426"/>
      <c r="AW18" s="427"/>
    </row>
    <row r="19" spans="1:52" ht="14.95" customHeight="1" thickBot="1" x14ac:dyDescent="0.3">
      <c r="A19" s="124" t="s">
        <v>441</v>
      </c>
      <c r="B19" s="78">
        <v>3</v>
      </c>
      <c r="C19" s="285">
        <v>1</v>
      </c>
      <c r="D19" s="261">
        <v>0</v>
      </c>
      <c r="E19" s="132">
        <f t="shared" si="0"/>
        <v>4</v>
      </c>
      <c r="F19" s="126" t="s">
        <v>441</v>
      </c>
      <c r="G19" s="138">
        <v>15</v>
      </c>
      <c r="H19" s="310">
        <v>5</v>
      </c>
      <c r="I19" s="228">
        <v>0</v>
      </c>
      <c r="J19" s="129">
        <f t="shared" si="1"/>
        <v>20</v>
      </c>
      <c r="K19" s="272" t="s">
        <v>30</v>
      </c>
      <c r="L19" s="7" t="s">
        <v>74</v>
      </c>
      <c r="M19" s="7" t="s">
        <v>15</v>
      </c>
      <c r="N19" s="7" t="s">
        <v>16</v>
      </c>
      <c r="O19" s="7" t="s">
        <v>74</v>
      </c>
      <c r="P19" s="7" t="s">
        <v>15</v>
      </c>
      <c r="Q19" s="7" t="s">
        <v>16</v>
      </c>
      <c r="R19" s="7" t="s">
        <v>74</v>
      </c>
      <c r="S19" s="7" t="s">
        <v>15</v>
      </c>
      <c r="T19" s="7" t="s">
        <v>16</v>
      </c>
      <c r="U19" s="7" t="s">
        <v>74</v>
      </c>
      <c r="V19" s="7" t="s">
        <v>15</v>
      </c>
      <c r="W19" s="7" t="s">
        <v>16</v>
      </c>
      <c r="AC19" s="151" t="s">
        <v>74</v>
      </c>
      <c r="AD19" s="7" t="s">
        <v>15</v>
      </c>
      <c r="AE19" s="7" t="s">
        <v>16</v>
      </c>
      <c r="AF19" s="151" t="s">
        <v>74</v>
      </c>
      <c r="AG19" s="7" t="s">
        <v>15</v>
      </c>
      <c r="AH19" s="7" t="s">
        <v>16</v>
      </c>
      <c r="AI19" s="151" t="s">
        <v>74</v>
      </c>
      <c r="AJ19" s="7" t="s">
        <v>15</v>
      </c>
      <c r="AK19" s="7" t="s">
        <v>16</v>
      </c>
      <c r="AL19" s="151" t="s">
        <v>74</v>
      </c>
      <c r="AM19" s="7" t="s">
        <v>15</v>
      </c>
      <c r="AN19" s="7" t="s">
        <v>16</v>
      </c>
      <c r="AO19" s="151" t="s">
        <v>74</v>
      </c>
      <c r="AP19" s="7" t="s">
        <v>15</v>
      </c>
      <c r="AQ19" s="7" t="s">
        <v>16</v>
      </c>
      <c r="AR19" s="151" t="s">
        <v>74</v>
      </c>
      <c r="AS19" s="7" t="s">
        <v>15</v>
      </c>
      <c r="AT19" s="7" t="s">
        <v>16</v>
      </c>
      <c r="AU19" s="151" t="s">
        <v>74</v>
      </c>
      <c r="AV19" s="7" t="s">
        <v>15</v>
      </c>
      <c r="AW19" s="7" t="s">
        <v>16</v>
      </c>
    </row>
    <row r="20" spans="1:52" ht="14.95" customHeight="1" thickBot="1" x14ac:dyDescent="0.3">
      <c r="A20" s="124" t="s">
        <v>905</v>
      </c>
      <c r="B20" s="78">
        <v>7</v>
      </c>
      <c r="C20" s="285">
        <v>1</v>
      </c>
      <c r="D20" s="261">
        <v>1</v>
      </c>
      <c r="E20" s="132">
        <f t="shared" ref="E20" si="14">SUM(B20:D20)</f>
        <v>9</v>
      </c>
      <c r="F20" s="126" t="s">
        <v>905</v>
      </c>
      <c r="G20" s="138">
        <v>35</v>
      </c>
      <c r="H20" s="310">
        <v>5</v>
      </c>
      <c r="I20" s="228">
        <v>5</v>
      </c>
      <c r="J20" s="129">
        <f t="shared" ref="J20" si="15">SUM(G20:I20)</f>
        <v>45</v>
      </c>
      <c r="K20" s="124" t="s">
        <v>100</v>
      </c>
      <c r="L20" s="6" t="s">
        <v>21</v>
      </c>
      <c r="M20" s="155" t="s">
        <v>21</v>
      </c>
      <c r="N20" s="154" t="s">
        <v>21</v>
      </c>
      <c r="O20" s="6" t="s">
        <v>21</v>
      </c>
      <c r="P20" s="155" t="s">
        <v>21</v>
      </c>
      <c r="Q20" s="154" t="s">
        <v>21</v>
      </c>
      <c r="R20" s="6">
        <v>1</v>
      </c>
      <c r="S20" s="155">
        <v>1</v>
      </c>
      <c r="T20" s="154">
        <f t="shared" ref="T20" si="16">SUM(R20/S20)*100</f>
        <v>100</v>
      </c>
      <c r="U20" s="6" t="s">
        <v>21</v>
      </c>
      <c r="V20" s="155" t="s">
        <v>21</v>
      </c>
      <c r="W20" s="155" t="s">
        <v>21</v>
      </c>
      <c r="AC20" s="6" t="s">
        <v>21</v>
      </c>
      <c r="AD20" s="155" t="s">
        <v>21</v>
      </c>
      <c r="AE20" s="155" t="s">
        <v>21</v>
      </c>
      <c r="AF20" s="6" t="s">
        <v>21</v>
      </c>
      <c r="AG20" s="155" t="s">
        <v>21</v>
      </c>
      <c r="AH20" s="155" t="s">
        <v>21</v>
      </c>
      <c r="AI20" s="6" t="s">
        <v>21</v>
      </c>
      <c r="AJ20" s="155" t="s">
        <v>21</v>
      </c>
      <c r="AK20" s="155" t="s">
        <v>21</v>
      </c>
      <c r="AL20" s="6" t="s">
        <v>21</v>
      </c>
      <c r="AM20" s="155" t="s">
        <v>21</v>
      </c>
      <c r="AN20" s="155" t="s">
        <v>21</v>
      </c>
      <c r="AO20" s="6" t="s">
        <v>21</v>
      </c>
      <c r="AP20" s="155" t="s">
        <v>21</v>
      </c>
      <c r="AQ20" s="155" t="s">
        <v>21</v>
      </c>
      <c r="AR20" s="6" t="s">
        <v>21</v>
      </c>
      <c r="AS20" s="155" t="s">
        <v>21</v>
      </c>
      <c r="AT20" s="155" t="s">
        <v>21</v>
      </c>
      <c r="AU20" s="6" t="s">
        <v>21</v>
      </c>
      <c r="AV20" s="155" t="s">
        <v>21</v>
      </c>
      <c r="AW20" s="155" t="s">
        <v>21</v>
      </c>
    </row>
    <row r="21" spans="1:52" ht="14.95" customHeight="1" thickBot="1" x14ac:dyDescent="0.3">
      <c r="A21" s="124" t="s">
        <v>55</v>
      </c>
      <c r="B21" s="78">
        <v>2</v>
      </c>
      <c r="C21" s="285">
        <v>3</v>
      </c>
      <c r="D21" s="261">
        <v>0</v>
      </c>
      <c r="E21" s="132">
        <f t="shared" si="0"/>
        <v>5</v>
      </c>
      <c r="F21" s="126" t="s">
        <v>55</v>
      </c>
      <c r="G21" s="138">
        <v>10</v>
      </c>
      <c r="H21" s="310">
        <v>15</v>
      </c>
      <c r="I21" s="228">
        <v>0</v>
      </c>
      <c r="J21" s="129">
        <f t="shared" si="1"/>
        <v>25</v>
      </c>
      <c r="K21" s="240" t="s">
        <v>69</v>
      </c>
      <c r="L21" s="6" t="s">
        <v>21</v>
      </c>
      <c r="M21" s="155" t="s">
        <v>21</v>
      </c>
      <c r="N21" s="154" t="s">
        <v>21</v>
      </c>
      <c r="O21" s="6" t="s">
        <v>21</v>
      </c>
      <c r="P21" s="155" t="s">
        <v>21</v>
      </c>
      <c r="Q21" s="154" t="s">
        <v>21</v>
      </c>
      <c r="R21" s="6" t="s">
        <v>21</v>
      </c>
      <c r="S21" s="155" t="s">
        <v>21</v>
      </c>
      <c r="T21" s="154" t="s">
        <v>21</v>
      </c>
      <c r="U21" s="6" t="s">
        <v>21</v>
      </c>
      <c r="V21" s="155" t="s">
        <v>21</v>
      </c>
      <c r="W21" s="155" t="s">
        <v>21</v>
      </c>
      <c r="AC21" s="6" t="s">
        <v>21</v>
      </c>
      <c r="AD21" s="155" t="s">
        <v>21</v>
      </c>
      <c r="AE21" s="155" t="s">
        <v>21</v>
      </c>
      <c r="AF21" s="6">
        <v>7</v>
      </c>
      <c r="AG21" s="7">
        <v>7</v>
      </c>
      <c r="AH21" s="156">
        <f>SUM(AF21/AG21)*100</f>
        <v>100</v>
      </c>
      <c r="AI21" s="6" t="s">
        <v>21</v>
      </c>
      <c r="AJ21" s="7" t="s">
        <v>21</v>
      </c>
      <c r="AK21" s="156" t="s">
        <v>21</v>
      </c>
      <c r="AL21" s="7" t="s">
        <v>21</v>
      </c>
      <c r="AM21" s="7" t="s">
        <v>21</v>
      </c>
      <c r="AN21" s="156" t="s">
        <v>21</v>
      </c>
      <c r="AO21" s="7" t="s">
        <v>21</v>
      </c>
      <c r="AP21" s="7" t="s">
        <v>21</v>
      </c>
      <c r="AQ21" s="156" t="s">
        <v>21</v>
      </c>
      <c r="AR21" s="7" t="s">
        <v>21</v>
      </c>
      <c r="AS21" s="7" t="s">
        <v>21</v>
      </c>
      <c r="AT21" s="156" t="s">
        <v>21</v>
      </c>
      <c r="AU21" s="7" t="s">
        <v>21</v>
      </c>
      <c r="AV21" s="7" t="s">
        <v>21</v>
      </c>
      <c r="AW21" s="156" t="s">
        <v>21</v>
      </c>
    </row>
    <row r="22" spans="1:52" ht="14.95" customHeight="1" thickBot="1" x14ac:dyDescent="0.3">
      <c r="A22" s="124" t="s">
        <v>621</v>
      </c>
      <c r="B22" s="78">
        <v>2</v>
      </c>
      <c r="C22" s="285">
        <v>0</v>
      </c>
      <c r="D22" s="261">
        <v>0</v>
      </c>
      <c r="E22" s="132">
        <f t="shared" si="0"/>
        <v>2</v>
      </c>
      <c r="F22" s="126" t="s">
        <v>621</v>
      </c>
      <c r="G22" s="138">
        <v>10</v>
      </c>
      <c r="H22" s="310">
        <v>0</v>
      </c>
      <c r="I22" s="228">
        <v>0</v>
      </c>
      <c r="J22" s="129">
        <f t="shared" si="1"/>
        <v>10</v>
      </c>
      <c r="K22" s="332" t="s">
        <v>1003</v>
      </c>
      <c r="L22" s="6" t="s">
        <v>21</v>
      </c>
      <c r="M22" s="155" t="s">
        <v>21</v>
      </c>
      <c r="N22" s="154" t="s">
        <v>21</v>
      </c>
      <c r="O22" s="6" t="s">
        <v>21</v>
      </c>
      <c r="P22" s="155" t="s">
        <v>21</v>
      </c>
      <c r="Q22" s="154" t="s">
        <v>21</v>
      </c>
      <c r="R22" s="7">
        <v>3</v>
      </c>
      <c r="S22" s="7">
        <v>4</v>
      </c>
      <c r="T22" s="156">
        <v>75</v>
      </c>
      <c r="U22" s="6" t="s">
        <v>21</v>
      </c>
      <c r="V22" s="155" t="s">
        <v>21</v>
      </c>
      <c r="W22" s="155" t="s">
        <v>21</v>
      </c>
      <c r="AC22" s="6" t="s">
        <v>21</v>
      </c>
      <c r="AD22" s="155" t="s">
        <v>21</v>
      </c>
      <c r="AE22" s="155" t="s">
        <v>21</v>
      </c>
      <c r="AF22" s="6" t="s">
        <v>21</v>
      </c>
      <c r="AG22" s="155" t="s">
        <v>21</v>
      </c>
      <c r="AH22" s="155" t="s">
        <v>21</v>
      </c>
      <c r="AI22" s="6" t="s">
        <v>21</v>
      </c>
      <c r="AJ22" s="155" t="s">
        <v>21</v>
      </c>
      <c r="AK22" s="155" t="s">
        <v>21</v>
      </c>
      <c r="AL22" s="6" t="s">
        <v>21</v>
      </c>
      <c r="AM22" s="155" t="s">
        <v>21</v>
      </c>
      <c r="AN22" s="155" t="s">
        <v>21</v>
      </c>
      <c r="AO22" s="6" t="s">
        <v>21</v>
      </c>
      <c r="AP22" s="155" t="s">
        <v>21</v>
      </c>
      <c r="AQ22" s="155" t="s">
        <v>21</v>
      </c>
      <c r="AR22" s="6" t="s">
        <v>21</v>
      </c>
      <c r="AS22" s="155" t="s">
        <v>21</v>
      </c>
      <c r="AT22" s="155" t="s">
        <v>21</v>
      </c>
      <c r="AU22" s="6" t="s">
        <v>21</v>
      </c>
      <c r="AV22" s="155" t="s">
        <v>21</v>
      </c>
      <c r="AW22" s="155" t="s">
        <v>21</v>
      </c>
      <c r="AX22" s="37"/>
      <c r="AY22" s="37"/>
      <c r="AZ22" s="37"/>
    </row>
    <row r="23" spans="1:52" ht="14.95" customHeight="1" thickBot="1" x14ac:dyDescent="0.3">
      <c r="A23" s="124" t="s">
        <v>778</v>
      </c>
      <c r="B23" s="78">
        <v>0</v>
      </c>
      <c r="C23" s="285">
        <v>1</v>
      </c>
      <c r="D23" s="261">
        <v>0</v>
      </c>
      <c r="E23" s="132">
        <f t="shared" si="0"/>
        <v>1</v>
      </c>
      <c r="F23" s="126" t="s">
        <v>778</v>
      </c>
      <c r="G23" s="138">
        <v>0</v>
      </c>
      <c r="H23" s="310">
        <v>5</v>
      </c>
      <c r="I23" s="228">
        <v>0</v>
      </c>
      <c r="J23" s="129">
        <f t="shared" si="1"/>
        <v>5</v>
      </c>
      <c r="K23" s="332" t="s">
        <v>841</v>
      </c>
      <c r="L23" s="6" t="s">
        <v>21</v>
      </c>
      <c r="M23" s="155" t="s">
        <v>21</v>
      </c>
      <c r="N23" s="154" t="s">
        <v>21</v>
      </c>
      <c r="O23" s="6" t="s">
        <v>21</v>
      </c>
      <c r="P23" s="155" t="s">
        <v>21</v>
      </c>
      <c r="Q23" s="154" t="s">
        <v>21</v>
      </c>
      <c r="R23" s="7">
        <v>9</v>
      </c>
      <c r="S23" s="7">
        <v>14</v>
      </c>
      <c r="T23" s="156">
        <v>64.285714285714292</v>
      </c>
      <c r="U23" s="7" t="s">
        <v>21</v>
      </c>
      <c r="V23" s="7" t="s">
        <v>21</v>
      </c>
      <c r="W23" s="7" t="s">
        <v>21</v>
      </c>
      <c r="AC23" s="151" t="s">
        <v>21</v>
      </c>
      <c r="AD23" s="7" t="s">
        <v>21</v>
      </c>
      <c r="AE23" s="7" t="s">
        <v>21</v>
      </c>
      <c r="AF23" s="6" t="s">
        <v>21</v>
      </c>
      <c r="AG23" s="155" t="s">
        <v>21</v>
      </c>
      <c r="AH23" s="155" t="s">
        <v>21</v>
      </c>
      <c r="AI23" s="151" t="s">
        <v>21</v>
      </c>
      <c r="AJ23" s="7" t="s">
        <v>21</v>
      </c>
      <c r="AK23" s="7" t="s">
        <v>21</v>
      </c>
      <c r="AL23" s="151" t="s">
        <v>21</v>
      </c>
      <c r="AM23" s="7" t="s">
        <v>21</v>
      </c>
      <c r="AN23" s="7" t="s">
        <v>21</v>
      </c>
      <c r="AO23" s="151" t="s">
        <v>21</v>
      </c>
      <c r="AP23" s="7" t="s">
        <v>21</v>
      </c>
      <c r="AQ23" s="7" t="s">
        <v>21</v>
      </c>
      <c r="AR23" s="151" t="s">
        <v>21</v>
      </c>
      <c r="AS23" s="7" t="s">
        <v>21</v>
      </c>
      <c r="AT23" s="7" t="s">
        <v>21</v>
      </c>
      <c r="AU23" s="151" t="s">
        <v>21</v>
      </c>
      <c r="AV23" s="7" t="s">
        <v>21</v>
      </c>
      <c r="AW23" s="7" t="s">
        <v>21</v>
      </c>
    </row>
    <row r="24" spans="1:52" ht="14.95" customHeight="1" thickBot="1" x14ac:dyDescent="0.3">
      <c r="A24" s="124" t="s">
        <v>70</v>
      </c>
      <c r="B24" s="78">
        <v>1</v>
      </c>
      <c r="C24" s="285">
        <v>0</v>
      </c>
      <c r="D24" s="261">
        <v>0</v>
      </c>
      <c r="E24" s="132">
        <f t="shared" si="0"/>
        <v>1</v>
      </c>
      <c r="F24" s="126" t="s">
        <v>70</v>
      </c>
      <c r="G24" s="138">
        <v>5</v>
      </c>
      <c r="H24" s="310">
        <v>0</v>
      </c>
      <c r="I24" s="228">
        <v>0</v>
      </c>
      <c r="J24" s="129">
        <f t="shared" si="1"/>
        <v>5</v>
      </c>
      <c r="K24" s="103"/>
      <c r="L24" s="95"/>
      <c r="M24" s="95"/>
      <c r="N24" s="95"/>
      <c r="AF24" s="37"/>
    </row>
    <row r="25" spans="1:52" ht="14.95" customHeight="1" thickBot="1" x14ac:dyDescent="0.3">
      <c r="A25" s="124" t="s">
        <v>765</v>
      </c>
      <c r="B25" s="78">
        <v>0</v>
      </c>
      <c r="C25" s="285">
        <v>0</v>
      </c>
      <c r="D25" s="261">
        <v>0</v>
      </c>
      <c r="E25" s="132">
        <f t="shared" si="0"/>
        <v>0</v>
      </c>
      <c r="F25" s="126" t="s">
        <v>765</v>
      </c>
      <c r="G25" s="138">
        <v>0</v>
      </c>
      <c r="H25" s="310">
        <v>0</v>
      </c>
      <c r="I25" s="228">
        <v>0</v>
      </c>
      <c r="J25" s="129">
        <f t="shared" si="1"/>
        <v>0</v>
      </c>
      <c r="K25" s="463" t="s">
        <v>116</v>
      </c>
      <c r="L25" s="476" t="s">
        <v>20</v>
      </c>
      <c r="M25" s="477"/>
      <c r="N25" s="478"/>
      <c r="O25" s="422" t="s">
        <v>365</v>
      </c>
      <c r="P25" s="423"/>
      <c r="Q25" s="424"/>
      <c r="R25" s="422" t="s">
        <v>854</v>
      </c>
      <c r="S25" s="423"/>
      <c r="T25" s="424"/>
      <c r="U25" s="422" t="s">
        <v>518</v>
      </c>
      <c r="V25" s="423"/>
      <c r="W25" s="424"/>
      <c r="AC25" s="422" t="s">
        <v>356</v>
      </c>
      <c r="AD25" s="423"/>
      <c r="AE25" s="424"/>
      <c r="AF25" s="422" t="s">
        <v>272</v>
      </c>
      <c r="AG25" s="423"/>
      <c r="AH25" s="424"/>
      <c r="AI25" s="422" t="s">
        <v>115</v>
      </c>
      <c r="AJ25" s="423"/>
      <c r="AK25" s="424"/>
      <c r="AL25" s="422" t="s">
        <v>78</v>
      </c>
      <c r="AM25" s="423"/>
      <c r="AN25" s="424"/>
      <c r="AO25" s="422" t="s">
        <v>60</v>
      </c>
      <c r="AP25" s="423"/>
      <c r="AQ25" s="424"/>
    </row>
    <row r="26" spans="1:52" ht="14.95" customHeight="1" thickBot="1" x14ac:dyDescent="0.3">
      <c r="A26" s="124" t="s">
        <v>454</v>
      </c>
      <c r="B26" s="78">
        <v>4</v>
      </c>
      <c r="C26" s="285">
        <v>0</v>
      </c>
      <c r="D26" s="261">
        <v>0</v>
      </c>
      <c r="E26" s="132">
        <f t="shared" si="0"/>
        <v>4</v>
      </c>
      <c r="F26" s="126" t="s">
        <v>454</v>
      </c>
      <c r="G26" s="138">
        <v>20</v>
      </c>
      <c r="H26" s="310">
        <v>0</v>
      </c>
      <c r="I26" s="228">
        <v>0</v>
      </c>
      <c r="J26" s="129">
        <f t="shared" si="1"/>
        <v>20</v>
      </c>
      <c r="K26" s="464"/>
      <c r="L26" s="479"/>
      <c r="M26" s="480"/>
      <c r="N26" s="481"/>
      <c r="O26" s="425"/>
      <c r="P26" s="426"/>
      <c r="Q26" s="427"/>
      <c r="R26" s="425"/>
      <c r="S26" s="426"/>
      <c r="T26" s="427"/>
      <c r="U26" s="425"/>
      <c r="V26" s="426"/>
      <c r="W26" s="427"/>
      <c r="AC26" s="425"/>
      <c r="AD26" s="426"/>
      <c r="AE26" s="427"/>
      <c r="AF26" s="425"/>
      <c r="AG26" s="426"/>
      <c r="AH26" s="427"/>
      <c r="AI26" s="425"/>
      <c r="AJ26" s="426"/>
      <c r="AK26" s="427"/>
      <c r="AL26" s="425"/>
      <c r="AM26" s="426"/>
      <c r="AN26" s="427"/>
      <c r="AO26" s="425"/>
      <c r="AP26" s="426"/>
      <c r="AQ26" s="427"/>
    </row>
    <row r="27" spans="1:52" ht="14.95" customHeight="1" thickBot="1" x14ac:dyDescent="0.3">
      <c r="A27" s="124" t="s">
        <v>906</v>
      </c>
      <c r="B27" s="78">
        <v>0</v>
      </c>
      <c r="C27" s="285">
        <v>0</v>
      </c>
      <c r="D27" s="261">
        <v>4</v>
      </c>
      <c r="E27" s="132">
        <f t="shared" si="0"/>
        <v>4</v>
      </c>
      <c r="F27" s="126" t="s">
        <v>906</v>
      </c>
      <c r="G27" s="138">
        <v>0</v>
      </c>
      <c r="H27" s="310">
        <v>0</v>
      </c>
      <c r="I27" s="228">
        <v>20</v>
      </c>
      <c r="J27" s="129">
        <f t="shared" si="1"/>
        <v>20</v>
      </c>
      <c r="K27" s="236" t="s">
        <v>30</v>
      </c>
      <c r="L27" s="167" t="s">
        <v>74</v>
      </c>
      <c r="M27" s="167" t="s">
        <v>15</v>
      </c>
      <c r="N27" s="167" t="s">
        <v>16</v>
      </c>
      <c r="O27" s="7" t="s">
        <v>74</v>
      </c>
      <c r="P27" s="7" t="s">
        <v>15</v>
      </c>
      <c r="Q27" s="7" t="s">
        <v>16</v>
      </c>
      <c r="R27" s="7" t="s">
        <v>74</v>
      </c>
      <c r="S27" s="7" t="s">
        <v>15</v>
      </c>
      <c r="T27" s="7" t="s">
        <v>16</v>
      </c>
      <c r="U27" s="7" t="s">
        <v>74</v>
      </c>
      <c r="V27" s="7" t="s">
        <v>15</v>
      </c>
      <c r="W27" s="7" t="s">
        <v>16</v>
      </c>
      <c r="AC27" s="151" t="s">
        <v>74</v>
      </c>
      <c r="AD27" s="7" t="s">
        <v>15</v>
      </c>
      <c r="AE27" s="7" t="s">
        <v>16</v>
      </c>
      <c r="AF27" s="151" t="s">
        <v>74</v>
      </c>
      <c r="AG27" s="7" t="s">
        <v>15</v>
      </c>
      <c r="AH27" s="7" t="s">
        <v>16</v>
      </c>
      <c r="AI27" s="151" t="s">
        <v>74</v>
      </c>
      <c r="AJ27" s="7" t="s">
        <v>15</v>
      </c>
      <c r="AK27" s="7" t="s">
        <v>16</v>
      </c>
      <c r="AL27" s="151" t="s">
        <v>74</v>
      </c>
      <c r="AM27" s="7" t="s">
        <v>15</v>
      </c>
      <c r="AN27" s="7" t="s">
        <v>16</v>
      </c>
      <c r="AO27" s="151" t="s">
        <v>74</v>
      </c>
      <c r="AP27" s="7" t="s">
        <v>15</v>
      </c>
      <c r="AQ27" s="7" t="s">
        <v>16</v>
      </c>
    </row>
    <row r="28" spans="1:52" ht="14.95" customHeight="1" thickBot="1" x14ac:dyDescent="0.3">
      <c r="A28" s="124" t="s">
        <v>102</v>
      </c>
      <c r="B28" s="78">
        <v>7</v>
      </c>
      <c r="C28" s="285">
        <v>3</v>
      </c>
      <c r="D28" s="261">
        <v>0</v>
      </c>
      <c r="E28" s="132">
        <f t="shared" si="0"/>
        <v>10</v>
      </c>
      <c r="F28" s="126" t="s">
        <v>102</v>
      </c>
      <c r="G28" s="138">
        <v>35</v>
      </c>
      <c r="H28" s="310">
        <v>15</v>
      </c>
      <c r="I28" s="228">
        <v>0</v>
      </c>
      <c r="J28" s="129">
        <f t="shared" si="1"/>
        <v>50</v>
      </c>
      <c r="K28" s="134" t="s">
        <v>187</v>
      </c>
      <c r="L28" s="242">
        <v>10</v>
      </c>
      <c r="M28" s="243">
        <v>13</v>
      </c>
      <c r="N28" s="262">
        <f>(L28/M28)*100</f>
        <v>76.923076923076934</v>
      </c>
      <c r="O28" s="6">
        <v>16</v>
      </c>
      <c r="P28" s="155">
        <v>23</v>
      </c>
      <c r="Q28" s="154">
        <v>69.565217391304344</v>
      </c>
      <c r="R28" s="6">
        <v>16</v>
      </c>
      <c r="S28" s="155">
        <v>23</v>
      </c>
      <c r="T28" s="154">
        <f t="shared" ref="T28" si="17">SUM(R28/S28)*100</f>
        <v>69.565217391304344</v>
      </c>
      <c r="U28" s="7">
        <v>14</v>
      </c>
      <c r="V28" s="7">
        <v>18</v>
      </c>
      <c r="W28" s="156">
        <f>(U28/V28)*100</f>
        <v>77.777777777777786</v>
      </c>
      <c r="AC28" s="151">
        <v>24</v>
      </c>
      <c r="AD28" s="7">
        <v>35</v>
      </c>
      <c r="AE28" s="156">
        <f>SUM(AC28/AD28)*100</f>
        <v>68.571428571428569</v>
      </c>
      <c r="AF28" s="151">
        <v>7</v>
      </c>
      <c r="AG28" s="7">
        <v>8</v>
      </c>
      <c r="AH28" s="156">
        <f>SUM(AF28/AG28)*100</f>
        <v>87.5</v>
      </c>
      <c r="AI28" s="151" t="s">
        <v>21</v>
      </c>
      <c r="AJ28" s="7" t="s">
        <v>21</v>
      </c>
      <c r="AK28" s="7" t="s">
        <v>21</v>
      </c>
      <c r="AL28" s="151" t="s">
        <v>21</v>
      </c>
      <c r="AM28" s="7" t="s">
        <v>21</v>
      </c>
      <c r="AN28" s="7" t="s">
        <v>21</v>
      </c>
      <c r="AO28" s="151" t="s">
        <v>21</v>
      </c>
      <c r="AP28" s="7" t="s">
        <v>21</v>
      </c>
      <c r="AQ28" s="7" t="s">
        <v>21</v>
      </c>
    </row>
    <row r="29" spans="1:52" ht="14.95" customHeight="1" thickBot="1" x14ac:dyDescent="0.3">
      <c r="A29" s="124" t="s">
        <v>63</v>
      </c>
      <c r="B29" s="78">
        <v>1</v>
      </c>
      <c r="C29" s="285">
        <v>0</v>
      </c>
      <c r="D29" s="261">
        <v>0</v>
      </c>
      <c r="E29" s="132">
        <f t="shared" si="0"/>
        <v>1</v>
      </c>
      <c r="F29" s="126" t="s">
        <v>63</v>
      </c>
      <c r="G29" s="138">
        <v>5</v>
      </c>
      <c r="H29" s="310">
        <v>0</v>
      </c>
      <c r="I29" s="228">
        <v>0</v>
      </c>
      <c r="J29" s="129">
        <f t="shared" si="1"/>
        <v>5</v>
      </c>
      <c r="K29" s="134" t="s">
        <v>69</v>
      </c>
      <c r="L29" s="242">
        <v>2</v>
      </c>
      <c r="M29" s="243">
        <v>3</v>
      </c>
      <c r="N29" s="262">
        <f>(L29/M29)*100</f>
        <v>66.666666666666657</v>
      </c>
      <c r="O29" s="7"/>
      <c r="P29" s="7"/>
      <c r="Q29" s="156"/>
      <c r="R29" s="7"/>
      <c r="S29" s="7"/>
      <c r="T29" s="156"/>
      <c r="U29" s="7"/>
      <c r="V29" s="7"/>
      <c r="W29" s="156"/>
      <c r="AC29" s="151"/>
      <c r="AD29" s="7"/>
      <c r="AE29" s="156"/>
      <c r="AF29" s="151"/>
      <c r="AG29" s="7"/>
      <c r="AH29" s="156"/>
      <c r="AI29" s="7"/>
      <c r="AJ29" s="7"/>
      <c r="AK29" s="7"/>
      <c r="AL29" s="7"/>
      <c r="AM29" s="7"/>
      <c r="AN29" s="7"/>
      <c r="AO29" s="7"/>
      <c r="AP29" s="7"/>
      <c r="AQ29" s="7"/>
    </row>
    <row r="30" spans="1:52" ht="14.95" customHeight="1" thickBot="1" x14ac:dyDescent="0.3">
      <c r="A30" s="124" t="s">
        <v>907</v>
      </c>
      <c r="B30" s="78">
        <v>0</v>
      </c>
      <c r="C30" s="285">
        <v>0</v>
      </c>
      <c r="D30" s="261">
        <v>1</v>
      </c>
      <c r="E30" s="132">
        <f t="shared" si="0"/>
        <v>1</v>
      </c>
      <c r="F30" s="126" t="s">
        <v>907</v>
      </c>
      <c r="G30" s="138">
        <v>0</v>
      </c>
      <c r="H30" s="310">
        <v>0</v>
      </c>
      <c r="I30" s="228">
        <v>5</v>
      </c>
      <c r="J30" s="129">
        <f t="shared" si="1"/>
        <v>5</v>
      </c>
      <c r="K30" s="134" t="s">
        <v>765</v>
      </c>
      <c r="L30" s="242" t="s">
        <v>21</v>
      </c>
      <c r="M30" s="243" t="s">
        <v>21</v>
      </c>
      <c r="N30" s="262" t="s">
        <v>21</v>
      </c>
      <c r="O30" s="7">
        <v>8</v>
      </c>
      <c r="P30" s="7">
        <v>8</v>
      </c>
      <c r="Q30" s="156">
        <v>100</v>
      </c>
      <c r="R30" s="7" t="s">
        <v>21</v>
      </c>
      <c r="S30" s="7" t="s">
        <v>21</v>
      </c>
      <c r="T30" s="156" t="s">
        <v>21</v>
      </c>
      <c r="U30" s="7" t="s">
        <v>21</v>
      </c>
      <c r="V30" s="7" t="s">
        <v>21</v>
      </c>
      <c r="W30" s="156" t="s">
        <v>21</v>
      </c>
      <c r="AC30" s="6" t="s">
        <v>21</v>
      </c>
      <c r="AD30" s="7" t="s">
        <v>21</v>
      </c>
      <c r="AE30" s="156" t="s">
        <v>21</v>
      </c>
      <c r="AF30" s="6" t="s">
        <v>21</v>
      </c>
      <c r="AG30" s="7" t="s">
        <v>21</v>
      </c>
      <c r="AH30" s="156" t="s">
        <v>21</v>
      </c>
      <c r="AI30" s="7" t="s">
        <v>21</v>
      </c>
      <c r="AJ30" s="7" t="s">
        <v>21</v>
      </c>
      <c r="AK30" s="156" t="s">
        <v>21</v>
      </c>
      <c r="AL30" s="7" t="s">
        <v>21</v>
      </c>
      <c r="AM30" s="7" t="s">
        <v>21</v>
      </c>
      <c r="AN30" s="156" t="s">
        <v>21</v>
      </c>
      <c r="AO30" s="7" t="s">
        <v>21</v>
      </c>
      <c r="AP30" s="7" t="s">
        <v>21</v>
      </c>
      <c r="AQ30" s="156" t="s">
        <v>21</v>
      </c>
    </row>
    <row r="31" spans="1:52" ht="14.95" customHeight="1" thickBot="1" x14ac:dyDescent="0.3">
      <c r="A31" s="124" t="s">
        <v>1043</v>
      </c>
      <c r="B31" s="78">
        <v>1</v>
      </c>
      <c r="C31" s="285">
        <v>0</v>
      </c>
      <c r="D31" s="261">
        <v>0</v>
      </c>
      <c r="E31" s="132">
        <f t="shared" si="0"/>
        <v>1</v>
      </c>
      <c r="F31" s="126" t="s">
        <v>1043</v>
      </c>
      <c r="G31" s="138">
        <v>5</v>
      </c>
      <c r="H31" s="310">
        <v>0</v>
      </c>
      <c r="I31" s="228">
        <v>0</v>
      </c>
      <c r="J31" s="129">
        <f t="shared" si="1"/>
        <v>5</v>
      </c>
      <c r="K31" s="134" t="s">
        <v>51</v>
      </c>
      <c r="L31" s="242" t="s">
        <v>21</v>
      </c>
      <c r="M31" s="243" t="s">
        <v>21</v>
      </c>
      <c r="N31" s="262" t="s">
        <v>21</v>
      </c>
      <c r="O31" s="6" t="s">
        <v>21</v>
      </c>
      <c r="P31" s="155" t="s">
        <v>21</v>
      </c>
      <c r="Q31" s="154" t="s">
        <v>21</v>
      </c>
      <c r="R31" s="6" t="s">
        <v>21</v>
      </c>
      <c r="S31" s="155" t="s">
        <v>21</v>
      </c>
      <c r="T31" s="154" t="s">
        <v>21</v>
      </c>
      <c r="U31" s="7">
        <v>1</v>
      </c>
      <c r="V31" s="7">
        <v>1</v>
      </c>
      <c r="W31" s="156">
        <f>(U31/V31)*100</f>
        <v>100</v>
      </c>
      <c r="AC31" s="151"/>
      <c r="AD31" s="7"/>
      <c r="AE31" s="156"/>
      <c r="AF31" s="151"/>
      <c r="AG31" s="7"/>
      <c r="AH31" s="156"/>
      <c r="AI31" s="151"/>
      <c r="AJ31" s="7"/>
      <c r="AK31" s="7"/>
      <c r="AL31" s="151"/>
      <c r="AM31" s="7"/>
      <c r="AN31" s="7"/>
      <c r="AO31" s="151" t="s">
        <v>21</v>
      </c>
      <c r="AP31" s="7" t="s">
        <v>21</v>
      </c>
      <c r="AQ31" s="7" t="s">
        <v>21</v>
      </c>
    </row>
    <row r="32" spans="1:52" ht="14.95" customHeight="1" thickBot="1" x14ac:dyDescent="0.3">
      <c r="A32" s="124" t="s">
        <v>654</v>
      </c>
      <c r="B32" s="78">
        <v>2</v>
      </c>
      <c r="C32" s="285">
        <v>3</v>
      </c>
      <c r="D32" s="261">
        <v>2</v>
      </c>
      <c r="E32" s="132">
        <f t="shared" si="0"/>
        <v>7</v>
      </c>
      <c r="F32" s="126" t="s">
        <v>654</v>
      </c>
      <c r="G32" s="138">
        <v>10</v>
      </c>
      <c r="H32" s="310">
        <v>15</v>
      </c>
      <c r="I32" s="228">
        <v>10</v>
      </c>
      <c r="J32" s="129">
        <f t="shared" si="1"/>
        <v>35</v>
      </c>
      <c r="K32" s="134" t="s">
        <v>100</v>
      </c>
      <c r="L32" s="132">
        <v>4</v>
      </c>
      <c r="M32" s="132">
        <v>4</v>
      </c>
      <c r="N32" s="133">
        <v>100</v>
      </c>
      <c r="O32" s="7" t="s">
        <v>21</v>
      </c>
      <c r="P32" s="7" t="s">
        <v>21</v>
      </c>
      <c r="Q32" s="156" t="s">
        <v>21</v>
      </c>
      <c r="R32" s="7" t="s">
        <v>21</v>
      </c>
      <c r="S32" s="7" t="s">
        <v>21</v>
      </c>
      <c r="T32" s="156" t="s">
        <v>21</v>
      </c>
      <c r="U32" s="7" t="s">
        <v>21</v>
      </c>
      <c r="V32" s="7" t="s">
        <v>21</v>
      </c>
      <c r="W32" s="156" t="s">
        <v>21</v>
      </c>
      <c r="AC32" s="151">
        <v>1</v>
      </c>
      <c r="AD32" s="7">
        <v>1</v>
      </c>
      <c r="AE32" s="156">
        <f t="shared" ref="AE32" si="18">SUM(AC32/AD32)*100</f>
        <v>100</v>
      </c>
      <c r="AF32" s="151" t="s">
        <v>21</v>
      </c>
      <c r="AG32" s="7" t="s">
        <v>21</v>
      </c>
      <c r="AH32" s="7" t="s">
        <v>21</v>
      </c>
      <c r="AI32" s="151" t="s">
        <v>21</v>
      </c>
      <c r="AJ32" s="7" t="s">
        <v>21</v>
      </c>
      <c r="AK32" s="7" t="s">
        <v>21</v>
      </c>
      <c r="AL32" s="151" t="s">
        <v>21</v>
      </c>
      <c r="AM32" s="7" t="s">
        <v>21</v>
      </c>
      <c r="AN32" s="7" t="s">
        <v>21</v>
      </c>
      <c r="AO32" s="151" t="s">
        <v>21</v>
      </c>
      <c r="AP32" s="7" t="s">
        <v>21</v>
      </c>
      <c r="AQ32" s="7" t="s">
        <v>21</v>
      </c>
    </row>
    <row r="33" spans="1:49" ht="14.95" customHeight="1" thickBot="1" x14ac:dyDescent="0.3">
      <c r="A33" s="124" t="s">
        <v>5</v>
      </c>
      <c r="B33" s="78">
        <v>3</v>
      </c>
      <c r="C33" s="285">
        <v>0</v>
      </c>
      <c r="D33" s="261">
        <v>0</v>
      </c>
      <c r="E33" s="132">
        <f t="shared" si="0"/>
        <v>3</v>
      </c>
      <c r="F33" s="126" t="s">
        <v>5</v>
      </c>
      <c r="G33" s="138">
        <v>21</v>
      </c>
      <c r="H33" s="310">
        <v>0</v>
      </c>
      <c r="I33" s="228">
        <v>0</v>
      </c>
      <c r="J33" s="129">
        <f t="shared" si="1"/>
        <v>21</v>
      </c>
      <c r="K33" s="332" t="s">
        <v>841</v>
      </c>
      <c r="L33" s="132">
        <v>13</v>
      </c>
      <c r="M33" s="132">
        <v>18</v>
      </c>
      <c r="N33" s="133">
        <f>(L33/M33)*100</f>
        <v>72.222222222222214</v>
      </c>
      <c r="O33" s="7" t="s">
        <v>21</v>
      </c>
      <c r="P33" s="7" t="s">
        <v>21</v>
      </c>
      <c r="Q33" s="156" t="s">
        <v>21</v>
      </c>
      <c r="R33" s="7">
        <v>2</v>
      </c>
      <c r="S33" s="7">
        <v>4</v>
      </c>
      <c r="T33" s="156">
        <v>50</v>
      </c>
      <c r="U33" s="7" t="s">
        <v>21</v>
      </c>
      <c r="V33" s="7" t="s">
        <v>21</v>
      </c>
      <c r="W33" s="7" t="s">
        <v>21</v>
      </c>
      <c r="AC33" s="151" t="s">
        <v>21</v>
      </c>
      <c r="AD33" s="7" t="s">
        <v>21</v>
      </c>
      <c r="AE33" s="7" t="s">
        <v>21</v>
      </c>
      <c r="AF33" s="6" t="s">
        <v>21</v>
      </c>
      <c r="AG33" s="155" t="s">
        <v>21</v>
      </c>
      <c r="AH33" s="155" t="s">
        <v>21</v>
      </c>
      <c r="AI33" s="151" t="s">
        <v>21</v>
      </c>
      <c r="AJ33" s="7" t="s">
        <v>21</v>
      </c>
      <c r="AK33" s="7" t="s">
        <v>21</v>
      </c>
      <c r="AL33" s="151" t="s">
        <v>21</v>
      </c>
      <c r="AM33" s="7" t="s">
        <v>21</v>
      </c>
      <c r="AN33" s="7" t="s">
        <v>21</v>
      </c>
      <c r="AO33" s="151" t="s">
        <v>21</v>
      </c>
      <c r="AP33" s="7" t="s">
        <v>21</v>
      </c>
      <c r="AQ33" s="6" t="s">
        <v>21</v>
      </c>
      <c r="AR33" s="87"/>
      <c r="AS33" s="87"/>
      <c r="AT33" s="87"/>
      <c r="AU33" s="87"/>
      <c r="AV33" s="87"/>
      <c r="AW33" s="87"/>
    </row>
    <row r="34" spans="1:49" ht="14.95" customHeight="1" thickBot="1" x14ac:dyDescent="0.3">
      <c r="A34" s="124" t="s">
        <v>764</v>
      </c>
      <c r="B34" s="78">
        <v>0</v>
      </c>
      <c r="C34" s="285">
        <v>0</v>
      </c>
      <c r="D34" s="261">
        <v>2</v>
      </c>
      <c r="E34" s="132">
        <f t="shared" si="0"/>
        <v>2</v>
      </c>
      <c r="F34" s="126" t="s">
        <v>764</v>
      </c>
      <c r="G34" s="138">
        <v>0</v>
      </c>
      <c r="H34" s="310">
        <v>0</v>
      </c>
      <c r="I34" s="228">
        <v>10</v>
      </c>
      <c r="J34" s="129">
        <f t="shared" si="1"/>
        <v>10</v>
      </c>
      <c r="K34" s="514" t="s">
        <v>1004</v>
      </c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</row>
    <row r="35" spans="1:49" ht="14.95" customHeight="1" thickBot="1" x14ac:dyDescent="0.3">
      <c r="A35" s="124" t="s">
        <v>748</v>
      </c>
      <c r="B35" s="78">
        <v>5</v>
      </c>
      <c r="C35" s="285">
        <v>3</v>
      </c>
      <c r="D35" s="261">
        <v>2</v>
      </c>
      <c r="E35" s="132">
        <f t="shared" si="0"/>
        <v>10</v>
      </c>
      <c r="F35" s="126" t="s">
        <v>748</v>
      </c>
      <c r="G35" s="138">
        <v>25</v>
      </c>
      <c r="H35" s="310">
        <v>15</v>
      </c>
      <c r="I35" s="228">
        <v>10</v>
      </c>
      <c r="J35" s="129">
        <f t="shared" si="1"/>
        <v>50</v>
      </c>
      <c r="K35" s="459" t="s">
        <v>1025</v>
      </c>
      <c r="L35" s="513"/>
      <c r="M35" s="513"/>
      <c r="N35" s="513"/>
      <c r="O35" s="513"/>
      <c r="P35" s="513"/>
      <c r="Q35" s="513"/>
      <c r="R35" s="513"/>
      <c r="S35" s="513"/>
      <c r="T35" s="513"/>
      <c r="U35" s="513"/>
      <c r="V35" s="513"/>
      <c r="W35" s="513"/>
      <c r="X35" s="513"/>
      <c r="Y35" s="513"/>
    </row>
    <row r="36" spans="1:49" ht="14.95" customHeight="1" thickBot="1" x14ac:dyDescent="0.3">
      <c r="A36" s="124" t="s">
        <v>1001</v>
      </c>
      <c r="B36" s="78">
        <v>0</v>
      </c>
      <c r="C36" s="285">
        <v>0</v>
      </c>
      <c r="D36" s="261">
        <v>0</v>
      </c>
      <c r="E36" s="132">
        <f t="shared" si="0"/>
        <v>0</v>
      </c>
      <c r="F36" s="126" t="s">
        <v>1001</v>
      </c>
      <c r="G36" s="138">
        <v>8</v>
      </c>
      <c r="H36" s="310">
        <v>0</v>
      </c>
      <c r="I36" s="228">
        <v>0</v>
      </c>
      <c r="J36" s="129">
        <f t="shared" si="1"/>
        <v>8</v>
      </c>
      <c r="K36" s="444"/>
      <c r="L36" s="445"/>
      <c r="M36" s="445"/>
      <c r="N36" s="445"/>
      <c r="O36" s="445"/>
      <c r="P36" s="445"/>
      <c r="Q36" s="445"/>
      <c r="R36" s="445"/>
    </row>
    <row r="37" spans="1:49" ht="14.95" customHeight="1" thickBot="1" x14ac:dyDescent="0.3">
      <c r="A37" s="124" t="s">
        <v>782</v>
      </c>
      <c r="B37" s="78">
        <v>0</v>
      </c>
      <c r="C37" s="285">
        <v>0</v>
      </c>
      <c r="D37" s="261">
        <v>0</v>
      </c>
      <c r="E37" s="132">
        <f t="shared" si="0"/>
        <v>0</v>
      </c>
      <c r="F37" s="126" t="s">
        <v>782</v>
      </c>
      <c r="G37" s="138">
        <v>0</v>
      </c>
      <c r="H37" s="310">
        <v>0</v>
      </c>
      <c r="I37" s="228">
        <v>0</v>
      </c>
      <c r="J37" s="129">
        <f t="shared" si="1"/>
        <v>0</v>
      </c>
    </row>
    <row r="38" spans="1:49" ht="14.95" customHeight="1" thickBot="1" x14ac:dyDescent="0.3">
      <c r="A38" s="124" t="s">
        <v>114</v>
      </c>
      <c r="B38" s="78">
        <v>3</v>
      </c>
      <c r="C38" s="285">
        <v>2</v>
      </c>
      <c r="D38" s="261">
        <v>4</v>
      </c>
      <c r="E38" s="132">
        <f t="shared" si="0"/>
        <v>9</v>
      </c>
      <c r="F38" s="126" t="s">
        <v>114</v>
      </c>
      <c r="G38" s="138">
        <v>15</v>
      </c>
      <c r="H38" s="310">
        <v>10</v>
      </c>
      <c r="I38" s="228">
        <v>20</v>
      </c>
      <c r="J38" s="129">
        <f t="shared" si="1"/>
        <v>45</v>
      </c>
    </row>
    <row r="39" spans="1:49" ht="14.95" customHeight="1" thickBot="1" x14ac:dyDescent="0.3">
      <c r="A39" s="124" t="s">
        <v>952</v>
      </c>
      <c r="B39" s="78">
        <v>15</v>
      </c>
      <c r="C39" s="285">
        <v>1</v>
      </c>
      <c r="D39" s="261">
        <v>0</v>
      </c>
      <c r="E39" s="132">
        <f t="shared" si="0"/>
        <v>16</v>
      </c>
      <c r="F39" s="126" t="s">
        <v>952</v>
      </c>
      <c r="G39" s="138">
        <v>75</v>
      </c>
      <c r="H39" s="310">
        <v>5</v>
      </c>
      <c r="I39" s="228">
        <v>0</v>
      </c>
      <c r="J39" s="129">
        <f t="shared" si="1"/>
        <v>80</v>
      </c>
    </row>
    <row r="40" spans="1:49" ht="14.95" customHeight="1" thickBot="1" x14ac:dyDescent="0.3">
      <c r="A40" s="124" t="s">
        <v>481</v>
      </c>
      <c r="B40" s="78">
        <v>0</v>
      </c>
      <c r="C40" s="285">
        <v>0</v>
      </c>
      <c r="D40" s="261">
        <v>1</v>
      </c>
      <c r="E40" s="132">
        <f t="shared" si="0"/>
        <v>1</v>
      </c>
      <c r="F40" s="126" t="s">
        <v>481</v>
      </c>
      <c r="G40" s="138">
        <v>157</v>
      </c>
      <c r="H40" s="310">
        <v>72</v>
      </c>
      <c r="I40" s="228">
        <v>31</v>
      </c>
      <c r="J40" s="129">
        <f t="shared" si="1"/>
        <v>260</v>
      </c>
    </row>
    <row r="41" spans="1:49" ht="14.95" customHeight="1" thickBot="1" x14ac:dyDescent="0.3">
      <c r="A41" s="124" t="s">
        <v>674</v>
      </c>
      <c r="B41" s="78">
        <v>1</v>
      </c>
      <c r="C41" s="285">
        <v>0</v>
      </c>
      <c r="D41" s="261">
        <v>0</v>
      </c>
      <c r="E41" s="132">
        <f t="shared" si="0"/>
        <v>1</v>
      </c>
      <c r="F41" s="126" t="s">
        <v>674</v>
      </c>
      <c r="G41" s="138">
        <v>5</v>
      </c>
      <c r="H41" s="310">
        <v>0</v>
      </c>
      <c r="I41" s="228">
        <v>0</v>
      </c>
      <c r="J41" s="129">
        <f t="shared" si="1"/>
        <v>5</v>
      </c>
    </row>
    <row r="42" spans="1:49" ht="14.95" customHeight="1" thickBot="1" x14ac:dyDescent="0.3">
      <c r="A42" s="124" t="s">
        <v>779</v>
      </c>
      <c r="B42" s="78">
        <v>0</v>
      </c>
      <c r="C42" s="285">
        <v>0</v>
      </c>
      <c r="D42" s="261">
        <v>0</v>
      </c>
      <c r="E42" s="132">
        <f t="shared" si="0"/>
        <v>0</v>
      </c>
      <c r="F42" s="126" t="s">
        <v>779</v>
      </c>
      <c r="G42" s="138">
        <v>0</v>
      </c>
      <c r="H42" s="310">
        <v>0</v>
      </c>
      <c r="I42" s="228">
        <v>0</v>
      </c>
      <c r="J42" s="129">
        <f t="shared" si="1"/>
        <v>0</v>
      </c>
    </row>
    <row r="43" spans="1:49" ht="14.95" customHeight="1" thickBot="1" x14ac:dyDescent="0.3">
      <c r="A43" s="124" t="s">
        <v>908</v>
      </c>
      <c r="B43" s="78">
        <v>0</v>
      </c>
      <c r="C43" s="285">
        <v>0</v>
      </c>
      <c r="D43" s="261">
        <v>3</v>
      </c>
      <c r="E43" s="132">
        <f t="shared" si="0"/>
        <v>3</v>
      </c>
      <c r="F43" s="126" t="s">
        <v>908</v>
      </c>
      <c r="G43" s="138">
        <v>0</v>
      </c>
      <c r="H43" s="310">
        <v>0</v>
      </c>
      <c r="I43" s="228">
        <v>15</v>
      </c>
      <c r="J43" s="129">
        <f t="shared" si="1"/>
        <v>15</v>
      </c>
    </row>
    <row r="44" spans="1:49" ht="14.95" customHeight="1" thickBot="1" x14ac:dyDescent="0.3">
      <c r="A44" s="124" t="s">
        <v>813</v>
      </c>
      <c r="B44" s="78">
        <v>1</v>
      </c>
      <c r="C44" s="285">
        <v>2</v>
      </c>
      <c r="D44" s="261">
        <v>1</v>
      </c>
      <c r="E44" s="132">
        <f t="shared" si="0"/>
        <v>4</v>
      </c>
      <c r="F44" s="126" t="s">
        <v>813</v>
      </c>
      <c r="G44" s="138">
        <v>5</v>
      </c>
      <c r="H44" s="310">
        <v>10</v>
      </c>
      <c r="I44" s="228">
        <v>5</v>
      </c>
      <c r="J44" s="129">
        <f t="shared" si="1"/>
        <v>20</v>
      </c>
    </row>
    <row r="45" spans="1:49" ht="14.95" thickBot="1" x14ac:dyDescent="0.3">
      <c r="A45" s="124" t="s">
        <v>953</v>
      </c>
      <c r="B45" s="78">
        <v>0</v>
      </c>
      <c r="C45" s="285">
        <v>0</v>
      </c>
      <c r="D45" s="261">
        <v>0</v>
      </c>
      <c r="E45" s="132">
        <f t="shared" si="0"/>
        <v>0</v>
      </c>
      <c r="F45" s="126" t="s">
        <v>953</v>
      </c>
      <c r="G45" s="138">
        <v>0</v>
      </c>
      <c r="H45" s="310">
        <v>0</v>
      </c>
      <c r="I45" s="228">
        <v>0</v>
      </c>
      <c r="J45" s="129">
        <f t="shared" si="1"/>
        <v>0</v>
      </c>
    </row>
    <row r="46" spans="1:49" ht="14.95" thickBot="1" x14ac:dyDescent="0.3">
      <c r="A46" s="124" t="s">
        <v>3</v>
      </c>
      <c r="B46" s="78">
        <f>SUM(B3:B45)</f>
        <v>80</v>
      </c>
      <c r="C46" s="285">
        <f>SUM(C3:C45)</f>
        <v>33</v>
      </c>
      <c r="D46" s="261">
        <f>SUM(D3:D45)</f>
        <v>36</v>
      </c>
      <c r="E46" s="132">
        <f>SUM(E3:E45)</f>
        <v>149</v>
      </c>
      <c r="F46" s="126" t="s">
        <v>3</v>
      </c>
      <c r="G46" s="138">
        <f>SUM(G3:G45)</f>
        <v>602</v>
      </c>
      <c r="H46" s="310">
        <f>SUM(H3:H45)</f>
        <v>237</v>
      </c>
      <c r="I46" s="228">
        <f>SUM(I3:I45)</f>
        <v>240</v>
      </c>
      <c r="J46" s="129">
        <f>SUM(J3:J45)</f>
        <v>1079</v>
      </c>
    </row>
    <row r="47" spans="1:49" x14ac:dyDescent="0.25">
      <c r="A47" s="444"/>
      <c r="B47" s="445"/>
      <c r="C47" s="445"/>
      <c r="D47" s="445"/>
      <c r="E47" s="445"/>
      <c r="F47" s="445"/>
      <c r="G47" s="445"/>
      <c r="H47" s="445"/>
      <c r="I47" s="335"/>
      <c r="J47" s="336"/>
    </row>
    <row r="48" spans="1:49" ht="14.95" thickBot="1" x14ac:dyDescent="0.3">
      <c r="A48" s="71" t="s">
        <v>18</v>
      </c>
      <c r="B48" s="135"/>
      <c r="E48" s="149"/>
      <c r="G48" s="135"/>
    </row>
    <row r="49" spans="1:10" ht="14.95" thickBot="1" x14ac:dyDescent="0.3">
      <c r="A49" s="123" t="s">
        <v>0</v>
      </c>
      <c r="B49" s="116" t="s">
        <v>355</v>
      </c>
      <c r="C49" s="284" t="s">
        <v>42</v>
      </c>
      <c r="D49" s="260" t="s">
        <v>564</v>
      </c>
      <c r="E49" s="131" t="s">
        <v>1</v>
      </c>
      <c r="F49" s="125" t="s">
        <v>2</v>
      </c>
      <c r="G49" s="140" t="s">
        <v>355</v>
      </c>
      <c r="H49" s="309" t="s">
        <v>42</v>
      </c>
      <c r="I49" s="227" t="s">
        <v>564</v>
      </c>
      <c r="J49" s="128" t="s">
        <v>1</v>
      </c>
    </row>
    <row r="50" spans="1:10" ht="14.95" thickBot="1" x14ac:dyDescent="0.3">
      <c r="A50" s="124" t="s">
        <v>952</v>
      </c>
      <c r="B50" s="78">
        <v>15</v>
      </c>
      <c r="C50" s="285">
        <v>1</v>
      </c>
      <c r="D50" s="261">
        <v>0</v>
      </c>
      <c r="E50" s="132">
        <f t="shared" ref="E50:E92" si="19">SUM(B50:D50)</f>
        <v>16</v>
      </c>
      <c r="F50" s="126" t="s">
        <v>481</v>
      </c>
      <c r="G50" s="138">
        <v>157</v>
      </c>
      <c r="H50" s="310">
        <v>72</v>
      </c>
      <c r="I50" s="228">
        <v>31</v>
      </c>
      <c r="J50" s="129">
        <f t="shared" ref="J50:J92" si="20">SUM(G50:I50)</f>
        <v>260</v>
      </c>
    </row>
    <row r="51" spans="1:10" ht="14.95" thickBot="1" x14ac:dyDescent="0.3">
      <c r="A51" s="124" t="s">
        <v>470</v>
      </c>
      <c r="B51" s="78">
        <v>5</v>
      </c>
      <c r="C51" s="285">
        <v>4</v>
      </c>
      <c r="D51" s="261">
        <v>5</v>
      </c>
      <c r="E51" s="132">
        <f t="shared" si="19"/>
        <v>14</v>
      </c>
      <c r="F51" s="126" t="s">
        <v>952</v>
      </c>
      <c r="G51" s="138">
        <v>75</v>
      </c>
      <c r="H51" s="310">
        <v>5</v>
      </c>
      <c r="I51" s="228">
        <v>0</v>
      </c>
      <c r="J51" s="129">
        <f t="shared" si="20"/>
        <v>80</v>
      </c>
    </row>
    <row r="52" spans="1:10" ht="14.95" thickBot="1" x14ac:dyDescent="0.3">
      <c r="A52" s="124" t="s">
        <v>102</v>
      </c>
      <c r="B52" s="78">
        <v>7</v>
      </c>
      <c r="C52" s="285">
        <v>3</v>
      </c>
      <c r="D52" s="261">
        <v>0</v>
      </c>
      <c r="E52" s="132">
        <f t="shared" si="19"/>
        <v>10</v>
      </c>
      <c r="F52" s="127" t="s">
        <v>100</v>
      </c>
      <c r="G52" s="138">
        <v>51</v>
      </c>
      <c r="H52" s="310">
        <v>10</v>
      </c>
      <c r="I52" s="228">
        <v>13</v>
      </c>
      <c r="J52" s="129">
        <f t="shared" si="20"/>
        <v>74</v>
      </c>
    </row>
    <row r="53" spans="1:10" ht="14.95" thickBot="1" x14ac:dyDescent="0.3">
      <c r="A53" s="124" t="s">
        <v>748</v>
      </c>
      <c r="B53" s="78">
        <v>5</v>
      </c>
      <c r="C53" s="285">
        <v>3</v>
      </c>
      <c r="D53" s="261">
        <v>2</v>
      </c>
      <c r="E53" s="132">
        <f t="shared" si="19"/>
        <v>10</v>
      </c>
      <c r="F53" s="127" t="s">
        <v>470</v>
      </c>
      <c r="G53" s="138">
        <v>25</v>
      </c>
      <c r="H53" s="310">
        <v>20</v>
      </c>
      <c r="I53" s="228">
        <v>25</v>
      </c>
      <c r="J53" s="129">
        <f t="shared" si="20"/>
        <v>70</v>
      </c>
    </row>
    <row r="54" spans="1:10" ht="14.95" thickBot="1" x14ac:dyDescent="0.3">
      <c r="A54" s="124" t="s">
        <v>905</v>
      </c>
      <c r="B54" s="78">
        <v>7</v>
      </c>
      <c r="C54" s="285">
        <v>1</v>
      </c>
      <c r="D54" s="261">
        <v>1</v>
      </c>
      <c r="E54" s="132">
        <f t="shared" si="19"/>
        <v>9</v>
      </c>
      <c r="F54" s="127" t="s">
        <v>102</v>
      </c>
      <c r="G54" s="138">
        <v>35</v>
      </c>
      <c r="H54" s="310">
        <v>15</v>
      </c>
      <c r="I54" s="228">
        <v>0</v>
      </c>
      <c r="J54" s="129">
        <f t="shared" si="20"/>
        <v>50</v>
      </c>
    </row>
    <row r="55" spans="1:10" ht="14.95" thickBot="1" x14ac:dyDescent="0.3">
      <c r="A55" s="124" t="s">
        <v>114</v>
      </c>
      <c r="B55" s="78">
        <v>3</v>
      </c>
      <c r="C55" s="285">
        <v>2</v>
      </c>
      <c r="D55" s="261">
        <v>4</v>
      </c>
      <c r="E55" s="132">
        <f t="shared" si="19"/>
        <v>9</v>
      </c>
      <c r="F55" s="127" t="s">
        <v>748</v>
      </c>
      <c r="G55" s="138">
        <v>25</v>
      </c>
      <c r="H55" s="310">
        <v>15</v>
      </c>
      <c r="I55" s="228">
        <v>10</v>
      </c>
      <c r="J55" s="129">
        <f t="shared" si="20"/>
        <v>50</v>
      </c>
    </row>
    <row r="56" spans="1:10" ht="14.95" thickBot="1" x14ac:dyDescent="0.3">
      <c r="A56" s="124" t="s">
        <v>622</v>
      </c>
      <c r="B56" s="78">
        <v>2</v>
      </c>
      <c r="C56" s="285">
        <v>3</v>
      </c>
      <c r="D56" s="261">
        <v>3</v>
      </c>
      <c r="E56" s="132">
        <f t="shared" si="19"/>
        <v>8</v>
      </c>
      <c r="F56" s="126" t="s">
        <v>905</v>
      </c>
      <c r="G56" s="138">
        <v>35</v>
      </c>
      <c r="H56" s="310">
        <v>5</v>
      </c>
      <c r="I56" s="228">
        <v>5</v>
      </c>
      <c r="J56" s="129">
        <f t="shared" si="20"/>
        <v>45</v>
      </c>
    </row>
    <row r="57" spans="1:10" ht="14.95" thickBot="1" x14ac:dyDescent="0.3">
      <c r="A57" s="124" t="s">
        <v>100</v>
      </c>
      <c r="B57" s="78">
        <v>4</v>
      </c>
      <c r="C57" s="285">
        <v>2</v>
      </c>
      <c r="D57" s="261">
        <v>1</v>
      </c>
      <c r="E57" s="132">
        <f t="shared" si="19"/>
        <v>7</v>
      </c>
      <c r="F57" s="126" t="s">
        <v>114</v>
      </c>
      <c r="G57" s="138">
        <v>15</v>
      </c>
      <c r="H57" s="310">
        <v>10</v>
      </c>
      <c r="I57" s="228">
        <v>20</v>
      </c>
      <c r="J57" s="129">
        <f t="shared" si="20"/>
        <v>45</v>
      </c>
    </row>
    <row r="58" spans="1:10" ht="14.95" thickBot="1" x14ac:dyDescent="0.3">
      <c r="A58" s="124" t="s">
        <v>654</v>
      </c>
      <c r="B58" s="78">
        <v>2</v>
      </c>
      <c r="C58" s="285">
        <v>3</v>
      </c>
      <c r="D58" s="261">
        <v>2</v>
      </c>
      <c r="E58" s="132">
        <f t="shared" si="19"/>
        <v>7</v>
      </c>
      <c r="F58" s="126" t="s">
        <v>622</v>
      </c>
      <c r="G58" s="138">
        <v>10</v>
      </c>
      <c r="H58" s="310">
        <v>15</v>
      </c>
      <c r="I58" s="228">
        <v>15</v>
      </c>
      <c r="J58" s="129">
        <f t="shared" si="20"/>
        <v>40</v>
      </c>
    </row>
    <row r="59" spans="1:10" ht="14.95" thickBot="1" x14ac:dyDescent="0.3">
      <c r="A59" s="124" t="s">
        <v>265</v>
      </c>
      <c r="B59" s="78">
        <v>4</v>
      </c>
      <c r="C59" s="285">
        <v>1</v>
      </c>
      <c r="D59" s="261">
        <v>0</v>
      </c>
      <c r="E59" s="132">
        <f t="shared" si="19"/>
        <v>5</v>
      </c>
      <c r="F59" s="126" t="s">
        <v>654</v>
      </c>
      <c r="G59" s="138">
        <v>10</v>
      </c>
      <c r="H59" s="310">
        <v>15</v>
      </c>
      <c r="I59" s="228">
        <v>10</v>
      </c>
      <c r="J59" s="129">
        <f t="shared" si="20"/>
        <v>35</v>
      </c>
    </row>
    <row r="60" spans="1:10" ht="14.95" thickBot="1" x14ac:dyDescent="0.3">
      <c r="A60" s="124" t="s">
        <v>55</v>
      </c>
      <c r="B60" s="78">
        <v>2</v>
      </c>
      <c r="C60" s="285">
        <v>3</v>
      </c>
      <c r="D60" s="261">
        <v>0</v>
      </c>
      <c r="E60" s="132">
        <f t="shared" si="19"/>
        <v>5</v>
      </c>
      <c r="F60" s="126" t="s">
        <v>265</v>
      </c>
      <c r="G60" s="138">
        <v>20</v>
      </c>
      <c r="H60" s="310">
        <v>5</v>
      </c>
      <c r="I60" s="228">
        <v>0</v>
      </c>
      <c r="J60" s="129">
        <f t="shared" si="20"/>
        <v>25</v>
      </c>
    </row>
    <row r="61" spans="1:10" ht="14.95" thickBot="1" x14ac:dyDescent="0.3">
      <c r="A61" s="124" t="s">
        <v>441</v>
      </c>
      <c r="B61" s="78">
        <v>3</v>
      </c>
      <c r="C61" s="285">
        <v>1</v>
      </c>
      <c r="D61" s="261">
        <v>0</v>
      </c>
      <c r="E61" s="132">
        <f t="shared" si="19"/>
        <v>4</v>
      </c>
      <c r="F61" s="126" t="s">
        <v>55</v>
      </c>
      <c r="G61" s="138">
        <v>10</v>
      </c>
      <c r="H61" s="310">
        <v>15</v>
      </c>
      <c r="I61" s="228">
        <v>0</v>
      </c>
      <c r="J61" s="129">
        <f t="shared" si="20"/>
        <v>25</v>
      </c>
    </row>
    <row r="62" spans="1:10" ht="14.95" thickBot="1" x14ac:dyDescent="0.3">
      <c r="A62" s="124" t="s">
        <v>454</v>
      </c>
      <c r="B62" s="78">
        <v>4</v>
      </c>
      <c r="C62" s="285">
        <v>0</v>
      </c>
      <c r="D62" s="261">
        <v>0</v>
      </c>
      <c r="E62" s="132">
        <f t="shared" si="19"/>
        <v>4</v>
      </c>
      <c r="F62" s="126" t="s">
        <v>187</v>
      </c>
      <c r="G62" s="138">
        <v>0</v>
      </c>
      <c r="H62" s="310">
        <v>0</v>
      </c>
      <c r="I62" s="228">
        <v>22</v>
      </c>
      <c r="J62" s="130">
        <f t="shared" si="20"/>
        <v>22</v>
      </c>
    </row>
    <row r="63" spans="1:10" ht="14.95" thickBot="1" x14ac:dyDescent="0.3">
      <c r="A63" s="124" t="s">
        <v>906</v>
      </c>
      <c r="B63" s="78">
        <v>0</v>
      </c>
      <c r="C63" s="285">
        <v>0</v>
      </c>
      <c r="D63" s="261">
        <v>4</v>
      </c>
      <c r="E63" s="132">
        <f t="shared" si="19"/>
        <v>4</v>
      </c>
      <c r="F63" s="126" t="s">
        <v>5</v>
      </c>
      <c r="G63" s="138">
        <v>21</v>
      </c>
      <c r="H63" s="310">
        <v>0</v>
      </c>
      <c r="I63" s="228">
        <v>0</v>
      </c>
      <c r="J63" s="130">
        <f t="shared" si="20"/>
        <v>21</v>
      </c>
    </row>
    <row r="64" spans="1:10" ht="14.95" thickBot="1" x14ac:dyDescent="0.3">
      <c r="A64" s="124" t="s">
        <v>813</v>
      </c>
      <c r="B64" s="78">
        <v>1</v>
      </c>
      <c r="C64" s="285">
        <v>2</v>
      </c>
      <c r="D64" s="261">
        <v>1</v>
      </c>
      <c r="E64" s="132">
        <f t="shared" si="19"/>
        <v>4</v>
      </c>
      <c r="F64" s="126" t="s">
        <v>441</v>
      </c>
      <c r="G64" s="138">
        <v>15</v>
      </c>
      <c r="H64" s="310">
        <v>5</v>
      </c>
      <c r="I64" s="228">
        <v>0</v>
      </c>
      <c r="J64" s="129">
        <f t="shared" si="20"/>
        <v>20</v>
      </c>
    </row>
    <row r="65" spans="1:10" ht="14.95" thickBot="1" x14ac:dyDescent="0.3">
      <c r="A65" s="124" t="s">
        <v>258</v>
      </c>
      <c r="B65" s="78">
        <v>2</v>
      </c>
      <c r="C65" s="285">
        <v>1</v>
      </c>
      <c r="D65" s="261">
        <v>0</v>
      </c>
      <c r="E65" s="132">
        <f t="shared" si="19"/>
        <v>3</v>
      </c>
      <c r="F65" s="126" t="s">
        <v>454</v>
      </c>
      <c r="G65" s="138">
        <v>20</v>
      </c>
      <c r="H65" s="310">
        <v>0</v>
      </c>
      <c r="I65" s="228">
        <v>0</v>
      </c>
      <c r="J65" s="129">
        <f t="shared" si="20"/>
        <v>20</v>
      </c>
    </row>
    <row r="66" spans="1:10" ht="14.95" thickBot="1" x14ac:dyDescent="0.3">
      <c r="A66" s="124" t="s">
        <v>904</v>
      </c>
      <c r="B66" s="78">
        <v>0</v>
      </c>
      <c r="C66" s="285">
        <v>0</v>
      </c>
      <c r="D66" s="261">
        <v>3</v>
      </c>
      <c r="E66" s="132">
        <f t="shared" si="19"/>
        <v>3</v>
      </c>
      <c r="F66" s="126" t="s">
        <v>906</v>
      </c>
      <c r="G66" s="138">
        <v>0</v>
      </c>
      <c r="H66" s="310">
        <v>0</v>
      </c>
      <c r="I66" s="228">
        <v>20</v>
      </c>
      <c r="J66" s="129">
        <f t="shared" si="20"/>
        <v>20</v>
      </c>
    </row>
    <row r="67" spans="1:10" ht="14.95" thickBot="1" x14ac:dyDescent="0.3">
      <c r="A67" s="124" t="s">
        <v>5</v>
      </c>
      <c r="B67" s="78">
        <v>3</v>
      </c>
      <c r="C67" s="285">
        <v>0</v>
      </c>
      <c r="D67" s="261">
        <v>0</v>
      </c>
      <c r="E67" s="132">
        <f t="shared" si="19"/>
        <v>3</v>
      </c>
      <c r="F67" s="126" t="s">
        <v>813</v>
      </c>
      <c r="G67" s="138">
        <v>5</v>
      </c>
      <c r="H67" s="310">
        <v>10</v>
      </c>
      <c r="I67" s="228">
        <v>5</v>
      </c>
      <c r="J67" s="129">
        <f t="shared" si="20"/>
        <v>20</v>
      </c>
    </row>
    <row r="68" spans="1:10" ht="14.95" thickBot="1" x14ac:dyDescent="0.3">
      <c r="A68" s="124" t="s">
        <v>908</v>
      </c>
      <c r="B68" s="78">
        <v>0</v>
      </c>
      <c r="C68" s="285">
        <v>0</v>
      </c>
      <c r="D68" s="261">
        <v>3</v>
      </c>
      <c r="E68" s="132">
        <f t="shared" si="19"/>
        <v>3</v>
      </c>
      <c r="F68" s="126" t="s">
        <v>258</v>
      </c>
      <c r="G68" s="138">
        <v>10</v>
      </c>
      <c r="H68" s="310">
        <v>5</v>
      </c>
      <c r="I68" s="228">
        <v>0</v>
      </c>
      <c r="J68" s="129">
        <f t="shared" si="20"/>
        <v>15</v>
      </c>
    </row>
    <row r="69" spans="1:10" ht="14.95" thickBot="1" x14ac:dyDescent="0.3">
      <c r="A69" s="124" t="s">
        <v>640</v>
      </c>
      <c r="B69" s="78">
        <v>1</v>
      </c>
      <c r="C69" s="285">
        <v>1</v>
      </c>
      <c r="D69" s="261">
        <v>0</v>
      </c>
      <c r="E69" s="132">
        <f t="shared" si="19"/>
        <v>2</v>
      </c>
      <c r="F69" s="126" t="s">
        <v>904</v>
      </c>
      <c r="G69" s="138">
        <v>0</v>
      </c>
      <c r="H69" s="310">
        <v>0</v>
      </c>
      <c r="I69" s="228">
        <v>15</v>
      </c>
      <c r="J69" s="129">
        <f t="shared" si="20"/>
        <v>15</v>
      </c>
    </row>
    <row r="70" spans="1:10" ht="14.95" thickBot="1" x14ac:dyDescent="0.3">
      <c r="A70" s="124" t="s">
        <v>430</v>
      </c>
      <c r="B70" s="78">
        <v>0</v>
      </c>
      <c r="C70" s="285">
        <v>1</v>
      </c>
      <c r="D70" s="261">
        <v>1</v>
      </c>
      <c r="E70" s="132">
        <f t="shared" si="19"/>
        <v>2</v>
      </c>
      <c r="F70" s="126" t="s">
        <v>908</v>
      </c>
      <c r="G70" s="138">
        <v>0</v>
      </c>
      <c r="H70" s="310">
        <v>0</v>
      </c>
      <c r="I70" s="228">
        <v>15</v>
      </c>
      <c r="J70" s="129">
        <f t="shared" si="20"/>
        <v>15</v>
      </c>
    </row>
    <row r="71" spans="1:10" ht="14.95" thickBot="1" x14ac:dyDescent="0.3">
      <c r="A71" s="124" t="s">
        <v>621</v>
      </c>
      <c r="B71" s="78">
        <v>2</v>
      </c>
      <c r="C71" s="285">
        <v>0</v>
      </c>
      <c r="D71" s="261">
        <v>0</v>
      </c>
      <c r="E71" s="132">
        <f t="shared" si="19"/>
        <v>2</v>
      </c>
      <c r="F71" s="126" t="s">
        <v>640</v>
      </c>
      <c r="G71" s="138">
        <v>5</v>
      </c>
      <c r="H71" s="310">
        <v>5</v>
      </c>
      <c r="I71" s="228">
        <v>0</v>
      </c>
      <c r="J71" s="129">
        <f t="shared" si="20"/>
        <v>10</v>
      </c>
    </row>
    <row r="72" spans="1:10" ht="14.95" thickBot="1" x14ac:dyDescent="0.3">
      <c r="A72" s="124" t="s">
        <v>764</v>
      </c>
      <c r="B72" s="78">
        <v>0</v>
      </c>
      <c r="C72" s="285">
        <v>0</v>
      </c>
      <c r="D72" s="261">
        <v>2</v>
      </c>
      <c r="E72" s="132">
        <f t="shared" si="19"/>
        <v>2</v>
      </c>
      <c r="F72" s="126" t="s">
        <v>430</v>
      </c>
      <c r="G72" s="138">
        <v>0</v>
      </c>
      <c r="H72" s="310">
        <v>5</v>
      </c>
      <c r="I72" s="228">
        <v>5</v>
      </c>
      <c r="J72" s="129">
        <f t="shared" si="20"/>
        <v>10</v>
      </c>
    </row>
    <row r="73" spans="1:10" ht="14.95" thickBot="1" x14ac:dyDescent="0.3">
      <c r="A73" s="124" t="s">
        <v>982</v>
      </c>
      <c r="B73" s="78">
        <v>1</v>
      </c>
      <c r="C73" s="285">
        <v>0</v>
      </c>
      <c r="D73" s="261">
        <v>0</v>
      </c>
      <c r="E73" s="132">
        <f t="shared" si="19"/>
        <v>1</v>
      </c>
      <c r="F73" s="126" t="s">
        <v>621</v>
      </c>
      <c r="G73" s="138">
        <v>10</v>
      </c>
      <c r="H73" s="310">
        <v>0</v>
      </c>
      <c r="I73" s="228">
        <v>0</v>
      </c>
      <c r="J73" s="129">
        <f t="shared" si="20"/>
        <v>10</v>
      </c>
    </row>
    <row r="74" spans="1:10" ht="14.95" thickBot="1" x14ac:dyDescent="0.3">
      <c r="A74" s="124" t="s">
        <v>903</v>
      </c>
      <c r="B74" s="78">
        <v>0</v>
      </c>
      <c r="C74" s="285">
        <v>0</v>
      </c>
      <c r="D74" s="261">
        <v>1</v>
      </c>
      <c r="E74" s="132">
        <f t="shared" si="19"/>
        <v>1</v>
      </c>
      <c r="F74" s="126" t="s">
        <v>764</v>
      </c>
      <c r="G74" s="138">
        <v>0</v>
      </c>
      <c r="H74" s="310">
        <v>0</v>
      </c>
      <c r="I74" s="228">
        <v>10</v>
      </c>
      <c r="J74" s="129">
        <f t="shared" si="20"/>
        <v>10</v>
      </c>
    </row>
    <row r="75" spans="1:10" ht="14.95" thickBot="1" x14ac:dyDescent="0.3">
      <c r="A75" s="124" t="s">
        <v>475</v>
      </c>
      <c r="B75" s="78">
        <v>0</v>
      </c>
      <c r="C75" s="285">
        <v>0</v>
      </c>
      <c r="D75" s="261">
        <v>1</v>
      </c>
      <c r="E75" s="132">
        <f t="shared" si="19"/>
        <v>1</v>
      </c>
      <c r="F75" s="126" t="s">
        <v>69</v>
      </c>
      <c r="G75" s="138">
        <v>5</v>
      </c>
      <c r="H75" s="310">
        <v>0</v>
      </c>
      <c r="I75" s="228">
        <v>4</v>
      </c>
      <c r="J75" s="129">
        <f t="shared" si="20"/>
        <v>9</v>
      </c>
    </row>
    <row r="76" spans="1:10" ht="14.95" thickBot="1" x14ac:dyDescent="0.3">
      <c r="A76" s="124" t="s">
        <v>1017</v>
      </c>
      <c r="B76" s="78">
        <v>1</v>
      </c>
      <c r="C76" s="285">
        <v>0</v>
      </c>
      <c r="D76" s="261">
        <v>0</v>
      </c>
      <c r="E76" s="132">
        <f t="shared" si="19"/>
        <v>1</v>
      </c>
      <c r="F76" s="126" t="s">
        <v>1001</v>
      </c>
      <c r="G76" s="138">
        <v>8</v>
      </c>
      <c r="H76" s="310">
        <v>0</v>
      </c>
      <c r="I76" s="228">
        <v>0</v>
      </c>
      <c r="J76" s="129">
        <f t="shared" si="20"/>
        <v>8</v>
      </c>
    </row>
    <row r="77" spans="1:10" ht="14.95" thickBot="1" x14ac:dyDescent="0.3">
      <c r="A77" s="124" t="s">
        <v>69</v>
      </c>
      <c r="B77" s="78">
        <v>1</v>
      </c>
      <c r="C77" s="285">
        <v>0</v>
      </c>
      <c r="D77" s="261">
        <v>0</v>
      </c>
      <c r="E77" s="132">
        <f t="shared" si="19"/>
        <v>1</v>
      </c>
      <c r="F77" s="126" t="s">
        <v>982</v>
      </c>
      <c r="G77" s="138">
        <v>5</v>
      </c>
      <c r="H77" s="310">
        <v>0</v>
      </c>
      <c r="I77" s="228">
        <v>0</v>
      </c>
      <c r="J77" s="129">
        <f t="shared" si="20"/>
        <v>5</v>
      </c>
    </row>
    <row r="78" spans="1:10" ht="14.95" thickBot="1" x14ac:dyDescent="0.3">
      <c r="A78" s="124" t="s">
        <v>1035</v>
      </c>
      <c r="B78" s="78">
        <v>1</v>
      </c>
      <c r="C78" s="285">
        <v>0</v>
      </c>
      <c r="D78" s="261">
        <v>0</v>
      </c>
      <c r="E78" s="132">
        <f t="shared" si="19"/>
        <v>1</v>
      </c>
      <c r="F78" s="126" t="s">
        <v>903</v>
      </c>
      <c r="G78" s="138">
        <v>0</v>
      </c>
      <c r="H78" s="310">
        <v>0</v>
      </c>
      <c r="I78" s="228">
        <v>5</v>
      </c>
      <c r="J78" s="129">
        <f t="shared" si="20"/>
        <v>5</v>
      </c>
    </row>
    <row r="79" spans="1:10" ht="14.95" thickBot="1" x14ac:dyDescent="0.3">
      <c r="A79" s="124" t="s">
        <v>778</v>
      </c>
      <c r="B79" s="78">
        <v>0</v>
      </c>
      <c r="C79" s="285">
        <v>1</v>
      </c>
      <c r="D79" s="261">
        <v>0</v>
      </c>
      <c r="E79" s="132">
        <f t="shared" si="19"/>
        <v>1</v>
      </c>
      <c r="F79" s="126" t="s">
        <v>475</v>
      </c>
      <c r="G79" s="138">
        <v>0</v>
      </c>
      <c r="H79" s="310">
        <v>0</v>
      </c>
      <c r="I79" s="228">
        <v>5</v>
      </c>
      <c r="J79" s="129">
        <f t="shared" si="20"/>
        <v>5</v>
      </c>
    </row>
    <row r="80" spans="1:10" ht="14.95" thickBot="1" x14ac:dyDescent="0.3">
      <c r="A80" s="124" t="s">
        <v>70</v>
      </c>
      <c r="B80" s="78">
        <v>1</v>
      </c>
      <c r="C80" s="285">
        <v>0</v>
      </c>
      <c r="D80" s="261">
        <v>0</v>
      </c>
      <c r="E80" s="132">
        <f t="shared" si="19"/>
        <v>1</v>
      </c>
      <c r="F80" s="126" t="s">
        <v>1017</v>
      </c>
      <c r="G80" s="138">
        <v>5</v>
      </c>
      <c r="H80" s="310">
        <v>0</v>
      </c>
      <c r="I80" s="228">
        <v>0</v>
      </c>
      <c r="J80" s="129">
        <f t="shared" si="20"/>
        <v>5</v>
      </c>
    </row>
    <row r="81" spans="1:10" ht="14.95" thickBot="1" x14ac:dyDescent="0.3">
      <c r="A81" s="124" t="s">
        <v>63</v>
      </c>
      <c r="B81" s="78">
        <v>1</v>
      </c>
      <c r="C81" s="285">
        <v>0</v>
      </c>
      <c r="D81" s="261">
        <v>0</v>
      </c>
      <c r="E81" s="132">
        <f t="shared" si="19"/>
        <v>1</v>
      </c>
      <c r="F81" s="126" t="s">
        <v>1035</v>
      </c>
      <c r="G81" s="138">
        <v>5</v>
      </c>
      <c r="H81" s="310">
        <v>0</v>
      </c>
      <c r="I81" s="228">
        <v>0</v>
      </c>
      <c r="J81" s="129">
        <f t="shared" si="20"/>
        <v>5</v>
      </c>
    </row>
    <row r="82" spans="1:10" ht="14.95" thickBot="1" x14ac:dyDescent="0.3">
      <c r="A82" s="124" t="s">
        <v>907</v>
      </c>
      <c r="B82" s="78">
        <v>0</v>
      </c>
      <c r="C82" s="285">
        <v>0</v>
      </c>
      <c r="D82" s="261">
        <v>1</v>
      </c>
      <c r="E82" s="132">
        <f t="shared" si="19"/>
        <v>1</v>
      </c>
      <c r="F82" s="126" t="s">
        <v>778</v>
      </c>
      <c r="G82" s="138">
        <v>0</v>
      </c>
      <c r="H82" s="310">
        <v>5</v>
      </c>
      <c r="I82" s="228">
        <v>0</v>
      </c>
      <c r="J82" s="129">
        <f t="shared" si="20"/>
        <v>5</v>
      </c>
    </row>
    <row r="83" spans="1:10" ht="14.95" thickBot="1" x14ac:dyDescent="0.3">
      <c r="A83" s="124" t="s">
        <v>1043</v>
      </c>
      <c r="B83" s="78">
        <v>1</v>
      </c>
      <c r="C83" s="285">
        <v>0</v>
      </c>
      <c r="D83" s="261">
        <v>0</v>
      </c>
      <c r="E83" s="132">
        <f t="shared" si="19"/>
        <v>1</v>
      </c>
      <c r="F83" s="126" t="s">
        <v>70</v>
      </c>
      <c r="G83" s="138">
        <v>5</v>
      </c>
      <c r="H83" s="310">
        <v>0</v>
      </c>
      <c r="I83" s="228">
        <v>0</v>
      </c>
      <c r="J83" s="129">
        <f t="shared" si="20"/>
        <v>5</v>
      </c>
    </row>
    <row r="84" spans="1:10" ht="14.95" thickBot="1" x14ac:dyDescent="0.3">
      <c r="A84" s="124" t="s">
        <v>481</v>
      </c>
      <c r="B84" s="78">
        <v>0</v>
      </c>
      <c r="C84" s="285">
        <v>0</v>
      </c>
      <c r="D84" s="261">
        <v>1</v>
      </c>
      <c r="E84" s="132">
        <f t="shared" si="19"/>
        <v>1</v>
      </c>
      <c r="F84" s="126" t="s">
        <v>63</v>
      </c>
      <c r="G84" s="138">
        <v>5</v>
      </c>
      <c r="H84" s="310">
        <v>0</v>
      </c>
      <c r="I84" s="228">
        <v>0</v>
      </c>
      <c r="J84" s="129">
        <f t="shared" si="20"/>
        <v>5</v>
      </c>
    </row>
    <row r="85" spans="1:10" ht="14.95" thickBot="1" x14ac:dyDescent="0.3">
      <c r="A85" s="124" t="s">
        <v>674</v>
      </c>
      <c r="B85" s="78">
        <v>1</v>
      </c>
      <c r="C85" s="285">
        <v>0</v>
      </c>
      <c r="D85" s="261">
        <v>0</v>
      </c>
      <c r="E85" s="132">
        <f t="shared" si="19"/>
        <v>1</v>
      </c>
      <c r="F85" s="126" t="s">
        <v>907</v>
      </c>
      <c r="G85" s="138">
        <v>0</v>
      </c>
      <c r="H85" s="310">
        <v>0</v>
      </c>
      <c r="I85" s="228">
        <v>5</v>
      </c>
      <c r="J85" s="129">
        <f t="shared" si="20"/>
        <v>5</v>
      </c>
    </row>
    <row r="86" spans="1:10" ht="14.95" thickBot="1" x14ac:dyDescent="0.3">
      <c r="A86" s="124" t="s">
        <v>187</v>
      </c>
      <c r="B86" s="78">
        <v>0</v>
      </c>
      <c r="C86" s="285">
        <v>0</v>
      </c>
      <c r="D86" s="261">
        <v>0</v>
      </c>
      <c r="E86" s="132">
        <f t="shared" si="19"/>
        <v>0</v>
      </c>
      <c r="F86" s="126" t="s">
        <v>1043</v>
      </c>
      <c r="G86" s="138">
        <v>5</v>
      </c>
      <c r="H86" s="310">
        <v>0</v>
      </c>
      <c r="I86" s="228">
        <v>0</v>
      </c>
      <c r="J86" s="129">
        <f t="shared" si="20"/>
        <v>5</v>
      </c>
    </row>
    <row r="87" spans="1:10" ht="14.3" customHeight="1" thickBot="1" x14ac:dyDescent="0.3">
      <c r="A87" s="124" t="s">
        <v>41</v>
      </c>
      <c r="B87" s="78">
        <v>0</v>
      </c>
      <c r="C87" s="285">
        <v>0</v>
      </c>
      <c r="D87" s="261">
        <v>0</v>
      </c>
      <c r="E87" s="132">
        <f t="shared" si="19"/>
        <v>0</v>
      </c>
      <c r="F87" s="126" t="s">
        <v>674</v>
      </c>
      <c r="G87" s="138">
        <v>5</v>
      </c>
      <c r="H87" s="310">
        <v>0</v>
      </c>
      <c r="I87" s="228">
        <v>0</v>
      </c>
      <c r="J87" s="129">
        <f t="shared" si="20"/>
        <v>5</v>
      </c>
    </row>
    <row r="88" spans="1:10" ht="14.95" thickBot="1" x14ac:dyDescent="0.3">
      <c r="A88" s="124" t="s">
        <v>765</v>
      </c>
      <c r="B88" s="78">
        <v>0</v>
      </c>
      <c r="C88" s="285">
        <v>0</v>
      </c>
      <c r="D88" s="261">
        <v>0</v>
      </c>
      <c r="E88" s="132">
        <f t="shared" si="19"/>
        <v>0</v>
      </c>
      <c r="F88" s="126" t="s">
        <v>41</v>
      </c>
      <c r="G88" s="138">
        <v>0</v>
      </c>
      <c r="H88" s="310">
        <v>0</v>
      </c>
      <c r="I88" s="228">
        <v>0</v>
      </c>
      <c r="J88" s="129">
        <f t="shared" si="20"/>
        <v>0</v>
      </c>
    </row>
    <row r="89" spans="1:10" ht="14.3" customHeight="1" thickBot="1" x14ac:dyDescent="0.3">
      <c r="A89" s="124" t="s">
        <v>1001</v>
      </c>
      <c r="B89" s="78">
        <v>0</v>
      </c>
      <c r="C89" s="285">
        <v>0</v>
      </c>
      <c r="D89" s="261">
        <v>0</v>
      </c>
      <c r="E89" s="132">
        <f t="shared" si="19"/>
        <v>0</v>
      </c>
      <c r="F89" s="126" t="s">
        <v>765</v>
      </c>
      <c r="G89" s="138">
        <v>0</v>
      </c>
      <c r="H89" s="310">
        <v>0</v>
      </c>
      <c r="I89" s="228">
        <v>0</v>
      </c>
      <c r="J89" s="129">
        <f t="shared" si="20"/>
        <v>0</v>
      </c>
    </row>
    <row r="90" spans="1:10" ht="14.95" thickBot="1" x14ac:dyDescent="0.3">
      <c r="A90" s="124" t="s">
        <v>782</v>
      </c>
      <c r="B90" s="78">
        <v>0</v>
      </c>
      <c r="C90" s="285">
        <v>0</v>
      </c>
      <c r="D90" s="261">
        <v>0</v>
      </c>
      <c r="E90" s="132">
        <f t="shared" si="19"/>
        <v>0</v>
      </c>
      <c r="F90" s="126" t="s">
        <v>782</v>
      </c>
      <c r="G90" s="138">
        <v>0</v>
      </c>
      <c r="H90" s="310">
        <v>0</v>
      </c>
      <c r="I90" s="228">
        <v>0</v>
      </c>
      <c r="J90" s="129">
        <f t="shared" si="20"/>
        <v>0</v>
      </c>
    </row>
    <row r="91" spans="1:10" ht="14.45" customHeight="1" thickBot="1" x14ac:dyDescent="0.3">
      <c r="A91" s="124" t="s">
        <v>779</v>
      </c>
      <c r="B91" s="78">
        <v>0</v>
      </c>
      <c r="C91" s="285">
        <v>0</v>
      </c>
      <c r="D91" s="261">
        <v>0</v>
      </c>
      <c r="E91" s="132">
        <f t="shared" si="19"/>
        <v>0</v>
      </c>
      <c r="F91" s="126" t="s">
        <v>779</v>
      </c>
      <c r="G91" s="138">
        <v>0</v>
      </c>
      <c r="H91" s="310">
        <v>0</v>
      </c>
      <c r="I91" s="228">
        <v>0</v>
      </c>
      <c r="J91" s="129">
        <f t="shared" si="20"/>
        <v>0</v>
      </c>
    </row>
    <row r="92" spans="1:10" ht="14.95" thickBot="1" x14ac:dyDescent="0.3">
      <c r="A92" s="124" t="s">
        <v>953</v>
      </c>
      <c r="B92" s="78">
        <v>0</v>
      </c>
      <c r="C92" s="285">
        <v>0</v>
      </c>
      <c r="D92" s="261">
        <v>0</v>
      </c>
      <c r="E92" s="132">
        <f t="shared" si="19"/>
        <v>0</v>
      </c>
      <c r="F92" s="126" t="s">
        <v>953</v>
      </c>
      <c r="G92" s="138">
        <v>0</v>
      </c>
      <c r="H92" s="310">
        <v>0</v>
      </c>
      <c r="I92" s="228">
        <v>0</v>
      </c>
      <c r="J92" s="129">
        <f t="shared" si="20"/>
        <v>0</v>
      </c>
    </row>
    <row r="93" spans="1:10" ht="14.3" customHeight="1" thickBot="1" x14ac:dyDescent="0.3">
      <c r="A93" s="124" t="s">
        <v>3</v>
      </c>
      <c r="B93" s="78">
        <f>SUM(B50:B92)</f>
        <v>80</v>
      </c>
      <c r="C93" s="285">
        <f>SUM(C50:C92)</f>
        <v>33</v>
      </c>
      <c r="D93" s="261">
        <f>SUM(D50:D92)</f>
        <v>36</v>
      </c>
      <c r="E93" s="132">
        <f>SUM(E50:E92)</f>
        <v>149</v>
      </c>
      <c r="F93" s="126" t="s">
        <v>3</v>
      </c>
      <c r="G93" s="138">
        <f>SUM(G50:G92)</f>
        <v>602</v>
      </c>
      <c r="H93" s="310">
        <f>SUM(H50:H92)</f>
        <v>237</v>
      </c>
      <c r="I93" s="228">
        <f>SUM(I50:I92)</f>
        <v>240</v>
      </c>
      <c r="J93" s="129">
        <f>SUM(J50:J92)</f>
        <v>1079</v>
      </c>
    </row>
    <row r="94" spans="1:10" x14ac:dyDescent="0.25">
      <c r="A94" s="420" t="s">
        <v>57</v>
      </c>
      <c r="B94" s="421"/>
      <c r="C94" s="421"/>
      <c r="D94" s="421"/>
      <c r="E94" s="421"/>
      <c r="F94" s="421"/>
      <c r="G94" s="421"/>
      <c r="H94" s="421"/>
      <c r="I94" s="421"/>
      <c r="J94" s="421"/>
    </row>
  </sheetData>
  <sortState xmlns:xlrd2="http://schemas.microsoft.com/office/spreadsheetml/2017/richdata2" ref="F50:J92">
    <sortCondition descending="1" ref="J50:J92"/>
  </sortState>
  <mergeCells count="55">
    <mergeCell ref="A94:J94"/>
    <mergeCell ref="BA1:BC2"/>
    <mergeCell ref="AL17:AN18"/>
    <mergeCell ref="AO17:AQ18"/>
    <mergeCell ref="AI17:AK18"/>
    <mergeCell ref="AI1:AK2"/>
    <mergeCell ref="AO1:AQ2"/>
    <mergeCell ref="AO10:AQ11"/>
    <mergeCell ref="AL1:AN2"/>
    <mergeCell ref="AL10:AN11"/>
    <mergeCell ref="AR17:AT18"/>
    <mergeCell ref="AU17:AW18"/>
    <mergeCell ref="AC1:AE2"/>
    <mergeCell ref="AC10:AE11"/>
    <mergeCell ref="AC17:AE18"/>
    <mergeCell ref="AC25:AE26"/>
    <mergeCell ref="AF25:AH26"/>
    <mergeCell ref="AF1:AH2"/>
    <mergeCell ref="AF10:AH11"/>
    <mergeCell ref="AF17:AH18"/>
    <mergeCell ref="AO25:AQ26"/>
    <mergeCell ref="AL25:AN26"/>
    <mergeCell ref="AI25:AK26"/>
    <mergeCell ref="O17:Q18"/>
    <mergeCell ref="K25:K26"/>
    <mergeCell ref="L25:N26"/>
    <mergeCell ref="AX1:AZ2"/>
    <mergeCell ref="R1:S2"/>
    <mergeCell ref="K10:K11"/>
    <mergeCell ref="K1:K2"/>
    <mergeCell ref="L1:N2"/>
    <mergeCell ref="O1:Q2"/>
    <mergeCell ref="AU1:AW2"/>
    <mergeCell ref="L10:N11"/>
    <mergeCell ref="AR1:AT2"/>
    <mergeCell ref="AU10:AW11"/>
    <mergeCell ref="AR10:AT11"/>
    <mergeCell ref="W1:Y2"/>
    <mergeCell ref="AI10:AK11"/>
    <mergeCell ref="K36:R36"/>
    <mergeCell ref="A47:H47"/>
    <mergeCell ref="K34:W34"/>
    <mergeCell ref="K35:Y35"/>
    <mergeCell ref="A1:J1"/>
    <mergeCell ref="U25:W26"/>
    <mergeCell ref="R25:T26"/>
    <mergeCell ref="O25:Q26"/>
    <mergeCell ref="R10:T11"/>
    <mergeCell ref="U10:W11"/>
    <mergeCell ref="T1:V2"/>
    <mergeCell ref="O10:Q11"/>
    <mergeCell ref="K17:K18"/>
    <mergeCell ref="L17:N18"/>
    <mergeCell ref="U17:W18"/>
    <mergeCell ref="R17:T18"/>
  </mergeCells>
  <pageMargins left="0.7" right="0.7" top="0.75" bottom="0.75" header="0.3" footer="0.3"/>
  <pageSetup paperSize="9" orientation="portrait" r:id="rId1"/>
  <ignoredErrors>
    <ignoredError sqref="E6 E2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H90"/>
  <sheetViews>
    <sheetView zoomScaleNormal="100" workbookViewId="0">
      <selection activeCell="L20" sqref="L20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5" width="4.125" customWidth="1"/>
    <col min="6" max="6" width="4.75" customWidth="1"/>
    <col min="7" max="7" width="18.375" bestFit="1" customWidth="1"/>
    <col min="8" max="12" width="5.25" customWidth="1"/>
    <col min="13" max="13" width="16.75" customWidth="1"/>
    <col min="14" max="51" width="5.75" customWidth="1"/>
    <col min="52" max="54" width="5.625" customWidth="1"/>
  </cols>
  <sheetData>
    <row r="1" spans="1:60" ht="14.95" customHeight="1" thickBot="1" x14ac:dyDescent="0.3">
      <c r="A1" s="519" t="s">
        <v>860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1"/>
      <c r="M1" s="457" t="s">
        <v>301</v>
      </c>
      <c r="N1" s="436" t="s">
        <v>20</v>
      </c>
      <c r="O1" s="437"/>
      <c r="P1" s="438"/>
      <c r="Q1" s="436" t="s">
        <v>66</v>
      </c>
      <c r="R1" s="437"/>
      <c r="S1" s="438"/>
      <c r="T1" s="436" t="s">
        <v>300</v>
      </c>
      <c r="U1" s="438"/>
      <c r="V1" s="422" t="s">
        <v>365</v>
      </c>
      <c r="W1" s="423"/>
      <c r="X1" s="424"/>
      <c r="Y1" s="422" t="s">
        <v>854</v>
      </c>
      <c r="Z1" s="423"/>
      <c r="AA1" s="424"/>
      <c r="AB1" s="204"/>
      <c r="AC1" s="163"/>
      <c r="AD1" s="205"/>
      <c r="AE1" s="422" t="s">
        <v>700</v>
      </c>
      <c r="AF1" s="423"/>
      <c r="AG1" s="424"/>
      <c r="AH1" s="422" t="s">
        <v>518</v>
      </c>
      <c r="AI1" s="423"/>
      <c r="AJ1" s="424"/>
      <c r="AK1" s="422" t="s">
        <v>356</v>
      </c>
      <c r="AL1" s="423"/>
      <c r="AM1" s="424"/>
      <c r="AN1" s="422" t="s">
        <v>272</v>
      </c>
      <c r="AO1" s="423"/>
      <c r="AP1" s="424"/>
      <c r="AQ1" s="422" t="s">
        <v>115</v>
      </c>
      <c r="AR1" s="423"/>
      <c r="AS1" s="424"/>
      <c r="AT1" s="422" t="s">
        <v>83</v>
      </c>
      <c r="AU1" s="423"/>
      <c r="AV1" s="424"/>
      <c r="AW1" s="422" t="s">
        <v>78</v>
      </c>
      <c r="AX1" s="423"/>
      <c r="AY1" s="424"/>
      <c r="AZ1" s="422" t="s">
        <v>60</v>
      </c>
      <c r="BA1" s="423"/>
      <c r="BB1" s="424"/>
      <c r="BC1" s="4"/>
      <c r="BD1" s="4"/>
      <c r="BE1" s="4"/>
      <c r="BH1" s="4"/>
    </row>
    <row r="2" spans="1:60" ht="14.95" customHeight="1" thickBot="1" x14ac:dyDescent="0.3">
      <c r="A2" s="341" t="s">
        <v>0</v>
      </c>
      <c r="B2" s="342" t="s">
        <v>355</v>
      </c>
      <c r="C2" s="343" t="s">
        <v>42</v>
      </c>
      <c r="D2" s="398" t="s">
        <v>43</v>
      </c>
      <c r="E2" s="344" t="s">
        <v>564</v>
      </c>
      <c r="F2" s="345" t="s">
        <v>1</v>
      </c>
      <c r="G2" s="337" t="s">
        <v>2</v>
      </c>
      <c r="H2" s="146" t="s">
        <v>355</v>
      </c>
      <c r="I2" s="311" t="s">
        <v>42</v>
      </c>
      <c r="J2" s="400" t="s">
        <v>43</v>
      </c>
      <c r="K2" s="246" t="s">
        <v>564</v>
      </c>
      <c r="L2" s="110" t="s">
        <v>1</v>
      </c>
      <c r="M2" s="458"/>
      <c r="N2" s="439"/>
      <c r="O2" s="440"/>
      <c r="P2" s="441"/>
      <c r="Q2" s="439"/>
      <c r="R2" s="440"/>
      <c r="S2" s="441"/>
      <c r="T2" s="439"/>
      <c r="U2" s="441"/>
      <c r="V2" s="425"/>
      <c r="W2" s="426"/>
      <c r="X2" s="427"/>
      <c r="Y2" s="425"/>
      <c r="Z2" s="426"/>
      <c r="AA2" s="427"/>
      <c r="AB2" s="204"/>
      <c r="AC2" s="163"/>
      <c r="AD2" s="205"/>
      <c r="AE2" s="425"/>
      <c r="AF2" s="426"/>
      <c r="AG2" s="427"/>
      <c r="AH2" s="425"/>
      <c r="AI2" s="426"/>
      <c r="AJ2" s="427"/>
      <c r="AK2" s="425"/>
      <c r="AL2" s="426"/>
      <c r="AM2" s="427"/>
      <c r="AN2" s="425"/>
      <c r="AO2" s="426"/>
      <c r="AP2" s="427"/>
      <c r="AQ2" s="425"/>
      <c r="AR2" s="426"/>
      <c r="AS2" s="427"/>
      <c r="AT2" s="425"/>
      <c r="AU2" s="426"/>
      <c r="AV2" s="427"/>
      <c r="AW2" s="425"/>
      <c r="AX2" s="426"/>
      <c r="AY2" s="427"/>
      <c r="AZ2" s="425"/>
      <c r="BA2" s="426"/>
      <c r="BB2" s="427"/>
    </row>
    <row r="3" spans="1:60" ht="14.95" customHeight="1" thickBot="1" x14ac:dyDescent="0.3">
      <c r="A3" s="340" t="s">
        <v>909</v>
      </c>
      <c r="B3" s="346">
        <v>0</v>
      </c>
      <c r="C3" s="347">
        <v>0</v>
      </c>
      <c r="D3" s="399">
        <v>0</v>
      </c>
      <c r="E3" s="348">
        <v>1</v>
      </c>
      <c r="F3" s="349">
        <f t="shared" ref="F3" si="0">SUM(B3:E3)</f>
        <v>1</v>
      </c>
      <c r="G3" s="338" t="s">
        <v>909</v>
      </c>
      <c r="H3" s="147">
        <v>0</v>
      </c>
      <c r="I3" s="312">
        <v>0</v>
      </c>
      <c r="J3" s="401">
        <v>0</v>
      </c>
      <c r="K3" s="247">
        <v>5</v>
      </c>
      <c r="L3" s="76">
        <f t="shared" ref="L3" si="1">SUM(H3:K3)</f>
        <v>5</v>
      </c>
      <c r="M3" s="233" t="s">
        <v>30</v>
      </c>
      <c r="N3" s="3" t="s">
        <v>74</v>
      </c>
      <c r="O3" s="3" t="s">
        <v>15</v>
      </c>
      <c r="P3" s="3" t="s">
        <v>16</v>
      </c>
      <c r="Q3" s="3" t="s">
        <v>74</v>
      </c>
      <c r="R3" s="3" t="s">
        <v>15</v>
      </c>
      <c r="S3" s="3" t="s">
        <v>16</v>
      </c>
      <c r="T3" s="3" t="s">
        <v>24</v>
      </c>
      <c r="U3" s="3" t="s">
        <v>87</v>
      </c>
      <c r="V3" s="7" t="s">
        <v>74</v>
      </c>
      <c r="W3" s="7" t="s">
        <v>15</v>
      </c>
      <c r="X3" s="7" t="s">
        <v>16</v>
      </c>
      <c r="Y3" s="151" t="s">
        <v>74</v>
      </c>
      <c r="Z3" s="7" t="s">
        <v>15</v>
      </c>
      <c r="AA3" s="7" t="s">
        <v>16</v>
      </c>
      <c r="AB3" s="94"/>
      <c r="AC3" s="95"/>
      <c r="AD3" s="206"/>
      <c r="AE3" s="151" t="s">
        <v>74</v>
      </c>
      <c r="AF3" s="7" t="s">
        <v>15</v>
      </c>
      <c r="AG3" s="7" t="s">
        <v>16</v>
      </c>
      <c r="AH3" s="151" t="s">
        <v>74</v>
      </c>
      <c r="AI3" s="7" t="s">
        <v>15</v>
      </c>
      <c r="AJ3" s="7" t="s">
        <v>16</v>
      </c>
      <c r="AK3" s="151" t="s">
        <v>74</v>
      </c>
      <c r="AL3" s="7" t="s">
        <v>15</v>
      </c>
      <c r="AM3" s="7" t="s">
        <v>16</v>
      </c>
      <c r="AN3" s="151" t="s">
        <v>74</v>
      </c>
      <c r="AO3" s="7" t="s">
        <v>15</v>
      </c>
      <c r="AP3" s="7" t="s">
        <v>16</v>
      </c>
      <c r="AQ3" s="151" t="s">
        <v>74</v>
      </c>
      <c r="AR3" s="7" t="s">
        <v>15</v>
      </c>
      <c r="AS3" s="7" t="s">
        <v>16</v>
      </c>
      <c r="AT3" s="151" t="s">
        <v>74</v>
      </c>
      <c r="AU3" s="7" t="s">
        <v>15</v>
      </c>
      <c r="AV3" s="7" t="s">
        <v>16</v>
      </c>
      <c r="AW3" s="7" t="s">
        <v>74</v>
      </c>
      <c r="AX3" s="7" t="s">
        <v>15</v>
      </c>
      <c r="AY3" s="7" t="s">
        <v>16</v>
      </c>
      <c r="AZ3" s="7" t="s">
        <v>74</v>
      </c>
      <c r="BA3" s="7" t="s">
        <v>15</v>
      </c>
      <c r="BB3" s="7" t="s">
        <v>16</v>
      </c>
    </row>
    <row r="4" spans="1:60" ht="14.95" customHeight="1" thickBot="1" x14ac:dyDescent="0.3">
      <c r="A4" s="340" t="s">
        <v>56</v>
      </c>
      <c r="B4" s="346">
        <v>0</v>
      </c>
      <c r="C4" s="347">
        <v>0</v>
      </c>
      <c r="D4" s="399">
        <v>0</v>
      </c>
      <c r="E4" s="348">
        <v>0</v>
      </c>
      <c r="F4" s="349">
        <f t="shared" ref="F4:F43" si="2">SUM(B4:E4)</f>
        <v>0</v>
      </c>
      <c r="G4" s="339" t="s">
        <v>56</v>
      </c>
      <c r="H4" s="147">
        <v>0</v>
      </c>
      <c r="I4" s="312">
        <v>0</v>
      </c>
      <c r="J4" s="401">
        <v>0</v>
      </c>
      <c r="K4" s="247">
        <v>0</v>
      </c>
      <c r="L4" s="76">
        <f t="shared" ref="L4:L43" si="3">SUM(H4:K4)</f>
        <v>0</v>
      </c>
      <c r="M4" s="340" t="s">
        <v>248</v>
      </c>
      <c r="N4" s="349" t="s">
        <v>21</v>
      </c>
      <c r="O4" s="349" t="s">
        <v>21</v>
      </c>
      <c r="P4" s="350" t="s">
        <v>21</v>
      </c>
      <c r="Q4" s="349" t="s">
        <v>21</v>
      </c>
      <c r="R4" s="349" t="s">
        <v>21</v>
      </c>
      <c r="S4" s="350" t="s">
        <v>21</v>
      </c>
      <c r="T4" s="349" t="s">
        <v>25</v>
      </c>
      <c r="U4" s="349">
        <v>-1</v>
      </c>
      <c r="V4" s="7" t="s">
        <v>21</v>
      </c>
      <c r="W4" s="7" t="s">
        <v>21</v>
      </c>
      <c r="X4" s="156" t="s">
        <v>21</v>
      </c>
      <c r="Y4" s="7" t="s">
        <v>21</v>
      </c>
      <c r="Z4" s="7" t="s">
        <v>21</v>
      </c>
      <c r="AA4" s="156" t="s">
        <v>21</v>
      </c>
      <c r="AB4" s="94"/>
      <c r="AC4" s="95"/>
      <c r="AD4" s="206"/>
      <c r="AE4" s="151" t="s">
        <v>21</v>
      </c>
      <c r="AF4" s="7" t="s">
        <v>21</v>
      </c>
      <c r="AG4" s="7" t="s">
        <v>21</v>
      </c>
      <c r="AH4" s="151" t="s">
        <v>21</v>
      </c>
      <c r="AI4" s="7" t="s">
        <v>21</v>
      </c>
      <c r="AJ4" s="7" t="s">
        <v>21</v>
      </c>
      <c r="AK4" s="151">
        <v>1</v>
      </c>
      <c r="AL4" s="7">
        <v>1</v>
      </c>
      <c r="AM4" s="7">
        <v>100</v>
      </c>
      <c r="AN4" s="151" t="s">
        <v>21</v>
      </c>
      <c r="AO4" s="7" t="s">
        <v>21</v>
      </c>
      <c r="AP4" s="7" t="s">
        <v>21</v>
      </c>
      <c r="AQ4" s="151">
        <v>1</v>
      </c>
      <c r="AR4" s="7">
        <v>2</v>
      </c>
      <c r="AS4" s="156">
        <f t="shared" ref="AS4" si="4">SUM(AQ4/AR4)*100</f>
        <v>50</v>
      </c>
      <c r="AT4" s="151" t="s">
        <v>21</v>
      </c>
      <c r="AU4" s="7" t="s">
        <v>21</v>
      </c>
      <c r="AV4" s="7" t="s">
        <v>21</v>
      </c>
      <c r="AW4" s="7" t="s">
        <v>21</v>
      </c>
      <c r="AX4" s="7" t="s">
        <v>21</v>
      </c>
      <c r="AY4" s="7" t="s">
        <v>21</v>
      </c>
      <c r="AZ4" s="7" t="s">
        <v>21</v>
      </c>
      <c r="BA4" s="7" t="s">
        <v>21</v>
      </c>
      <c r="BB4" s="7" t="s">
        <v>21</v>
      </c>
    </row>
    <row r="5" spans="1:60" ht="14.95" customHeight="1" thickBot="1" x14ac:dyDescent="0.3">
      <c r="A5" s="340" t="s">
        <v>248</v>
      </c>
      <c r="B5" s="346">
        <v>0</v>
      </c>
      <c r="C5" s="347">
        <v>1</v>
      </c>
      <c r="D5" s="399">
        <v>0</v>
      </c>
      <c r="E5" s="348">
        <v>2</v>
      </c>
      <c r="F5" s="349">
        <f t="shared" ref="F5" si="5">SUM(B5:E5)</f>
        <v>3</v>
      </c>
      <c r="G5" s="339" t="s">
        <v>248</v>
      </c>
      <c r="H5" s="147">
        <v>0</v>
      </c>
      <c r="I5" s="312">
        <v>7</v>
      </c>
      <c r="J5" s="401">
        <v>0</v>
      </c>
      <c r="K5" s="247">
        <v>10</v>
      </c>
      <c r="L5" s="76">
        <f t="shared" ref="L5" si="6">SUM(H5:K5)</f>
        <v>17</v>
      </c>
      <c r="M5" s="340" t="s">
        <v>253</v>
      </c>
      <c r="N5" s="349">
        <v>17</v>
      </c>
      <c r="O5" s="349">
        <v>23</v>
      </c>
      <c r="P5" s="350">
        <f t="shared" ref="P5" si="7">SUM(N5/O5)*100</f>
        <v>73.91304347826086</v>
      </c>
      <c r="Q5" s="349" t="s">
        <v>21</v>
      </c>
      <c r="R5" s="349" t="s">
        <v>21</v>
      </c>
      <c r="S5" s="350" t="s">
        <v>21</v>
      </c>
      <c r="T5" s="349">
        <v>8</v>
      </c>
      <c r="U5" s="349">
        <v>1</v>
      </c>
      <c r="V5" s="7">
        <v>63</v>
      </c>
      <c r="W5" s="7">
        <v>85</v>
      </c>
      <c r="X5" s="156">
        <v>74.117647058823536</v>
      </c>
      <c r="Y5" s="7">
        <v>24</v>
      </c>
      <c r="Z5" s="7">
        <v>30</v>
      </c>
      <c r="AA5" s="156">
        <f t="shared" ref="AA5" si="8">SUM(Y5/Z5)*100</f>
        <v>80</v>
      </c>
      <c r="AB5" s="94"/>
      <c r="AC5" s="95"/>
      <c r="AD5" s="206"/>
      <c r="AE5" s="151">
        <v>21</v>
      </c>
      <c r="AF5" s="7">
        <v>29</v>
      </c>
      <c r="AG5" s="156">
        <f t="shared" ref="AG5" si="9">SUM(AE5/AF5)*100</f>
        <v>72.41379310344827</v>
      </c>
      <c r="AH5" s="151">
        <v>52</v>
      </c>
      <c r="AI5" s="7">
        <v>77</v>
      </c>
      <c r="AJ5" s="156">
        <f t="shared" ref="AJ5" si="10">SUM(AH5/AI5)*100</f>
        <v>67.532467532467535</v>
      </c>
      <c r="AK5" s="151">
        <v>26</v>
      </c>
      <c r="AL5" s="7">
        <v>34</v>
      </c>
      <c r="AM5" s="156">
        <f t="shared" ref="AM5:AM6" si="11">SUM(AK5/AL5)*100</f>
        <v>76.470588235294116</v>
      </c>
      <c r="AN5" s="151" t="s">
        <v>21</v>
      </c>
      <c r="AO5" s="7" t="s">
        <v>21</v>
      </c>
      <c r="AP5" s="7" t="s">
        <v>21</v>
      </c>
      <c r="AQ5" s="151" t="s">
        <v>21</v>
      </c>
      <c r="AR5" s="7" t="s">
        <v>21</v>
      </c>
      <c r="AS5" s="7" t="s">
        <v>21</v>
      </c>
      <c r="AT5" s="7" t="s">
        <v>21</v>
      </c>
      <c r="AU5" s="7" t="s">
        <v>21</v>
      </c>
      <c r="AV5" s="7" t="s">
        <v>21</v>
      </c>
      <c r="AW5" s="7" t="s">
        <v>21</v>
      </c>
      <c r="AX5" s="7" t="s">
        <v>21</v>
      </c>
      <c r="AY5" s="7" t="s">
        <v>21</v>
      </c>
      <c r="AZ5" s="7" t="s">
        <v>21</v>
      </c>
      <c r="BA5" s="7" t="s">
        <v>21</v>
      </c>
      <c r="BB5" s="7" t="s">
        <v>21</v>
      </c>
    </row>
    <row r="6" spans="1:60" ht="14.95" customHeight="1" thickBot="1" x14ac:dyDescent="0.3">
      <c r="A6" s="340" t="s">
        <v>628</v>
      </c>
      <c r="B6" s="346">
        <v>0</v>
      </c>
      <c r="C6" s="347">
        <v>0</v>
      </c>
      <c r="D6" s="399">
        <v>0</v>
      </c>
      <c r="E6" s="348">
        <v>1</v>
      </c>
      <c r="F6" s="349">
        <f t="shared" si="2"/>
        <v>1</v>
      </c>
      <c r="G6" s="339" t="s">
        <v>628</v>
      </c>
      <c r="H6" s="147">
        <v>0</v>
      </c>
      <c r="I6" s="312">
        <v>0</v>
      </c>
      <c r="J6" s="401">
        <v>0</v>
      </c>
      <c r="K6" s="247">
        <v>5</v>
      </c>
      <c r="L6" s="76">
        <f t="shared" si="3"/>
        <v>5</v>
      </c>
      <c r="M6" s="340" t="s">
        <v>157</v>
      </c>
      <c r="N6" s="349" t="s">
        <v>21</v>
      </c>
      <c r="O6" s="349" t="s">
        <v>21</v>
      </c>
      <c r="P6" s="350" t="s">
        <v>21</v>
      </c>
      <c r="Q6" s="349" t="s">
        <v>21</v>
      </c>
      <c r="R6" s="349" t="s">
        <v>21</v>
      </c>
      <c r="S6" s="350" t="s">
        <v>21</v>
      </c>
      <c r="T6" s="349">
        <v>-3</v>
      </c>
      <c r="U6" s="349">
        <v>2</v>
      </c>
      <c r="V6" s="7">
        <v>0</v>
      </c>
      <c r="W6" s="7">
        <v>1</v>
      </c>
      <c r="X6" s="156">
        <v>0</v>
      </c>
      <c r="Y6" s="7">
        <v>2</v>
      </c>
      <c r="Z6" s="7">
        <v>6</v>
      </c>
      <c r="AA6" s="156">
        <f t="shared" ref="AA6" si="12">SUM(Y6/Z6)*100</f>
        <v>33.333333333333329</v>
      </c>
      <c r="AB6" s="94"/>
      <c r="AC6" s="95"/>
      <c r="AD6" s="206"/>
      <c r="AE6" s="151" t="s">
        <v>21</v>
      </c>
      <c r="AF6" s="7" t="s">
        <v>21</v>
      </c>
      <c r="AG6" s="156" t="s">
        <v>21</v>
      </c>
      <c r="AH6" s="151">
        <v>0</v>
      </c>
      <c r="AI6" s="7">
        <v>2</v>
      </c>
      <c r="AJ6" s="156">
        <v>0</v>
      </c>
      <c r="AK6" s="151">
        <v>0</v>
      </c>
      <c r="AL6" s="7">
        <v>1</v>
      </c>
      <c r="AM6" s="156">
        <f t="shared" si="11"/>
        <v>0</v>
      </c>
      <c r="AN6" s="151" t="s">
        <v>21</v>
      </c>
      <c r="AO6" s="7" t="s">
        <v>21</v>
      </c>
      <c r="AP6" s="7" t="s">
        <v>21</v>
      </c>
      <c r="AQ6" s="151" t="s">
        <v>21</v>
      </c>
      <c r="AR6" s="7" t="s">
        <v>21</v>
      </c>
      <c r="AS6" s="7" t="s">
        <v>21</v>
      </c>
      <c r="AT6" s="151" t="s">
        <v>21</v>
      </c>
      <c r="AU6" s="7" t="s">
        <v>21</v>
      </c>
      <c r="AV6" s="7" t="s">
        <v>21</v>
      </c>
      <c r="AW6" s="7" t="s">
        <v>21</v>
      </c>
      <c r="AX6" s="7" t="s">
        <v>21</v>
      </c>
      <c r="AY6" s="7" t="s">
        <v>21</v>
      </c>
      <c r="AZ6" s="7" t="s">
        <v>21</v>
      </c>
      <c r="BA6" s="7" t="s">
        <v>21</v>
      </c>
      <c r="BB6" s="7" t="s">
        <v>21</v>
      </c>
    </row>
    <row r="7" spans="1:60" ht="14.95" customHeight="1" thickBot="1" x14ac:dyDescent="0.3">
      <c r="A7" s="340" t="s">
        <v>790</v>
      </c>
      <c r="B7" s="346">
        <v>1</v>
      </c>
      <c r="C7" s="347">
        <v>0</v>
      </c>
      <c r="D7" s="399">
        <v>0</v>
      </c>
      <c r="E7" s="348">
        <v>3</v>
      </c>
      <c r="F7" s="349">
        <f t="shared" si="2"/>
        <v>4</v>
      </c>
      <c r="G7" s="339" t="s">
        <v>790</v>
      </c>
      <c r="H7" s="147">
        <v>5</v>
      </c>
      <c r="I7" s="312">
        <v>0</v>
      </c>
      <c r="J7" s="401">
        <v>0</v>
      </c>
      <c r="K7" s="247">
        <v>15</v>
      </c>
      <c r="L7" s="76">
        <f t="shared" si="3"/>
        <v>20</v>
      </c>
      <c r="M7" s="340" t="s">
        <v>838</v>
      </c>
      <c r="N7" s="349">
        <v>43</v>
      </c>
      <c r="O7" s="349">
        <v>62</v>
      </c>
      <c r="P7" s="350">
        <f t="shared" ref="P7" si="13">SUM(N7/O7)*100</f>
        <v>69.354838709677423</v>
      </c>
      <c r="Q7" s="349">
        <v>3</v>
      </c>
      <c r="R7" s="349">
        <v>5</v>
      </c>
      <c r="S7" s="350">
        <f t="shared" ref="S7" si="14">SUM(Q7/R7)*100</f>
        <v>60</v>
      </c>
      <c r="T7" s="349">
        <v>-1</v>
      </c>
      <c r="U7" s="349">
        <v>-1</v>
      </c>
      <c r="V7" s="7">
        <v>26</v>
      </c>
      <c r="W7" s="7">
        <v>30</v>
      </c>
      <c r="X7" s="156">
        <v>86.666666666666671</v>
      </c>
      <c r="Y7" s="7">
        <v>81</v>
      </c>
      <c r="Z7" s="7">
        <v>109</v>
      </c>
      <c r="AA7" s="156">
        <v>74.311926605504581</v>
      </c>
      <c r="AB7" s="94"/>
      <c r="AC7" s="95"/>
      <c r="AD7" s="206"/>
      <c r="AE7" s="151">
        <v>27</v>
      </c>
      <c r="AF7" s="7">
        <v>32</v>
      </c>
      <c r="AG7" s="156">
        <v>84.375</v>
      </c>
      <c r="AH7" s="151">
        <v>35</v>
      </c>
      <c r="AI7" s="7">
        <v>40</v>
      </c>
      <c r="AJ7" s="156">
        <v>87.5</v>
      </c>
      <c r="AK7" s="151">
        <v>77</v>
      </c>
      <c r="AL7" s="7">
        <v>91</v>
      </c>
      <c r="AM7" s="156">
        <v>84.615384615384613</v>
      </c>
      <c r="AN7" s="151">
        <v>61</v>
      </c>
      <c r="AO7" s="7">
        <v>77</v>
      </c>
      <c r="AP7" s="7">
        <v>79</v>
      </c>
      <c r="AQ7" s="151">
        <v>51</v>
      </c>
      <c r="AR7" s="7">
        <v>70</v>
      </c>
      <c r="AS7" s="7">
        <v>73</v>
      </c>
      <c r="AT7" s="151">
        <v>37</v>
      </c>
      <c r="AU7" s="7">
        <v>50</v>
      </c>
      <c r="AV7" s="7">
        <v>74</v>
      </c>
      <c r="AW7" s="7">
        <v>85</v>
      </c>
      <c r="AX7" s="7">
        <v>102</v>
      </c>
      <c r="AY7" s="7">
        <v>83</v>
      </c>
      <c r="AZ7" s="7">
        <v>87</v>
      </c>
      <c r="BA7" s="7">
        <v>122</v>
      </c>
      <c r="BB7" s="7">
        <v>71</v>
      </c>
    </row>
    <row r="8" spans="1:60" ht="14.95" customHeight="1" thickBot="1" x14ac:dyDescent="0.3">
      <c r="A8" s="340" t="s">
        <v>679</v>
      </c>
      <c r="B8" s="346">
        <v>3</v>
      </c>
      <c r="C8" s="347">
        <v>0</v>
      </c>
      <c r="D8" s="399">
        <v>0</v>
      </c>
      <c r="E8" s="348">
        <v>1</v>
      </c>
      <c r="F8" s="349">
        <f t="shared" si="2"/>
        <v>4</v>
      </c>
      <c r="G8" s="339" t="s">
        <v>679</v>
      </c>
      <c r="H8" s="147">
        <v>15</v>
      </c>
      <c r="I8" s="312">
        <v>0</v>
      </c>
      <c r="J8" s="401">
        <v>0</v>
      </c>
      <c r="K8" s="247">
        <v>5</v>
      </c>
      <c r="L8" s="76">
        <f t="shared" si="3"/>
        <v>20</v>
      </c>
      <c r="M8" s="340" t="s">
        <v>105</v>
      </c>
      <c r="N8" s="349" t="s">
        <v>21</v>
      </c>
      <c r="O8" s="349" t="s">
        <v>21</v>
      </c>
      <c r="P8" s="350" t="s">
        <v>21</v>
      </c>
      <c r="Q8" s="349" t="s">
        <v>21</v>
      </c>
      <c r="R8" s="349" t="s">
        <v>21</v>
      </c>
      <c r="S8" s="350" t="s">
        <v>21</v>
      </c>
      <c r="T8" s="349">
        <v>1</v>
      </c>
      <c r="U8" s="349">
        <v>1</v>
      </c>
      <c r="V8" s="7" t="s">
        <v>21</v>
      </c>
      <c r="W8" s="7" t="s">
        <v>21</v>
      </c>
      <c r="X8" s="156" t="s">
        <v>21</v>
      </c>
      <c r="Y8" s="7" t="s">
        <v>21</v>
      </c>
      <c r="Z8" s="7" t="s">
        <v>21</v>
      </c>
      <c r="AA8" s="156" t="s">
        <v>21</v>
      </c>
      <c r="AB8" s="94"/>
      <c r="AC8" s="95"/>
      <c r="AD8" s="206"/>
      <c r="AE8" s="151" t="s">
        <v>21</v>
      </c>
      <c r="AF8" s="7" t="s">
        <v>21</v>
      </c>
      <c r="AG8" s="7" t="s">
        <v>21</v>
      </c>
      <c r="AH8" s="151" t="s">
        <v>21</v>
      </c>
      <c r="AI8" s="7" t="s">
        <v>21</v>
      </c>
      <c r="AJ8" s="7" t="s">
        <v>21</v>
      </c>
      <c r="AK8" s="151">
        <v>1</v>
      </c>
      <c r="AL8" s="7">
        <v>1</v>
      </c>
      <c r="AM8" s="7">
        <v>100</v>
      </c>
      <c r="AN8" s="151" t="s">
        <v>21</v>
      </c>
      <c r="AO8" s="7" t="s">
        <v>21</v>
      </c>
      <c r="AP8" s="7" t="s">
        <v>21</v>
      </c>
      <c r="AQ8" s="151">
        <v>1</v>
      </c>
      <c r="AR8" s="7">
        <v>2</v>
      </c>
      <c r="AS8" s="156">
        <f t="shared" ref="AS8" si="15">SUM(AQ8/AR8)*100</f>
        <v>50</v>
      </c>
      <c r="AT8" s="151" t="s">
        <v>21</v>
      </c>
      <c r="AU8" s="7" t="s">
        <v>21</v>
      </c>
      <c r="AV8" s="7" t="s">
        <v>21</v>
      </c>
      <c r="AW8" s="7" t="s">
        <v>21</v>
      </c>
      <c r="AX8" s="7" t="s">
        <v>21</v>
      </c>
      <c r="AY8" s="7" t="s">
        <v>21</v>
      </c>
      <c r="AZ8" s="7" t="s">
        <v>21</v>
      </c>
      <c r="BA8" s="7" t="s">
        <v>21</v>
      </c>
      <c r="BB8" s="7" t="s">
        <v>21</v>
      </c>
    </row>
    <row r="9" spans="1:60" ht="14.95" customHeight="1" thickBot="1" x14ac:dyDescent="0.3">
      <c r="A9" s="340" t="s">
        <v>45</v>
      </c>
      <c r="B9" s="346">
        <v>4</v>
      </c>
      <c r="C9" s="347">
        <v>0</v>
      </c>
      <c r="D9" s="399">
        <v>0</v>
      </c>
      <c r="E9" s="348">
        <v>0</v>
      </c>
      <c r="F9" s="349">
        <f t="shared" si="2"/>
        <v>4</v>
      </c>
      <c r="G9" s="339" t="s">
        <v>45</v>
      </c>
      <c r="H9" s="147">
        <v>20</v>
      </c>
      <c r="I9" s="312">
        <v>0</v>
      </c>
      <c r="J9" s="401">
        <v>0</v>
      </c>
      <c r="K9" s="247">
        <v>0</v>
      </c>
      <c r="L9" s="76">
        <f t="shared" si="3"/>
        <v>20</v>
      </c>
      <c r="M9" s="340" t="s">
        <v>609</v>
      </c>
      <c r="N9" s="349" t="s">
        <v>21</v>
      </c>
      <c r="O9" s="349" t="s">
        <v>21</v>
      </c>
      <c r="P9" s="350" t="s">
        <v>21</v>
      </c>
      <c r="Q9" s="349" t="s">
        <v>21</v>
      </c>
      <c r="R9" s="349" t="s">
        <v>21</v>
      </c>
      <c r="S9" s="350" t="s">
        <v>21</v>
      </c>
      <c r="T9" s="349" t="s">
        <v>25</v>
      </c>
      <c r="U9" s="349">
        <v>2</v>
      </c>
      <c r="V9" s="7" t="s">
        <v>21</v>
      </c>
      <c r="W9" s="7" t="s">
        <v>21</v>
      </c>
      <c r="X9" s="156" t="s">
        <v>21</v>
      </c>
      <c r="Y9" s="7" t="s">
        <v>21</v>
      </c>
      <c r="Z9" s="7" t="s">
        <v>21</v>
      </c>
      <c r="AA9" s="156" t="s">
        <v>21</v>
      </c>
      <c r="AB9" s="94"/>
      <c r="AC9" s="95"/>
      <c r="AD9" s="206"/>
      <c r="AE9" s="7" t="s">
        <v>21</v>
      </c>
      <c r="AF9" s="7" t="s">
        <v>21</v>
      </c>
      <c r="AG9" s="156" t="s">
        <v>21</v>
      </c>
      <c r="AH9" s="7" t="s">
        <v>21</v>
      </c>
      <c r="AI9" s="7" t="s">
        <v>21</v>
      </c>
      <c r="AJ9" s="156" t="s">
        <v>21</v>
      </c>
      <c r="AK9" s="7" t="s">
        <v>21</v>
      </c>
      <c r="AL9" s="7" t="s">
        <v>21</v>
      </c>
      <c r="AM9" s="156" t="s">
        <v>21</v>
      </c>
      <c r="AN9" s="7" t="s">
        <v>21</v>
      </c>
      <c r="AO9" s="7" t="s">
        <v>21</v>
      </c>
      <c r="AP9" s="156" t="s">
        <v>21</v>
      </c>
      <c r="AQ9" s="7" t="s">
        <v>21</v>
      </c>
      <c r="AR9" s="7" t="s">
        <v>21</v>
      </c>
      <c r="AS9" s="156" t="s">
        <v>21</v>
      </c>
      <c r="AT9" s="7" t="s">
        <v>21</v>
      </c>
      <c r="AU9" s="7" t="s">
        <v>21</v>
      </c>
      <c r="AV9" s="156" t="s">
        <v>21</v>
      </c>
      <c r="AW9" s="7" t="s">
        <v>21</v>
      </c>
      <c r="AX9" s="7" t="s">
        <v>21</v>
      </c>
      <c r="AY9" s="156" t="s">
        <v>21</v>
      </c>
      <c r="AZ9" s="7" t="s">
        <v>21</v>
      </c>
      <c r="BA9" s="7" t="s">
        <v>21</v>
      </c>
      <c r="BB9" s="156" t="s">
        <v>21</v>
      </c>
    </row>
    <row r="10" spans="1:60" ht="14.95" customHeight="1" thickBot="1" x14ac:dyDescent="0.3">
      <c r="A10" s="340" t="s">
        <v>937</v>
      </c>
      <c r="B10" s="346">
        <v>3</v>
      </c>
      <c r="C10" s="347">
        <v>2</v>
      </c>
      <c r="D10" s="399">
        <v>0</v>
      </c>
      <c r="E10" s="348">
        <v>0</v>
      </c>
      <c r="F10" s="349">
        <f t="shared" si="2"/>
        <v>5</v>
      </c>
      <c r="G10" s="339" t="s">
        <v>937</v>
      </c>
      <c r="H10" s="147">
        <v>15</v>
      </c>
      <c r="I10" s="312">
        <v>10</v>
      </c>
      <c r="J10" s="401">
        <v>0</v>
      </c>
      <c r="K10" s="247">
        <v>0</v>
      </c>
      <c r="L10" s="76">
        <f t="shared" si="3"/>
        <v>25</v>
      </c>
      <c r="M10" s="340" t="s">
        <v>6</v>
      </c>
      <c r="N10" s="349" t="s">
        <v>21</v>
      </c>
      <c r="O10" s="349" t="s">
        <v>21</v>
      </c>
      <c r="P10" s="350" t="s">
        <v>21</v>
      </c>
      <c r="Q10" s="349" t="s">
        <v>21</v>
      </c>
      <c r="R10" s="349" t="s">
        <v>21</v>
      </c>
      <c r="S10" s="350" t="s">
        <v>21</v>
      </c>
      <c r="T10" s="349" t="s">
        <v>25</v>
      </c>
      <c r="U10" s="349">
        <v>2</v>
      </c>
      <c r="V10" s="7" t="s">
        <v>21</v>
      </c>
      <c r="W10" s="7" t="s">
        <v>21</v>
      </c>
      <c r="X10" s="156" t="s">
        <v>21</v>
      </c>
      <c r="Y10" s="7" t="s">
        <v>21</v>
      </c>
      <c r="Z10" s="7" t="s">
        <v>21</v>
      </c>
      <c r="AA10" s="156" t="s">
        <v>21</v>
      </c>
      <c r="AB10" s="94"/>
      <c r="AC10" s="95"/>
      <c r="AD10" s="206"/>
      <c r="AE10" s="151" t="s">
        <v>21</v>
      </c>
      <c r="AF10" s="7" t="s">
        <v>21</v>
      </c>
      <c r="AG10" s="7" t="s">
        <v>21</v>
      </c>
      <c r="AH10" s="151" t="s">
        <v>21</v>
      </c>
      <c r="AI10" s="7" t="s">
        <v>21</v>
      </c>
      <c r="AJ10" s="7" t="s">
        <v>21</v>
      </c>
      <c r="AK10" s="151" t="s">
        <v>21</v>
      </c>
      <c r="AL10" s="7" t="s">
        <v>21</v>
      </c>
      <c r="AM10" s="7" t="s">
        <v>21</v>
      </c>
      <c r="AN10" s="151" t="s">
        <v>21</v>
      </c>
      <c r="AO10" s="7" t="s">
        <v>21</v>
      </c>
      <c r="AP10" s="7" t="s">
        <v>21</v>
      </c>
      <c r="AQ10" s="151" t="s">
        <v>21</v>
      </c>
      <c r="AR10" s="7" t="s">
        <v>21</v>
      </c>
      <c r="AS10" s="7" t="s">
        <v>21</v>
      </c>
      <c r="AT10" s="7" t="s">
        <v>21</v>
      </c>
      <c r="AU10" s="7" t="s">
        <v>21</v>
      </c>
      <c r="AV10" s="7" t="s">
        <v>21</v>
      </c>
      <c r="AW10" s="7" t="s">
        <v>21</v>
      </c>
      <c r="AX10" s="7" t="s">
        <v>21</v>
      </c>
      <c r="AY10" s="7" t="s">
        <v>21</v>
      </c>
      <c r="AZ10" s="7" t="s">
        <v>21</v>
      </c>
      <c r="BA10" s="7" t="s">
        <v>21</v>
      </c>
      <c r="BB10" s="7" t="s">
        <v>21</v>
      </c>
    </row>
    <row r="11" spans="1:60" ht="14.95" customHeight="1" thickBot="1" x14ac:dyDescent="0.3">
      <c r="A11" s="340" t="s">
        <v>86</v>
      </c>
      <c r="B11" s="346">
        <v>5</v>
      </c>
      <c r="C11" s="347">
        <v>0</v>
      </c>
      <c r="D11" s="399">
        <v>1</v>
      </c>
      <c r="E11" s="348">
        <v>0</v>
      </c>
      <c r="F11" s="349">
        <f t="shared" si="2"/>
        <v>6</v>
      </c>
      <c r="G11" s="339" t="s">
        <v>86</v>
      </c>
      <c r="H11" s="147">
        <v>25</v>
      </c>
      <c r="I11" s="312">
        <v>0</v>
      </c>
      <c r="J11" s="401">
        <v>5</v>
      </c>
      <c r="K11" s="247">
        <v>0</v>
      </c>
      <c r="L11" s="76">
        <f t="shared" si="3"/>
        <v>30</v>
      </c>
    </row>
    <row r="12" spans="1:60" ht="14.95" customHeight="1" thickBot="1" x14ac:dyDescent="0.3">
      <c r="A12" s="340" t="s">
        <v>84</v>
      </c>
      <c r="B12" s="346">
        <v>0</v>
      </c>
      <c r="C12" s="347">
        <v>0</v>
      </c>
      <c r="D12" s="399">
        <v>0</v>
      </c>
      <c r="E12" s="348">
        <v>0</v>
      </c>
      <c r="F12" s="349">
        <f t="shared" si="2"/>
        <v>0</v>
      </c>
      <c r="G12" s="339" t="s">
        <v>84</v>
      </c>
      <c r="H12" s="147">
        <v>0</v>
      </c>
      <c r="I12" s="312">
        <v>0</v>
      </c>
      <c r="J12" s="401">
        <v>0</v>
      </c>
      <c r="K12" s="247">
        <v>0</v>
      </c>
      <c r="L12" s="76">
        <f t="shared" si="3"/>
        <v>0</v>
      </c>
      <c r="M12" s="498" t="s">
        <v>302</v>
      </c>
      <c r="N12" s="436" t="s">
        <v>20</v>
      </c>
      <c r="O12" s="437"/>
      <c r="P12" s="438"/>
      <c r="Q12" s="422" t="s">
        <v>365</v>
      </c>
      <c r="R12" s="423"/>
      <c r="S12" s="424"/>
      <c r="T12" s="422" t="s">
        <v>854</v>
      </c>
      <c r="U12" s="423"/>
      <c r="V12" s="424"/>
      <c r="W12" s="422" t="s">
        <v>700</v>
      </c>
      <c r="X12" s="423"/>
      <c r="Y12" s="424"/>
      <c r="Z12" s="86"/>
      <c r="AA12" s="86"/>
      <c r="AB12" s="86"/>
      <c r="AE12" s="422" t="s">
        <v>518</v>
      </c>
      <c r="AF12" s="423"/>
      <c r="AG12" s="424"/>
      <c r="AH12" s="428" t="s">
        <v>356</v>
      </c>
      <c r="AI12" s="429"/>
      <c r="AJ12" s="430"/>
      <c r="AK12" s="428" t="s">
        <v>272</v>
      </c>
      <c r="AL12" s="429"/>
      <c r="AM12" s="430"/>
      <c r="AN12" s="428" t="s">
        <v>115</v>
      </c>
      <c r="AO12" s="429"/>
      <c r="AP12" s="430"/>
      <c r="AQ12" s="428" t="s">
        <v>83</v>
      </c>
      <c r="AR12" s="429"/>
      <c r="AS12" s="430"/>
      <c r="AT12" s="428" t="s">
        <v>78</v>
      </c>
      <c r="AU12" s="429"/>
      <c r="AV12" s="430"/>
      <c r="AW12" s="428" t="s">
        <v>60</v>
      </c>
      <c r="AX12" s="429"/>
      <c r="AY12" s="430"/>
    </row>
    <row r="13" spans="1:60" ht="14.95" customHeight="1" thickBot="1" x14ac:dyDescent="0.3">
      <c r="A13" s="340" t="s">
        <v>290</v>
      </c>
      <c r="B13" s="346">
        <v>0</v>
      </c>
      <c r="C13" s="347">
        <v>1</v>
      </c>
      <c r="D13" s="399">
        <v>0</v>
      </c>
      <c r="E13" s="348">
        <v>0</v>
      </c>
      <c r="F13" s="349">
        <f t="shared" si="2"/>
        <v>1</v>
      </c>
      <c r="G13" s="339" t="s">
        <v>157</v>
      </c>
      <c r="H13" s="147">
        <v>0</v>
      </c>
      <c r="I13" s="312">
        <v>9</v>
      </c>
      <c r="J13" s="401">
        <v>0</v>
      </c>
      <c r="K13" s="247">
        <v>21</v>
      </c>
      <c r="L13" s="76">
        <f t="shared" si="3"/>
        <v>30</v>
      </c>
      <c r="M13" s="499"/>
      <c r="N13" s="439"/>
      <c r="O13" s="440"/>
      <c r="P13" s="441"/>
      <c r="Q13" s="425"/>
      <c r="R13" s="426"/>
      <c r="S13" s="427"/>
      <c r="T13" s="425"/>
      <c r="U13" s="426"/>
      <c r="V13" s="427"/>
      <c r="W13" s="425"/>
      <c r="X13" s="426"/>
      <c r="Y13" s="427"/>
      <c r="Z13" s="86"/>
      <c r="AA13" s="86"/>
      <c r="AB13" s="86"/>
      <c r="AE13" s="425"/>
      <c r="AF13" s="426"/>
      <c r="AG13" s="427"/>
      <c r="AH13" s="431"/>
      <c r="AI13" s="432"/>
      <c r="AJ13" s="433"/>
      <c r="AK13" s="431"/>
      <c r="AL13" s="432"/>
      <c r="AM13" s="433"/>
      <c r="AN13" s="431"/>
      <c r="AO13" s="432"/>
      <c r="AP13" s="433"/>
      <c r="AQ13" s="431"/>
      <c r="AR13" s="432"/>
      <c r="AS13" s="433"/>
      <c r="AT13" s="431"/>
      <c r="AU13" s="432"/>
      <c r="AV13" s="433"/>
      <c r="AW13" s="431"/>
      <c r="AX13" s="432"/>
      <c r="AY13" s="433"/>
    </row>
    <row r="14" spans="1:60" ht="14.95" customHeight="1" thickBot="1" x14ac:dyDescent="0.3">
      <c r="A14" s="340" t="s">
        <v>966</v>
      </c>
      <c r="B14" s="346">
        <v>0</v>
      </c>
      <c r="C14" s="347">
        <v>1</v>
      </c>
      <c r="D14" s="399">
        <v>0</v>
      </c>
      <c r="E14" s="348">
        <v>0</v>
      </c>
      <c r="F14" s="349">
        <f t="shared" si="2"/>
        <v>1</v>
      </c>
      <c r="G14" s="339" t="s">
        <v>966</v>
      </c>
      <c r="H14" s="147">
        <v>0</v>
      </c>
      <c r="I14" s="312">
        <v>5</v>
      </c>
      <c r="J14" s="401">
        <v>0</v>
      </c>
      <c r="K14" s="247">
        <v>0</v>
      </c>
      <c r="L14" s="76">
        <f t="shared" si="3"/>
        <v>5</v>
      </c>
      <c r="M14" s="278" t="s">
        <v>30</v>
      </c>
      <c r="N14" s="3" t="s">
        <v>74</v>
      </c>
      <c r="O14" s="3" t="s">
        <v>15</v>
      </c>
      <c r="P14" s="3" t="s">
        <v>16</v>
      </c>
      <c r="Q14" s="7" t="s">
        <v>74</v>
      </c>
      <c r="R14" s="7" t="s">
        <v>15</v>
      </c>
      <c r="S14" s="7" t="s">
        <v>16</v>
      </c>
      <c r="T14" s="7" t="s">
        <v>74</v>
      </c>
      <c r="U14" s="7" t="s">
        <v>15</v>
      </c>
      <c r="V14" s="7" t="s">
        <v>16</v>
      </c>
      <c r="W14" s="7" t="s">
        <v>74</v>
      </c>
      <c r="X14" s="7" t="s">
        <v>15</v>
      </c>
      <c r="Y14" s="7" t="s">
        <v>16</v>
      </c>
      <c r="AE14" s="151" t="s">
        <v>74</v>
      </c>
      <c r="AF14" s="7" t="s">
        <v>15</v>
      </c>
      <c r="AG14" s="7" t="s">
        <v>16</v>
      </c>
      <c r="AH14" s="85" t="s">
        <v>74</v>
      </c>
      <c r="AI14" s="80" t="s">
        <v>15</v>
      </c>
      <c r="AJ14" s="80" t="s">
        <v>16</v>
      </c>
      <c r="AK14" s="85" t="s">
        <v>74</v>
      </c>
      <c r="AL14" s="80" t="s">
        <v>15</v>
      </c>
      <c r="AM14" s="80" t="s">
        <v>16</v>
      </c>
      <c r="AN14" s="85" t="s">
        <v>74</v>
      </c>
      <c r="AO14" s="80" t="s">
        <v>15</v>
      </c>
      <c r="AP14" s="80" t="s">
        <v>16</v>
      </c>
      <c r="AQ14" s="85" t="s">
        <v>74</v>
      </c>
      <c r="AR14" s="80" t="s">
        <v>15</v>
      </c>
      <c r="AS14" s="80" t="s">
        <v>16</v>
      </c>
      <c r="AT14" s="85" t="s">
        <v>74</v>
      </c>
      <c r="AU14" s="80" t="s">
        <v>15</v>
      </c>
      <c r="AV14" s="80" t="s">
        <v>16</v>
      </c>
      <c r="AW14" s="98" t="s">
        <v>74</v>
      </c>
      <c r="AX14" s="100" t="s">
        <v>15</v>
      </c>
      <c r="AY14" s="100" t="s">
        <v>16</v>
      </c>
    </row>
    <row r="15" spans="1:60" ht="14.95" customHeight="1" thickBot="1" x14ac:dyDescent="0.3">
      <c r="A15" s="340" t="s">
        <v>287</v>
      </c>
      <c r="B15" s="346">
        <v>1</v>
      </c>
      <c r="C15" s="347">
        <v>0</v>
      </c>
      <c r="D15" s="399">
        <v>0</v>
      </c>
      <c r="E15" s="348">
        <v>0</v>
      </c>
      <c r="F15" s="349">
        <f t="shared" si="2"/>
        <v>1</v>
      </c>
      <c r="G15" s="339" t="s">
        <v>287</v>
      </c>
      <c r="H15" s="147">
        <v>5</v>
      </c>
      <c r="I15" s="312">
        <v>0</v>
      </c>
      <c r="J15" s="401">
        <v>0</v>
      </c>
      <c r="K15" s="247">
        <v>0</v>
      </c>
      <c r="L15" s="76">
        <f t="shared" si="3"/>
        <v>5</v>
      </c>
      <c r="M15" s="340" t="s">
        <v>248</v>
      </c>
      <c r="N15" s="349">
        <v>1</v>
      </c>
      <c r="O15" s="349">
        <v>2</v>
      </c>
      <c r="P15" s="350">
        <f t="shared" ref="P15" si="16">SUM(N15/O15)*100</f>
        <v>50</v>
      </c>
      <c r="Q15" s="7" t="s">
        <v>21</v>
      </c>
      <c r="R15" s="7" t="s">
        <v>21</v>
      </c>
      <c r="S15" s="156" t="s">
        <v>21</v>
      </c>
      <c r="T15" s="7" t="s">
        <v>21</v>
      </c>
      <c r="U15" s="7" t="s">
        <v>21</v>
      </c>
      <c r="V15" s="156" t="s">
        <v>21</v>
      </c>
      <c r="W15" s="7" t="s">
        <v>21</v>
      </c>
      <c r="X15" s="7" t="s">
        <v>21</v>
      </c>
      <c r="Y15" s="156" t="s">
        <v>21</v>
      </c>
      <c r="AE15" s="151" t="s">
        <v>21</v>
      </c>
      <c r="AF15" s="7" t="s">
        <v>21</v>
      </c>
      <c r="AG15" s="7" t="s">
        <v>21</v>
      </c>
      <c r="AH15" s="151" t="s">
        <v>21</v>
      </c>
      <c r="AI15" s="7" t="s">
        <v>21</v>
      </c>
      <c r="AJ15" s="7" t="s">
        <v>21</v>
      </c>
      <c r="AK15" s="151" t="s">
        <v>21</v>
      </c>
      <c r="AL15" s="7" t="s">
        <v>21</v>
      </c>
      <c r="AM15" s="7" t="s">
        <v>21</v>
      </c>
      <c r="AN15" s="151" t="s">
        <v>21</v>
      </c>
      <c r="AO15" s="7" t="s">
        <v>21</v>
      </c>
      <c r="AP15" s="7" t="s">
        <v>21</v>
      </c>
      <c r="AQ15" s="6" t="s">
        <v>21</v>
      </c>
      <c r="AR15" s="7" t="s">
        <v>21</v>
      </c>
      <c r="AS15" s="7" t="s">
        <v>21</v>
      </c>
      <c r="AT15" s="6" t="s">
        <v>21</v>
      </c>
      <c r="AU15" s="7" t="s">
        <v>21</v>
      </c>
      <c r="AV15" s="7" t="s">
        <v>21</v>
      </c>
      <c r="AW15" s="7" t="s">
        <v>21</v>
      </c>
      <c r="AX15" s="7" t="s">
        <v>21</v>
      </c>
      <c r="AY15" s="7" t="s">
        <v>21</v>
      </c>
      <c r="AZ15" s="81"/>
      <c r="BA15" s="81"/>
    </row>
    <row r="16" spans="1:60" ht="14.95" customHeight="1" thickBot="1" x14ac:dyDescent="0.3">
      <c r="A16" s="340" t="s">
        <v>261</v>
      </c>
      <c r="B16" s="346">
        <v>0</v>
      </c>
      <c r="C16" s="347">
        <v>0</v>
      </c>
      <c r="D16" s="399">
        <v>0</v>
      </c>
      <c r="E16" s="348">
        <v>2</v>
      </c>
      <c r="F16" s="349">
        <f t="shared" si="2"/>
        <v>2</v>
      </c>
      <c r="G16" s="339" t="s">
        <v>261</v>
      </c>
      <c r="H16" s="147">
        <v>0</v>
      </c>
      <c r="I16" s="312">
        <v>0</v>
      </c>
      <c r="J16" s="401">
        <v>0</v>
      </c>
      <c r="K16" s="247">
        <v>10</v>
      </c>
      <c r="L16" s="76">
        <f t="shared" si="3"/>
        <v>10</v>
      </c>
      <c r="M16" s="340" t="s">
        <v>157</v>
      </c>
      <c r="N16" s="349">
        <v>2</v>
      </c>
      <c r="O16" s="349">
        <v>2</v>
      </c>
      <c r="P16" s="350">
        <f t="shared" ref="P16:P17" si="17">SUM(N16/O16)*100</f>
        <v>100</v>
      </c>
      <c r="Q16" s="7" t="s">
        <v>21</v>
      </c>
      <c r="R16" s="7" t="s">
        <v>21</v>
      </c>
      <c r="S16" s="156" t="s">
        <v>21</v>
      </c>
      <c r="T16" s="7" t="s">
        <v>21</v>
      </c>
      <c r="U16" s="7" t="s">
        <v>21</v>
      </c>
      <c r="V16" s="156" t="s">
        <v>21</v>
      </c>
      <c r="W16" s="7" t="s">
        <v>21</v>
      </c>
      <c r="X16" s="7" t="s">
        <v>21</v>
      </c>
      <c r="Y16" s="156" t="s">
        <v>21</v>
      </c>
      <c r="AE16" s="151">
        <v>1</v>
      </c>
      <c r="AF16" s="7">
        <v>1</v>
      </c>
      <c r="AG16" s="156">
        <v>100</v>
      </c>
      <c r="AH16" s="151" t="s">
        <v>21</v>
      </c>
      <c r="AI16" s="7" t="s">
        <v>21</v>
      </c>
      <c r="AJ16" s="7" t="s">
        <v>21</v>
      </c>
      <c r="AK16" s="151" t="s">
        <v>21</v>
      </c>
      <c r="AL16" s="7" t="s">
        <v>21</v>
      </c>
      <c r="AM16" s="7" t="s">
        <v>21</v>
      </c>
      <c r="AN16" s="151" t="s">
        <v>21</v>
      </c>
      <c r="AO16" s="7" t="s">
        <v>21</v>
      </c>
      <c r="AP16" s="7" t="s">
        <v>21</v>
      </c>
      <c r="AQ16" s="6" t="s">
        <v>21</v>
      </c>
      <c r="AR16" s="7" t="s">
        <v>21</v>
      </c>
      <c r="AS16" s="7" t="s">
        <v>21</v>
      </c>
      <c r="AT16" s="6" t="s">
        <v>21</v>
      </c>
      <c r="AU16" s="7" t="s">
        <v>21</v>
      </c>
      <c r="AV16" s="7" t="s">
        <v>21</v>
      </c>
      <c r="AW16" s="6" t="s">
        <v>21</v>
      </c>
      <c r="AX16" s="7" t="s">
        <v>21</v>
      </c>
      <c r="AY16" s="7" t="s">
        <v>21</v>
      </c>
      <c r="AZ16" s="81"/>
      <c r="BA16" s="81"/>
    </row>
    <row r="17" spans="1:53" ht="14.95" customHeight="1" thickBot="1" x14ac:dyDescent="0.3">
      <c r="A17" s="340" t="s">
        <v>253</v>
      </c>
      <c r="B17" s="346">
        <v>5</v>
      </c>
      <c r="C17" s="347">
        <v>0</v>
      </c>
      <c r="D17" s="399">
        <v>0</v>
      </c>
      <c r="E17" s="348">
        <v>0</v>
      </c>
      <c r="F17" s="349">
        <f t="shared" si="2"/>
        <v>5</v>
      </c>
      <c r="G17" s="339" t="s">
        <v>253</v>
      </c>
      <c r="H17" s="147">
        <v>63</v>
      </c>
      <c r="I17" s="312">
        <v>21</v>
      </c>
      <c r="J17" s="401">
        <v>5</v>
      </c>
      <c r="K17" s="247">
        <v>10</v>
      </c>
      <c r="L17" s="76">
        <f t="shared" si="3"/>
        <v>99</v>
      </c>
      <c r="M17" s="340" t="s">
        <v>253</v>
      </c>
      <c r="N17" s="349">
        <v>9</v>
      </c>
      <c r="O17" s="349">
        <v>9</v>
      </c>
      <c r="P17" s="350">
        <f t="shared" si="17"/>
        <v>100</v>
      </c>
      <c r="Q17" s="7">
        <v>9</v>
      </c>
      <c r="R17" s="7">
        <v>14</v>
      </c>
      <c r="S17" s="156">
        <v>64.285714285714292</v>
      </c>
      <c r="T17" s="7">
        <v>17</v>
      </c>
      <c r="U17" s="7">
        <v>22</v>
      </c>
      <c r="V17" s="156">
        <f t="shared" ref="V17" si="18">SUM(T17/U17)*100</f>
        <v>77.272727272727266</v>
      </c>
      <c r="W17" s="7">
        <v>2</v>
      </c>
      <c r="X17" s="7">
        <v>3</v>
      </c>
      <c r="Y17" s="156">
        <f t="shared" ref="Y17" si="19">SUM(W17/X17)*100</f>
        <v>66.666666666666657</v>
      </c>
      <c r="AE17" s="151">
        <v>2</v>
      </c>
      <c r="AF17" s="7">
        <v>4</v>
      </c>
      <c r="AG17" s="156">
        <v>50</v>
      </c>
      <c r="AH17" s="151" t="s">
        <v>21</v>
      </c>
      <c r="AI17" s="7" t="s">
        <v>21</v>
      </c>
      <c r="AJ17" s="7" t="s">
        <v>21</v>
      </c>
      <c r="AK17" s="151" t="s">
        <v>21</v>
      </c>
      <c r="AL17" s="7" t="s">
        <v>21</v>
      </c>
      <c r="AM17" s="7" t="s">
        <v>21</v>
      </c>
      <c r="AN17" s="151" t="s">
        <v>21</v>
      </c>
      <c r="AO17" s="7" t="s">
        <v>21</v>
      </c>
      <c r="AP17" s="7" t="s">
        <v>21</v>
      </c>
      <c r="AQ17" s="6" t="s">
        <v>21</v>
      </c>
      <c r="AR17" s="7" t="s">
        <v>21</v>
      </c>
      <c r="AS17" s="7" t="s">
        <v>21</v>
      </c>
      <c r="AT17" s="6" t="s">
        <v>21</v>
      </c>
      <c r="AU17" s="7" t="s">
        <v>21</v>
      </c>
      <c r="AV17" s="7" t="s">
        <v>21</v>
      </c>
      <c r="AW17" s="7" t="s">
        <v>21</v>
      </c>
      <c r="AX17" s="7" t="s">
        <v>21</v>
      </c>
      <c r="AY17" s="7" t="s">
        <v>21</v>
      </c>
      <c r="AZ17" s="81"/>
      <c r="BA17" s="81"/>
    </row>
    <row r="18" spans="1:53" ht="14.95" customHeight="1" thickBot="1" x14ac:dyDescent="0.3">
      <c r="A18" s="340" t="s">
        <v>619</v>
      </c>
      <c r="B18" s="346">
        <v>2</v>
      </c>
      <c r="C18" s="347">
        <v>2</v>
      </c>
      <c r="D18" s="399">
        <v>0</v>
      </c>
      <c r="E18" s="348">
        <v>5</v>
      </c>
      <c r="F18" s="349">
        <f t="shared" si="2"/>
        <v>9</v>
      </c>
      <c r="G18" s="339" t="s">
        <v>619</v>
      </c>
      <c r="H18" s="147">
        <v>10</v>
      </c>
      <c r="I18" s="312">
        <v>10</v>
      </c>
      <c r="J18" s="401">
        <v>0</v>
      </c>
      <c r="K18" s="247">
        <v>25</v>
      </c>
      <c r="L18" s="76">
        <f t="shared" si="3"/>
        <v>45</v>
      </c>
      <c r="M18" s="340" t="s">
        <v>838</v>
      </c>
      <c r="N18" s="349">
        <v>4</v>
      </c>
      <c r="O18" s="349">
        <v>6</v>
      </c>
      <c r="P18" s="350">
        <f t="shared" ref="P18" si="20">SUM(N18/O18)*100</f>
        <v>66.666666666666657</v>
      </c>
      <c r="Q18" s="7" t="s">
        <v>21</v>
      </c>
      <c r="R18" s="7" t="s">
        <v>21</v>
      </c>
      <c r="S18" s="156" t="s">
        <v>21</v>
      </c>
      <c r="T18" s="7">
        <v>10</v>
      </c>
      <c r="U18" s="7">
        <v>15</v>
      </c>
      <c r="V18" s="156">
        <v>66.666666666666657</v>
      </c>
      <c r="W18" s="7" t="s">
        <v>21</v>
      </c>
      <c r="X18" s="7" t="s">
        <v>21</v>
      </c>
      <c r="Y18" s="156" t="s">
        <v>21</v>
      </c>
      <c r="AE18" s="151">
        <v>16</v>
      </c>
      <c r="AF18" s="7">
        <v>19</v>
      </c>
      <c r="AG18" s="156">
        <v>84.210526315789465</v>
      </c>
      <c r="AH18" s="151">
        <v>17</v>
      </c>
      <c r="AI18" s="7">
        <v>21</v>
      </c>
      <c r="AJ18" s="7">
        <v>81</v>
      </c>
      <c r="AK18" s="151">
        <v>21</v>
      </c>
      <c r="AL18" s="7">
        <v>24</v>
      </c>
      <c r="AM18" s="7">
        <v>88</v>
      </c>
      <c r="AN18" s="151">
        <v>20</v>
      </c>
      <c r="AO18" s="7">
        <v>25</v>
      </c>
      <c r="AP18" s="7">
        <v>80</v>
      </c>
      <c r="AQ18" s="6">
        <v>15</v>
      </c>
      <c r="AR18" s="7">
        <v>21</v>
      </c>
      <c r="AS18" s="7">
        <v>71</v>
      </c>
      <c r="AT18" s="6">
        <v>27</v>
      </c>
      <c r="AU18" s="7">
        <v>34</v>
      </c>
      <c r="AV18" s="7">
        <v>79</v>
      </c>
      <c r="AW18" s="7">
        <v>27</v>
      </c>
      <c r="AX18" s="7">
        <v>40</v>
      </c>
      <c r="AY18" s="7">
        <v>68</v>
      </c>
      <c r="AZ18" s="81"/>
      <c r="BA18" s="81"/>
    </row>
    <row r="19" spans="1:53" ht="14.95" customHeight="1" thickBot="1" x14ac:dyDescent="0.3">
      <c r="A19" s="340" t="s">
        <v>910</v>
      </c>
      <c r="B19" s="346">
        <v>0</v>
      </c>
      <c r="C19" s="347">
        <v>0</v>
      </c>
      <c r="D19" s="399">
        <v>0</v>
      </c>
      <c r="E19" s="348">
        <v>1</v>
      </c>
      <c r="F19" s="349">
        <f t="shared" si="2"/>
        <v>1</v>
      </c>
      <c r="G19" s="339" t="s">
        <v>910</v>
      </c>
      <c r="H19" s="147">
        <v>0</v>
      </c>
      <c r="I19" s="312">
        <v>0</v>
      </c>
      <c r="J19" s="401">
        <v>0</v>
      </c>
      <c r="K19" s="247">
        <v>5</v>
      </c>
      <c r="L19" s="76">
        <f t="shared" si="3"/>
        <v>5</v>
      </c>
      <c r="M19" s="340" t="s">
        <v>6</v>
      </c>
      <c r="N19" s="349" t="s">
        <v>21</v>
      </c>
      <c r="O19" s="349" t="s">
        <v>21</v>
      </c>
      <c r="P19" s="350" t="s">
        <v>21</v>
      </c>
      <c r="Q19" s="7" t="s">
        <v>21</v>
      </c>
      <c r="R19" s="7" t="s">
        <v>21</v>
      </c>
      <c r="S19" s="156" t="s">
        <v>21</v>
      </c>
      <c r="T19" s="7" t="s">
        <v>21</v>
      </c>
      <c r="U19" s="7" t="s">
        <v>21</v>
      </c>
      <c r="V19" s="156" t="s">
        <v>21</v>
      </c>
      <c r="W19" s="7" t="s">
        <v>21</v>
      </c>
      <c r="X19" s="7" t="s">
        <v>21</v>
      </c>
      <c r="Y19" s="156" t="s">
        <v>21</v>
      </c>
      <c r="AE19" s="151">
        <v>2</v>
      </c>
      <c r="AF19" s="7">
        <v>2</v>
      </c>
      <c r="AG19" s="156">
        <v>50</v>
      </c>
      <c r="AH19" s="151" t="s">
        <v>21</v>
      </c>
      <c r="AI19" s="7" t="s">
        <v>21</v>
      </c>
      <c r="AJ19" s="7" t="s">
        <v>21</v>
      </c>
      <c r="AK19" s="151" t="s">
        <v>21</v>
      </c>
      <c r="AL19" s="7" t="s">
        <v>21</v>
      </c>
      <c r="AM19" s="7" t="s">
        <v>21</v>
      </c>
      <c r="AN19" s="151" t="s">
        <v>21</v>
      </c>
      <c r="AO19" s="7" t="s">
        <v>21</v>
      </c>
      <c r="AP19" s="7" t="s">
        <v>21</v>
      </c>
      <c r="AQ19" s="6" t="s">
        <v>21</v>
      </c>
      <c r="AR19" s="7" t="s">
        <v>21</v>
      </c>
      <c r="AS19" s="7" t="s">
        <v>21</v>
      </c>
      <c r="AT19" s="6" t="s">
        <v>21</v>
      </c>
      <c r="AU19" s="7" t="s">
        <v>21</v>
      </c>
      <c r="AV19" s="7" t="s">
        <v>21</v>
      </c>
      <c r="AW19" s="7" t="s">
        <v>21</v>
      </c>
      <c r="AX19" s="7" t="s">
        <v>21</v>
      </c>
      <c r="AY19" s="7" t="s">
        <v>21</v>
      </c>
      <c r="AZ19" s="81"/>
      <c r="BA19" s="81"/>
    </row>
    <row r="20" spans="1:53" ht="14.95" customHeight="1" thickBot="1" x14ac:dyDescent="0.3">
      <c r="A20" s="340" t="s">
        <v>311</v>
      </c>
      <c r="B20" s="346">
        <v>0</v>
      </c>
      <c r="C20" s="347">
        <v>0</v>
      </c>
      <c r="D20" s="399">
        <v>0</v>
      </c>
      <c r="E20" s="348">
        <v>0</v>
      </c>
      <c r="F20" s="349">
        <f t="shared" si="2"/>
        <v>0</v>
      </c>
      <c r="G20" s="339" t="s">
        <v>311</v>
      </c>
      <c r="H20" s="147">
        <v>105</v>
      </c>
      <c r="I20" s="312">
        <v>11</v>
      </c>
      <c r="J20" s="401">
        <v>0</v>
      </c>
      <c r="K20" s="247">
        <v>0</v>
      </c>
      <c r="L20" s="76">
        <f t="shared" si="3"/>
        <v>116</v>
      </c>
      <c r="AH20" s="82" t="s">
        <v>30</v>
      </c>
      <c r="AI20" s="82" t="s">
        <v>30</v>
      </c>
    </row>
    <row r="21" spans="1:53" ht="14.95" customHeight="1" thickBot="1" x14ac:dyDescent="0.3">
      <c r="A21" s="340" t="s">
        <v>767</v>
      </c>
      <c r="B21" s="346">
        <v>0</v>
      </c>
      <c r="C21" s="347">
        <v>0</v>
      </c>
      <c r="D21" s="399">
        <v>0</v>
      </c>
      <c r="E21" s="348">
        <v>0</v>
      </c>
      <c r="F21" s="349">
        <f t="shared" si="2"/>
        <v>0</v>
      </c>
      <c r="G21" s="339" t="s">
        <v>767</v>
      </c>
      <c r="H21" s="147">
        <v>0</v>
      </c>
      <c r="I21" s="312">
        <v>0</v>
      </c>
      <c r="J21" s="401">
        <v>0</v>
      </c>
      <c r="K21" s="247">
        <v>0</v>
      </c>
      <c r="L21" s="76">
        <f t="shared" si="3"/>
        <v>0</v>
      </c>
      <c r="M21" s="496" t="s">
        <v>303</v>
      </c>
      <c r="N21" s="476" t="s">
        <v>20</v>
      </c>
      <c r="O21" s="477"/>
      <c r="P21" s="478"/>
      <c r="Q21" s="422" t="s">
        <v>365</v>
      </c>
      <c r="R21" s="423"/>
      <c r="S21" s="424"/>
      <c r="T21" s="422" t="s">
        <v>854</v>
      </c>
      <c r="U21" s="423"/>
      <c r="V21" s="424"/>
      <c r="W21" s="422" t="s">
        <v>700</v>
      </c>
      <c r="X21" s="423"/>
      <c r="Y21" s="424"/>
      <c r="AE21" s="422" t="s">
        <v>518</v>
      </c>
      <c r="AF21" s="423"/>
      <c r="AG21" s="424"/>
      <c r="AH21" s="428" t="s">
        <v>356</v>
      </c>
      <c r="AI21" s="429"/>
      <c r="AJ21" s="430"/>
      <c r="AK21" s="428" t="s">
        <v>272</v>
      </c>
      <c r="AL21" s="429"/>
      <c r="AM21" s="430"/>
      <c r="AN21" s="428" t="s">
        <v>115</v>
      </c>
      <c r="AO21" s="429"/>
      <c r="AP21" s="430"/>
      <c r="AQ21" s="428" t="s">
        <v>83</v>
      </c>
      <c r="AR21" s="429"/>
      <c r="AS21" s="430"/>
      <c r="AT21" s="428" t="s">
        <v>78</v>
      </c>
      <c r="AU21" s="429"/>
      <c r="AV21" s="430"/>
      <c r="AW21" s="428" t="s">
        <v>60</v>
      </c>
      <c r="AX21" s="429"/>
      <c r="AY21" s="430"/>
    </row>
    <row r="22" spans="1:53" ht="14.95" customHeight="1" thickBot="1" x14ac:dyDescent="0.3">
      <c r="A22" s="340" t="s">
        <v>27</v>
      </c>
      <c r="B22" s="346">
        <v>0</v>
      </c>
      <c r="C22" s="347">
        <v>0</v>
      </c>
      <c r="D22" s="399">
        <v>0</v>
      </c>
      <c r="E22" s="348">
        <v>0</v>
      </c>
      <c r="F22" s="349">
        <f t="shared" si="2"/>
        <v>0</v>
      </c>
      <c r="G22" s="339" t="s">
        <v>27</v>
      </c>
      <c r="H22" s="147">
        <v>0</v>
      </c>
      <c r="I22" s="312">
        <v>0</v>
      </c>
      <c r="J22" s="401">
        <v>0</v>
      </c>
      <c r="K22" s="247">
        <v>0</v>
      </c>
      <c r="L22" s="76">
        <f t="shared" si="3"/>
        <v>0</v>
      </c>
      <c r="M22" s="497"/>
      <c r="N22" s="479"/>
      <c r="O22" s="480"/>
      <c r="P22" s="481"/>
      <c r="Q22" s="425"/>
      <c r="R22" s="426"/>
      <c r="S22" s="427"/>
      <c r="T22" s="425"/>
      <c r="U22" s="426"/>
      <c r="V22" s="427"/>
      <c r="W22" s="425"/>
      <c r="X22" s="426"/>
      <c r="Y22" s="427"/>
      <c r="AE22" s="425"/>
      <c r="AF22" s="426"/>
      <c r="AG22" s="427"/>
      <c r="AH22" s="431"/>
      <c r="AI22" s="432"/>
      <c r="AJ22" s="433"/>
      <c r="AK22" s="431"/>
      <c r="AL22" s="432"/>
      <c r="AM22" s="433"/>
      <c r="AN22" s="431"/>
      <c r="AO22" s="432"/>
      <c r="AP22" s="433"/>
      <c r="AQ22" s="431"/>
      <c r="AR22" s="432"/>
      <c r="AS22" s="433"/>
      <c r="AT22" s="431"/>
      <c r="AU22" s="432"/>
      <c r="AV22" s="433"/>
      <c r="AW22" s="431"/>
      <c r="AX22" s="432"/>
      <c r="AY22" s="433"/>
    </row>
    <row r="23" spans="1:53" ht="14.95" customHeight="1" thickBot="1" x14ac:dyDescent="0.3">
      <c r="A23" s="340" t="s">
        <v>680</v>
      </c>
      <c r="B23" s="346">
        <v>0</v>
      </c>
      <c r="C23" s="347">
        <v>0</v>
      </c>
      <c r="D23" s="399">
        <v>0</v>
      </c>
      <c r="E23" s="348">
        <v>0</v>
      </c>
      <c r="F23" s="349">
        <f t="shared" si="2"/>
        <v>0</v>
      </c>
      <c r="G23" s="339" t="s">
        <v>680</v>
      </c>
      <c r="H23" s="147">
        <v>0</v>
      </c>
      <c r="I23" s="312">
        <v>0</v>
      </c>
      <c r="J23" s="401">
        <v>0</v>
      </c>
      <c r="K23" s="247">
        <v>0</v>
      </c>
      <c r="L23" s="76">
        <f t="shared" si="3"/>
        <v>0</v>
      </c>
      <c r="M23" s="313" t="s">
        <v>30</v>
      </c>
      <c r="N23" s="167" t="s">
        <v>74</v>
      </c>
      <c r="O23" s="167" t="s">
        <v>15</v>
      </c>
      <c r="P23" s="167" t="s">
        <v>16</v>
      </c>
      <c r="Q23" s="7" t="s">
        <v>74</v>
      </c>
      <c r="R23" s="7" t="s">
        <v>15</v>
      </c>
      <c r="S23" s="7" t="s">
        <v>16</v>
      </c>
      <c r="T23" s="7" t="s">
        <v>74</v>
      </c>
      <c r="U23" s="7" t="s">
        <v>15</v>
      </c>
      <c r="V23" s="7" t="s">
        <v>16</v>
      </c>
      <c r="W23" s="7" t="s">
        <v>74</v>
      </c>
      <c r="X23" s="7" t="s">
        <v>15</v>
      </c>
      <c r="Y23" s="7" t="s">
        <v>16</v>
      </c>
      <c r="AE23" s="151" t="s">
        <v>74</v>
      </c>
      <c r="AF23" s="7" t="s">
        <v>15</v>
      </c>
      <c r="AG23" s="7" t="s">
        <v>16</v>
      </c>
      <c r="AH23" s="85" t="s">
        <v>74</v>
      </c>
      <c r="AI23" s="80" t="s">
        <v>15</v>
      </c>
      <c r="AJ23" s="80" t="s">
        <v>16</v>
      </c>
      <c r="AK23" s="85" t="s">
        <v>74</v>
      </c>
      <c r="AL23" s="80" t="s">
        <v>15</v>
      </c>
      <c r="AM23" s="80" t="s">
        <v>16</v>
      </c>
      <c r="AN23" s="85" t="s">
        <v>74</v>
      </c>
      <c r="AO23" s="80" t="s">
        <v>15</v>
      </c>
      <c r="AP23" s="80" t="s">
        <v>16</v>
      </c>
      <c r="AQ23" s="85" t="s">
        <v>74</v>
      </c>
      <c r="AR23" s="80" t="s">
        <v>15</v>
      </c>
      <c r="AS23" s="80" t="s">
        <v>16</v>
      </c>
      <c r="AT23" s="85" t="s">
        <v>74</v>
      </c>
      <c r="AU23" s="80" t="s">
        <v>15</v>
      </c>
      <c r="AV23" s="80" t="s">
        <v>16</v>
      </c>
      <c r="AW23" s="98" t="s">
        <v>74</v>
      </c>
      <c r="AX23" s="100" t="s">
        <v>15</v>
      </c>
      <c r="AY23" s="100" t="s">
        <v>16</v>
      </c>
    </row>
    <row r="24" spans="1:53" ht="14.95" customHeight="1" thickBot="1" x14ac:dyDescent="0.3">
      <c r="A24" s="340" t="s">
        <v>41</v>
      </c>
      <c r="B24" s="346">
        <v>2</v>
      </c>
      <c r="C24" s="347">
        <v>2</v>
      </c>
      <c r="D24" s="399">
        <v>0</v>
      </c>
      <c r="E24" s="348">
        <v>0</v>
      </c>
      <c r="F24" s="349">
        <f t="shared" si="2"/>
        <v>4</v>
      </c>
      <c r="G24" s="339" t="s">
        <v>41</v>
      </c>
      <c r="H24" s="147">
        <v>10</v>
      </c>
      <c r="I24" s="312">
        <v>10</v>
      </c>
      <c r="J24" s="401">
        <v>0</v>
      </c>
      <c r="K24" s="247">
        <v>0</v>
      </c>
      <c r="L24" s="76">
        <f t="shared" si="3"/>
        <v>20</v>
      </c>
      <c r="M24" s="340" t="s">
        <v>157</v>
      </c>
      <c r="N24" s="349" t="s">
        <v>21</v>
      </c>
      <c r="O24" s="349" t="s">
        <v>21</v>
      </c>
      <c r="P24" s="350" t="s">
        <v>21</v>
      </c>
      <c r="Q24" s="7" t="s">
        <v>21</v>
      </c>
      <c r="R24" s="7" t="s">
        <v>21</v>
      </c>
      <c r="S24" s="156" t="s">
        <v>21</v>
      </c>
      <c r="T24" s="7" t="s">
        <v>21</v>
      </c>
      <c r="U24" s="7" t="s">
        <v>21</v>
      </c>
      <c r="V24" s="156" t="s">
        <v>21</v>
      </c>
      <c r="W24" s="7" t="s">
        <v>21</v>
      </c>
      <c r="X24" s="7" t="s">
        <v>21</v>
      </c>
      <c r="Y24" s="156" t="s">
        <v>21</v>
      </c>
      <c r="AE24" s="151" t="s">
        <v>21</v>
      </c>
      <c r="AF24" s="7" t="s">
        <v>21</v>
      </c>
      <c r="AG24" s="156" t="s">
        <v>21</v>
      </c>
      <c r="AH24" s="151" t="s">
        <v>21</v>
      </c>
      <c r="AI24" s="7" t="s">
        <v>21</v>
      </c>
      <c r="AJ24" s="7" t="s">
        <v>21</v>
      </c>
      <c r="AK24" s="151" t="s">
        <v>21</v>
      </c>
      <c r="AL24" s="7" t="s">
        <v>21</v>
      </c>
      <c r="AM24" s="7" t="s">
        <v>21</v>
      </c>
      <c r="AN24" s="151" t="s">
        <v>21</v>
      </c>
      <c r="AO24" s="7" t="s">
        <v>21</v>
      </c>
      <c r="AP24" s="7" t="s">
        <v>21</v>
      </c>
      <c r="AQ24" s="6" t="s">
        <v>21</v>
      </c>
      <c r="AR24" s="7" t="s">
        <v>21</v>
      </c>
      <c r="AS24" s="7" t="s">
        <v>21</v>
      </c>
      <c r="AT24" s="6" t="s">
        <v>21</v>
      </c>
      <c r="AU24" s="7" t="s">
        <v>21</v>
      </c>
      <c r="AV24" s="7" t="s">
        <v>21</v>
      </c>
      <c r="AW24" s="6" t="s">
        <v>21</v>
      </c>
      <c r="AX24" s="7" t="s">
        <v>21</v>
      </c>
      <c r="AY24" s="7" t="s">
        <v>21</v>
      </c>
      <c r="AZ24" s="81"/>
      <c r="BA24" s="81"/>
    </row>
    <row r="25" spans="1:53" ht="14.95" customHeight="1" thickBot="1" x14ac:dyDescent="0.3">
      <c r="A25" s="340" t="s">
        <v>106</v>
      </c>
      <c r="B25" s="346">
        <v>0</v>
      </c>
      <c r="C25" s="347">
        <v>0</v>
      </c>
      <c r="D25" s="399">
        <v>0</v>
      </c>
      <c r="E25" s="348">
        <v>0</v>
      </c>
      <c r="F25" s="349">
        <f t="shared" si="2"/>
        <v>0</v>
      </c>
      <c r="G25" s="339" t="s">
        <v>107</v>
      </c>
      <c r="H25" s="147">
        <v>0</v>
      </c>
      <c r="I25" s="312">
        <v>0</v>
      </c>
      <c r="J25" s="401">
        <v>0</v>
      </c>
      <c r="K25" s="247">
        <v>0</v>
      </c>
      <c r="L25" s="76">
        <f t="shared" si="3"/>
        <v>0</v>
      </c>
      <c r="M25" s="340" t="s">
        <v>253</v>
      </c>
      <c r="N25" s="349">
        <v>2</v>
      </c>
      <c r="O25" s="349">
        <v>3</v>
      </c>
      <c r="P25" s="350">
        <f t="shared" ref="P25" si="21">SUM(N25/O25)*100</f>
        <v>66.666666666666657</v>
      </c>
      <c r="Q25" s="7" t="s">
        <v>21</v>
      </c>
      <c r="R25" s="7" t="s">
        <v>21</v>
      </c>
      <c r="S25" s="156" t="s">
        <v>21</v>
      </c>
      <c r="T25" s="7" t="s">
        <v>21</v>
      </c>
      <c r="U25" s="7" t="s">
        <v>21</v>
      </c>
      <c r="V25" s="156" t="s">
        <v>21</v>
      </c>
      <c r="W25" s="7" t="s">
        <v>21</v>
      </c>
      <c r="X25" s="7" t="s">
        <v>21</v>
      </c>
      <c r="Y25" s="156" t="s">
        <v>21</v>
      </c>
      <c r="AE25" s="151">
        <v>2</v>
      </c>
      <c r="AF25" s="7">
        <v>3</v>
      </c>
      <c r="AG25" s="156">
        <f t="shared" ref="AG25" si="22">SUM(AE25/AF25)*100</f>
        <v>66.666666666666657</v>
      </c>
      <c r="AH25" s="151">
        <v>2</v>
      </c>
      <c r="AI25" s="7">
        <v>2</v>
      </c>
      <c r="AJ25" s="156">
        <f t="shared" ref="AJ25" si="23">SUM(AH25/AI25)*100</f>
        <v>100</v>
      </c>
      <c r="AK25" s="151" t="s">
        <v>21</v>
      </c>
      <c r="AL25" s="7" t="s">
        <v>21</v>
      </c>
      <c r="AM25" s="7" t="s">
        <v>21</v>
      </c>
      <c r="AN25" s="151" t="s">
        <v>21</v>
      </c>
      <c r="AO25" s="7" t="s">
        <v>21</v>
      </c>
      <c r="AP25" s="7" t="s">
        <v>21</v>
      </c>
      <c r="AQ25" s="6" t="s">
        <v>21</v>
      </c>
      <c r="AR25" s="7" t="s">
        <v>21</v>
      </c>
      <c r="AS25" s="7" t="s">
        <v>21</v>
      </c>
      <c r="AT25" s="6" t="s">
        <v>21</v>
      </c>
      <c r="AU25" s="7" t="s">
        <v>21</v>
      </c>
      <c r="AV25" s="7" t="s">
        <v>21</v>
      </c>
      <c r="AW25" s="7" t="s">
        <v>21</v>
      </c>
      <c r="AX25" s="7" t="s">
        <v>21</v>
      </c>
      <c r="AY25" s="7" t="s">
        <v>21</v>
      </c>
      <c r="AZ25" s="81"/>
      <c r="BA25" s="81"/>
    </row>
    <row r="26" spans="1:53" ht="14.95" customHeight="1" thickBot="1" x14ac:dyDescent="0.3">
      <c r="A26" s="340" t="s">
        <v>105</v>
      </c>
      <c r="B26" s="346">
        <v>3</v>
      </c>
      <c r="C26" s="347">
        <v>0</v>
      </c>
      <c r="D26" s="399">
        <v>0</v>
      </c>
      <c r="E26" s="348">
        <v>1</v>
      </c>
      <c r="F26" s="349">
        <f t="shared" si="2"/>
        <v>4</v>
      </c>
      <c r="G26" s="339" t="s">
        <v>105</v>
      </c>
      <c r="H26" s="147">
        <v>15</v>
      </c>
      <c r="I26" s="312">
        <v>0</v>
      </c>
      <c r="J26" s="401">
        <v>0</v>
      </c>
      <c r="K26" s="247">
        <v>5</v>
      </c>
      <c r="L26" s="76">
        <f t="shared" si="3"/>
        <v>20</v>
      </c>
      <c r="M26" s="340" t="s">
        <v>838</v>
      </c>
      <c r="N26" s="349" t="s">
        <v>21</v>
      </c>
      <c r="O26" s="349" t="s">
        <v>21</v>
      </c>
      <c r="P26" s="350" t="s">
        <v>21</v>
      </c>
      <c r="Q26" s="7">
        <v>5</v>
      </c>
      <c r="R26" s="7">
        <v>5</v>
      </c>
      <c r="S26" s="156">
        <v>100</v>
      </c>
      <c r="T26" s="7" t="s">
        <v>21</v>
      </c>
      <c r="U26" s="7" t="s">
        <v>21</v>
      </c>
      <c r="V26" s="156" t="s">
        <v>21</v>
      </c>
      <c r="W26" s="7">
        <v>15</v>
      </c>
      <c r="X26" s="7">
        <v>19</v>
      </c>
      <c r="Y26" s="156">
        <f>SUM(W26/X26)*100</f>
        <v>78.94736842105263</v>
      </c>
      <c r="AE26" s="6">
        <v>16</v>
      </c>
      <c r="AF26" s="7">
        <v>19</v>
      </c>
      <c r="AG26" s="156">
        <f>SUM(AE26/AF26)*100</f>
        <v>84.210526315789465</v>
      </c>
      <c r="AH26" s="151"/>
      <c r="AI26" s="7"/>
      <c r="AJ26" s="156"/>
      <c r="AK26" s="151"/>
      <c r="AL26" s="7"/>
      <c r="AM26" s="7"/>
      <c r="AN26" s="151"/>
      <c r="AO26" s="7"/>
      <c r="AP26" s="7"/>
      <c r="AQ26" s="6"/>
      <c r="AR26" s="7"/>
      <c r="AS26" s="7"/>
      <c r="AT26" s="6"/>
      <c r="AU26" s="7"/>
      <c r="AV26" s="7"/>
      <c r="AW26" s="7"/>
      <c r="AX26" s="7"/>
      <c r="AY26" s="7"/>
      <c r="AZ26" s="81"/>
      <c r="BA26" s="81"/>
    </row>
    <row r="27" spans="1:53" ht="14.95" customHeight="1" thickBot="1" x14ac:dyDescent="0.3">
      <c r="A27" s="340" t="s">
        <v>824</v>
      </c>
      <c r="B27" s="346">
        <v>0</v>
      </c>
      <c r="C27" s="347">
        <v>0</v>
      </c>
      <c r="D27" s="399">
        <v>0</v>
      </c>
      <c r="E27" s="348">
        <v>0</v>
      </c>
      <c r="F27" s="349">
        <f t="shared" si="2"/>
        <v>0</v>
      </c>
      <c r="G27" s="339" t="s">
        <v>824</v>
      </c>
      <c r="H27" s="147">
        <v>0</v>
      </c>
      <c r="I27" s="312">
        <v>0</v>
      </c>
      <c r="J27" s="401">
        <v>0</v>
      </c>
      <c r="K27" s="247">
        <v>0</v>
      </c>
      <c r="L27" s="76">
        <f t="shared" si="3"/>
        <v>0</v>
      </c>
      <c r="M27" s="340" t="s">
        <v>6</v>
      </c>
      <c r="N27" s="349" t="s">
        <v>21</v>
      </c>
      <c r="O27" s="349" t="s">
        <v>21</v>
      </c>
      <c r="P27" s="350" t="s">
        <v>21</v>
      </c>
      <c r="Q27" s="7" t="s">
        <v>21</v>
      </c>
      <c r="R27" s="7" t="s">
        <v>21</v>
      </c>
      <c r="S27" s="156" t="s">
        <v>21</v>
      </c>
      <c r="T27" s="7" t="s">
        <v>21</v>
      </c>
      <c r="U27" s="7" t="s">
        <v>21</v>
      </c>
      <c r="V27" s="156" t="s">
        <v>21</v>
      </c>
      <c r="W27" s="7" t="s">
        <v>21</v>
      </c>
      <c r="X27" s="7" t="s">
        <v>21</v>
      </c>
      <c r="Y27" s="156" t="s">
        <v>21</v>
      </c>
      <c r="AE27" s="151" t="s">
        <v>21</v>
      </c>
      <c r="AF27" s="7" t="s">
        <v>21</v>
      </c>
      <c r="AG27" s="156" t="s">
        <v>21</v>
      </c>
      <c r="AH27" s="151" t="s">
        <v>21</v>
      </c>
      <c r="AI27" s="7" t="s">
        <v>21</v>
      </c>
      <c r="AJ27" s="7" t="s">
        <v>21</v>
      </c>
      <c r="AK27" s="151" t="s">
        <v>21</v>
      </c>
      <c r="AL27" s="7" t="s">
        <v>21</v>
      </c>
      <c r="AM27" s="7" t="s">
        <v>21</v>
      </c>
      <c r="AN27" s="151" t="s">
        <v>21</v>
      </c>
      <c r="AO27" s="7" t="s">
        <v>21</v>
      </c>
      <c r="AP27" s="7" t="s">
        <v>21</v>
      </c>
      <c r="AQ27" s="6" t="s">
        <v>21</v>
      </c>
      <c r="AR27" s="7" t="s">
        <v>21</v>
      </c>
      <c r="AS27" s="7" t="s">
        <v>21</v>
      </c>
      <c r="AT27" s="6" t="s">
        <v>21</v>
      </c>
      <c r="AU27" s="7" t="s">
        <v>21</v>
      </c>
      <c r="AV27" s="7" t="s">
        <v>21</v>
      </c>
      <c r="AW27" s="7" t="s">
        <v>21</v>
      </c>
      <c r="AX27" s="7" t="s">
        <v>21</v>
      </c>
      <c r="AY27" s="7" t="s">
        <v>21</v>
      </c>
      <c r="AZ27" s="81"/>
      <c r="BA27" s="81"/>
    </row>
    <row r="28" spans="1:53" ht="14.95" customHeight="1" thickBot="1" x14ac:dyDescent="0.3">
      <c r="A28" s="340" t="s">
        <v>36</v>
      </c>
      <c r="B28" s="346">
        <v>0</v>
      </c>
      <c r="C28" s="347">
        <v>0</v>
      </c>
      <c r="D28" s="399">
        <v>0</v>
      </c>
      <c r="E28" s="348">
        <v>0</v>
      </c>
      <c r="F28" s="349">
        <f t="shared" si="2"/>
        <v>0</v>
      </c>
      <c r="G28" s="339" t="s">
        <v>36</v>
      </c>
      <c r="H28" s="147">
        <v>0</v>
      </c>
      <c r="I28" s="312">
        <v>0</v>
      </c>
      <c r="J28" s="401">
        <v>0</v>
      </c>
      <c r="K28" s="247">
        <v>0</v>
      </c>
      <c r="L28" s="76">
        <f t="shared" si="3"/>
        <v>0</v>
      </c>
      <c r="AH28" s="82" t="s">
        <v>30</v>
      </c>
      <c r="AI28" s="82" t="s">
        <v>30</v>
      </c>
    </row>
    <row r="29" spans="1:53" ht="14.95" customHeight="1" thickBot="1" x14ac:dyDescent="0.3">
      <c r="A29" s="340" t="s">
        <v>93</v>
      </c>
      <c r="B29" s="346">
        <v>3</v>
      </c>
      <c r="C29" s="347">
        <v>1</v>
      </c>
      <c r="D29" s="399">
        <v>0</v>
      </c>
      <c r="E29" s="348">
        <v>0</v>
      </c>
      <c r="F29" s="349">
        <f t="shared" si="2"/>
        <v>4</v>
      </c>
      <c r="G29" s="339" t="s">
        <v>93</v>
      </c>
      <c r="H29" s="147">
        <v>15</v>
      </c>
      <c r="I29" s="312">
        <v>5</v>
      </c>
      <c r="J29" s="401">
        <v>0</v>
      </c>
      <c r="K29" s="247">
        <v>0</v>
      </c>
      <c r="L29" s="76">
        <f t="shared" si="3"/>
        <v>20</v>
      </c>
      <c r="M29" s="463" t="s">
        <v>116</v>
      </c>
      <c r="N29" s="436" t="s">
        <v>20</v>
      </c>
      <c r="O29" s="437"/>
      <c r="P29" s="438"/>
      <c r="Q29" s="422" t="s">
        <v>365</v>
      </c>
      <c r="R29" s="423"/>
      <c r="S29" s="424"/>
      <c r="T29" s="422" t="s">
        <v>854</v>
      </c>
      <c r="U29" s="423"/>
      <c r="V29" s="424"/>
      <c r="W29" s="422" t="s">
        <v>518</v>
      </c>
      <c r="X29" s="423"/>
      <c r="Y29" s="424"/>
      <c r="AE29" s="428" t="s">
        <v>356</v>
      </c>
      <c r="AF29" s="429"/>
      <c r="AG29" s="430"/>
      <c r="AH29" s="428" t="s">
        <v>272</v>
      </c>
      <c r="AI29" s="429"/>
      <c r="AJ29" s="430"/>
      <c r="AK29" s="428" t="s">
        <v>115</v>
      </c>
      <c r="AL29" s="429"/>
      <c r="AM29" s="430"/>
      <c r="AN29" s="428" t="s">
        <v>78</v>
      </c>
      <c r="AO29" s="429"/>
      <c r="AP29" s="430"/>
      <c r="AQ29" s="428" t="s">
        <v>60</v>
      </c>
      <c r="AR29" s="429"/>
      <c r="AS29" s="430"/>
    </row>
    <row r="30" spans="1:53" ht="14.95" customHeight="1" thickBot="1" x14ac:dyDescent="0.3">
      <c r="A30" s="340" t="s">
        <v>911</v>
      </c>
      <c r="B30" s="346">
        <v>0</v>
      </c>
      <c r="C30" s="347">
        <v>0</v>
      </c>
      <c r="D30" s="399">
        <v>0</v>
      </c>
      <c r="E30" s="348">
        <v>2</v>
      </c>
      <c r="F30" s="349">
        <f t="shared" ref="F30" si="24">SUM(B30:E30)</f>
        <v>2</v>
      </c>
      <c r="G30" s="339" t="s">
        <v>911</v>
      </c>
      <c r="H30" s="147">
        <v>0</v>
      </c>
      <c r="I30" s="312">
        <v>0</v>
      </c>
      <c r="J30" s="401">
        <v>0</v>
      </c>
      <c r="K30" s="247">
        <v>10</v>
      </c>
      <c r="L30" s="76">
        <f t="shared" ref="L30" si="25">SUM(H30:K30)</f>
        <v>10</v>
      </c>
      <c r="M30" s="464"/>
      <c r="N30" s="439"/>
      <c r="O30" s="440"/>
      <c r="P30" s="441"/>
      <c r="Q30" s="425"/>
      <c r="R30" s="426"/>
      <c r="S30" s="427"/>
      <c r="T30" s="425"/>
      <c r="U30" s="426"/>
      <c r="V30" s="427"/>
      <c r="W30" s="425"/>
      <c r="X30" s="426"/>
      <c r="Y30" s="427"/>
      <c r="AE30" s="431"/>
      <c r="AF30" s="432"/>
      <c r="AG30" s="433"/>
      <c r="AH30" s="431"/>
      <c r="AI30" s="432"/>
      <c r="AJ30" s="433"/>
      <c r="AK30" s="431"/>
      <c r="AL30" s="432"/>
      <c r="AM30" s="433"/>
      <c r="AN30" s="431"/>
      <c r="AO30" s="432"/>
      <c r="AP30" s="433"/>
      <c r="AQ30" s="431"/>
      <c r="AR30" s="432"/>
      <c r="AS30" s="433"/>
    </row>
    <row r="31" spans="1:53" ht="14.95" customHeight="1" thickBot="1" x14ac:dyDescent="0.3">
      <c r="A31" s="340" t="s">
        <v>304</v>
      </c>
      <c r="B31" s="346">
        <v>0</v>
      </c>
      <c r="C31" s="347">
        <v>0</v>
      </c>
      <c r="D31" s="399">
        <v>0</v>
      </c>
      <c r="E31" s="348">
        <v>0</v>
      </c>
      <c r="F31" s="349">
        <f t="shared" si="2"/>
        <v>0</v>
      </c>
      <c r="G31" s="339" t="s">
        <v>304</v>
      </c>
      <c r="H31" s="147">
        <v>0</v>
      </c>
      <c r="I31" s="312">
        <v>0</v>
      </c>
      <c r="J31" s="401">
        <v>0</v>
      </c>
      <c r="K31" s="247">
        <v>0</v>
      </c>
      <c r="L31" s="76">
        <f t="shared" si="3"/>
        <v>0</v>
      </c>
      <c r="M31" s="236" t="s">
        <v>30</v>
      </c>
      <c r="N31" s="3" t="s">
        <v>74</v>
      </c>
      <c r="O31" s="3" t="s">
        <v>15</v>
      </c>
      <c r="P31" s="3" t="s">
        <v>16</v>
      </c>
      <c r="Q31" s="7" t="s">
        <v>74</v>
      </c>
      <c r="R31" s="7" t="s">
        <v>15</v>
      </c>
      <c r="S31" s="7" t="s">
        <v>16</v>
      </c>
      <c r="T31" s="7" t="s">
        <v>74</v>
      </c>
      <c r="U31" s="7" t="s">
        <v>15</v>
      </c>
      <c r="V31" s="7" t="s">
        <v>16</v>
      </c>
      <c r="W31" s="7" t="s">
        <v>74</v>
      </c>
      <c r="X31" s="7" t="s">
        <v>15</v>
      </c>
      <c r="Y31" s="7" t="s">
        <v>16</v>
      </c>
      <c r="AE31" s="98" t="s">
        <v>74</v>
      </c>
      <c r="AF31" s="80" t="s">
        <v>15</v>
      </c>
      <c r="AG31" s="80" t="s">
        <v>16</v>
      </c>
      <c r="AH31" s="85" t="s">
        <v>74</v>
      </c>
      <c r="AI31" s="80" t="s">
        <v>15</v>
      </c>
      <c r="AJ31" s="80" t="s">
        <v>16</v>
      </c>
      <c r="AK31" s="85" t="s">
        <v>74</v>
      </c>
      <c r="AL31" s="80" t="s">
        <v>15</v>
      </c>
      <c r="AM31" s="80" t="s">
        <v>16</v>
      </c>
      <c r="AN31" s="85" t="s">
        <v>74</v>
      </c>
      <c r="AO31" s="80" t="s">
        <v>15</v>
      </c>
      <c r="AP31" s="80" t="s">
        <v>16</v>
      </c>
      <c r="AQ31" s="85" t="s">
        <v>74</v>
      </c>
      <c r="AR31" s="80" t="s">
        <v>15</v>
      </c>
      <c r="AS31" s="80" t="s">
        <v>16</v>
      </c>
    </row>
    <row r="32" spans="1:53" ht="14.95" customHeight="1" thickBot="1" x14ac:dyDescent="0.3">
      <c r="A32" s="340" t="s">
        <v>5</v>
      </c>
      <c r="B32" s="346">
        <v>0</v>
      </c>
      <c r="C32" s="347">
        <v>0</v>
      </c>
      <c r="D32" s="399">
        <v>0</v>
      </c>
      <c r="E32" s="348">
        <v>0</v>
      </c>
      <c r="F32" s="349">
        <f t="shared" si="2"/>
        <v>0</v>
      </c>
      <c r="G32" s="339" t="s">
        <v>5</v>
      </c>
      <c r="H32" s="147">
        <v>0</v>
      </c>
      <c r="I32" s="312">
        <v>0</v>
      </c>
      <c r="J32" s="401">
        <v>0</v>
      </c>
      <c r="K32" s="247">
        <v>0</v>
      </c>
      <c r="L32" s="76">
        <f t="shared" si="3"/>
        <v>0</v>
      </c>
      <c r="M32" s="320" t="s">
        <v>157</v>
      </c>
      <c r="N32" s="349">
        <v>10</v>
      </c>
      <c r="O32" s="349">
        <v>12</v>
      </c>
      <c r="P32" s="350">
        <v>83</v>
      </c>
      <c r="Q32" s="7">
        <v>12</v>
      </c>
      <c r="R32" s="7">
        <v>15</v>
      </c>
      <c r="S32" s="156">
        <v>80</v>
      </c>
      <c r="T32" s="7">
        <v>6</v>
      </c>
      <c r="U32" s="7">
        <v>10</v>
      </c>
      <c r="V32" s="156">
        <f t="shared" ref="V32" si="26">SUM(T32/U32)*100</f>
        <v>60</v>
      </c>
      <c r="W32" s="7">
        <v>3</v>
      </c>
      <c r="X32" s="7">
        <v>5</v>
      </c>
      <c r="Y32" s="156">
        <f>(W32/X32)*100</f>
        <v>60</v>
      </c>
      <c r="AE32" s="6" t="s">
        <v>21</v>
      </c>
      <c r="AF32" s="7" t="s">
        <v>21</v>
      </c>
      <c r="AG32" s="7" t="s">
        <v>21</v>
      </c>
      <c r="AH32" s="151" t="s">
        <v>21</v>
      </c>
      <c r="AI32" s="7" t="s">
        <v>21</v>
      </c>
      <c r="AJ32" s="7" t="s">
        <v>21</v>
      </c>
      <c r="AK32" s="151" t="s">
        <v>21</v>
      </c>
      <c r="AL32" s="7" t="s">
        <v>21</v>
      </c>
      <c r="AM32" s="7" t="s">
        <v>21</v>
      </c>
      <c r="AN32" s="151" t="s">
        <v>21</v>
      </c>
      <c r="AO32" s="7" t="s">
        <v>21</v>
      </c>
      <c r="AP32" s="7" t="s">
        <v>21</v>
      </c>
      <c r="AQ32" s="151" t="s">
        <v>21</v>
      </c>
      <c r="AR32" s="7" t="s">
        <v>21</v>
      </c>
      <c r="AS32" s="7" t="s">
        <v>21</v>
      </c>
    </row>
    <row r="33" spans="1:46" ht="14.95" customHeight="1" thickBot="1" x14ac:dyDescent="0.3">
      <c r="A33" s="340" t="s">
        <v>484</v>
      </c>
      <c r="B33" s="346">
        <v>2</v>
      </c>
      <c r="C33" s="347">
        <v>0</v>
      </c>
      <c r="D33" s="399">
        <v>0</v>
      </c>
      <c r="E33" s="348">
        <v>0</v>
      </c>
      <c r="F33" s="349">
        <f t="shared" si="2"/>
        <v>2</v>
      </c>
      <c r="G33" s="339" t="s">
        <v>484</v>
      </c>
      <c r="H33" s="147">
        <v>10</v>
      </c>
      <c r="I33" s="312">
        <v>0</v>
      </c>
      <c r="J33" s="401">
        <v>0</v>
      </c>
      <c r="K33" s="247">
        <v>0</v>
      </c>
      <c r="L33" s="76">
        <f t="shared" si="3"/>
        <v>10</v>
      </c>
      <c r="M33" s="320" t="s">
        <v>253</v>
      </c>
      <c r="N33" s="349">
        <v>7</v>
      </c>
      <c r="O33" s="349">
        <v>7</v>
      </c>
      <c r="P33" s="350">
        <v>100</v>
      </c>
      <c r="Q33" s="7" t="s">
        <v>21</v>
      </c>
      <c r="R33" s="7" t="s">
        <v>21</v>
      </c>
      <c r="S33" s="156" t="s">
        <v>21</v>
      </c>
      <c r="T33" s="7">
        <v>4</v>
      </c>
      <c r="U33" s="7">
        <v>5</v>
      </c>
      <c r="V33" s="156">
        <f t="shared" ref="V33" si="27">SUM(T33/U33)*100</f>
        <v>80</v>
      </c>
      <c r="W33" s="7">
        <v>19</v>
      </c>
      <c r="X33" s="7">
        <v>25</v>
      </c>
      <c r="Y33" s="156">
        <f>(W33/X33)*100</f>
        <v>76</v>
      </c>
      <c r="AE33" s="6">
        <v>2</v>
      </c>
      <c r="AF33" s="7">
        <v>4</v>
      </c>
      <c r="AG33" s="156">
        <f t="shared" ref="AG33" si="28">SUM(AE33/AF33)*100</f>
        <v>50</v>
      </c>
      <c r="AH33" s="151" t="s">
        <v>21</v>
      </c>
      <c r="AI33" s="7" t="s">
        <v>21</v>
      </c>
      <c r="AJ33" s="7" t="s">
        <v>21</v>
      </c>
      <c r="AK33" s="151" t="s">
        <v>21</v>
      </c>
      <c r="AL33" s="7" t="s">
        <v>21</v>
      </c>
      <c r="AM33" s="7" t="s">
        <v>21</v>
      </c>
      <c r="AN33" s="6" t="s">
        <v>21</v>
      </c>
      <c r="AO33" s="7" t="s">
        <v>21</v>
      </c>
      <c r="AP33" s="7" t="s">
        <v>21</v>
      </c>
      <c r="AQ33" s="151" t="s">
        <v>21</v>
      </c>
      <c r="AR33" s="7" t="s">
        <v>21</v>
      </c>
      <c r="AS33" s="7" t="s">
        <v>21</v>
      </c>
    </row>
    <row r="34" spans="1:46" ht="14.95" customHeight="1" thickBot="1" x14ac:dyDescent="0.3">
      <c r="A34" s="340" t="s">
        <v>110</v>
      </c>
      <c r="B34" s="346">
        <v>7</v>
      </c>
      <c r="C34" s="347">
        <v>0</v>
      </c>
      <c r="D34" s="399">
        <v>1</v>
      </c>
      <c r="E34" s="348">
        <v>1</v>
      </c>
      <c r="F34" s="349">
        <f t="shared" si="2"/>
        <v>9</v>
      </c>
      <c r="G34" s="339" t="s">
        <v>110</v>
      </c>
      <c r="H34" s="147">
        <v>35</v>
      </c>
      <c r="I34" s="312">
        <v>0</v>
      </c>
      <c r="J34" s="401">
        <v>5</v>
      </c>
      <c r="K34" s="247">
        <v>5</v>
      </c>
      <c r="L34" s="76">
        <f t="shared" si="3"/>
        <v>45</v>
      </c>
      <c r="M34" s="340" t="s">
        <v>838</v>
      </c>
      <c r="N34" s="349" t="s">
        <v>21</v>
      </c>
      <c r="O34" s="349" t="s">
        <v>21</v>
      </c>
      <c r="P34" s="350" t="s">
        <v>21</v>
      </c>
      <c r="Q34" s="7">
        <v>0</v>
      </c>
      <c r="R34" s="7">
        <v>1</v>
      </c>
      <c r="S34" s="156">
        <v>0</v>
      </c>
      <c r="T34" s="7" t="s">
        <v>21</v>
      </c>
      <c r="U34" s="7" t="s">
        <v>21</v>
      </c>
      <c r="V34" s="156" t="s">
        <v>21</v>
      </c>
      <c r="W34" s="7" t="s">
        <v>21</v>
      </c>
      <c r="X34" s="7" t="s">
        <v>21</v>
      </c>
      <c r="Y34" s="156" t="s">
        <v>21</v>
      </c>
      <c r="AE34" s="6" t="s">
        <v>21</v>
      </c>
      <c r="AF34" s="7" t="s">
        <v>21</v>
      </c>
      <c r="AG34" s="156" t="s">
        <v>21</v>
      </c>
      <c r="AH34" s="7" t="s">
        <v>21</v>
      </c>
      <c r="AI34" s="7" t="s">
        <v>21</v>
      </c>
      <c r="AJ34" s="156" t="s">
        <v>21</v>
      </c>
      <c r="AK34" s="7" t="s">
        <v>21</v>
      </c>
      <c r="AL34" s="7" t="s">
        <v>21</v>
      </c>
      <c r="AM34" s="156" t="s">
        <v>21</v>
      </c>
      <c r="AN34" s="7" t="s">
        <v>21</v>
      </c>
      <c r="AO34" s="7" t="s">
        <v>21</v>
      </c>
      <c r="AP34" s="156" t="s">
        <v>21</v>
      </c>
      <c r="AQ34" s="7" t="s">
        <v>21</v>
      </c>
      <c r="AR34" s="7" t="s">
        <v>21</v>
      </c>
      <c r="AS34" s="156" t="s">
        <v>21</v>
      </c>
    </row>
    <row r="35" spans="1:46" ht="14.95" customHeight="1" thickBot="1" x14ac:dyDescent="0.3">
      <c r="A35" s="340" t="s">
        <v>467</v>
      </c>
      <c r="B35" s="346">
        <v>0</v>
      </c>
      <c r="C35" s="347">
        <v>0</v>
      </c>
      <c r="D35" s="399">
        <v>0</v>
      </c>
      <c r="E35" s="348">
        <v>0</v>
      </c>
      <c r="F35" s="349">
        <f t="shared" si="2"/>
        <v>0</v>
      </c>
      <c r="G35" s="339" t="s">
        <v>467</v>
      </c>
      <c r="H35" s="147">
        <v>0</v>
      </c>
      <c r="I35" s="312">
        <v>0</v>
      </c>
      <c r="J35" s="401">
        <v>0</v>
      </c>
      <c r="K35" s="247">
        <v>0</v>
      </c>
      <c r="L35" s="76">
        <f t="shared" si="3"/>
        <v>0</v>
      </c>
      <c r="M35" s="320" t="s">
        <v>609</v>
      </c>
      <c r="N35" s="349">
        <v>4</v>
      </c>
      <c r="O35" s="349">
        <v>7</v>
      </c>
      <c r="P35" s="350">
        <f t="shared" ref="P35" si="29">SUM(N35/O35)*100</f>
        <v>57.142857142857139</v>
      </c>
      <c r="Q35" s="7">
        <v>0</v>
      </c>
      <c r="R35" s="7">
        <v>0</v>
      </c>
      <c r="S35" s="156">
        <v>0</v>
      </c>
      <c r="T35" s="7">
        <v>0</v>
      </c>
      <c r="U35" s="7">
        <v>0</v>
      </c>
      <c r="V35" s="156">
        <v>0</v>
      </c>
      <c r="W35" s="7">
        <v>0</v>
      </c>
      <c r="X35" s="7">
        <v>0</v>
      </c>
      <c r="Y35" s="156">
        <v>0</v>
      </c>
      <c r="Z35" s="87"/>
      <c r="AA35" s="87"/>
      <c r="AB35" s="87"/>
      <c r="AE35" s="6">
        <v>0</v>
      </c>
      <c r="AF35" s="7">
        <v>0</v>
      </c>
      <c r="AG35" s="156">
        <v>0</v>
      </c>
      <c r="AH35" s="151">
        <v>0</v>
      </c>
      <c r="AI35" s="7">
        <v>0</v>
      </c>
      <c r="AJ35" s="7">
        <v>0</v>
      </c>
      <c r="AK35" s="151">
        <v>0</v>
      </c>
      <c r="AL35" s="7">
        <v>0</v>
      </c>
      <c r="AM35" s="7">
        <v>0</v>
      </c>
      <c r="AN35" s="6">
        <v>0</v>
      </c>
      <c r="AO35" s="7">
        <v>0</v>
      </c>
      <c r="AP35" s="7">
        <v>0</v>
      </c>
      <c r="AQ35" s="151">
        <v>0</v>
      </c>
      <c r="AR35" s="7">
        <v>0</v>
      </c>
      <c r="AS35" s="7">
        <v>0</v>
      </c>
      <c r="AT35" s="159"/>
    </row>
    <row r="36" spans="1:46" ht="14.95" customHeight="1" thickBot="1" x14ac:dyDescent="0.3">
      <c r="A36" s="340" t="s">
        <v>288</v>
      </c>
      <c r="B36" s="346">
        <v>10</v>
      </c>
      <c r="C36" s="347">
        <v>1</v>
      </c>
      <c r="D36" s="399">
        <v>0</v>
      </c>
      <c r="E36" s="348">
        <v>1</v>
      </c>
      <c r="F36" s="349">
        <f t="shared" si="2"/>
        <v>12</v>
      </c>
      <c r="G36" s="339" t="s">
        <v>288</v>
      </c>
      <c r="H36" s="147">
        <v>50</v>
      </c>
      <c r="I36" s="312">
        <v>5</v>
      </c>
      <c r="J36" s="401">
        <v>0</v>
      </c>
      <c r="K36" s="247">
        <v>5</v>
      </c>
      <c r="L36" s="76">
        <f t="shared" si="3"/>
        <v>60</v>
      </c>
      <c r="M36" s="320" t="s">
        <v>6</v>
      </c>
      <c r="N36" s="349" t="s">
        <v>21</v>
      </c>
      <c r="O36" s="349" t="s">
        <v>21</v>
      </c>
      <c r="P36" s="350" t="s">
        <v>21</v>
      </c>
      <c r="Q36" s="7" t="s">
        <v>21</v>
      </c>
      <c r="R36" s="7" t="s">
        <v>21</v>
      </c>
      <c r="S36" s="156" t="s">
        <v>21</v>
      </c>
      <c r="T36" s="7" t="s">
        <v>21</v>
      </c>
      <c r="U36" s="7" t="s">
        <v>21</v>
      </c>
      <c r="V36" s="156" t="s">
        <v>21</v>
      </c>
      <c r="W36" s="7">
        <v>2</v>
      </c>
      <c r="X36" s="7">
        <v>2</v>
      </c>
      <c r="Y36" s="156">
        <f>(W36/X36)*100</f>
        <v>100</v>
      </c>
      <c r="AE36" s="6" t="s">
        <v>21</v>
      </c>
      <c r="AF36" s="7" t="s">
        <v>21</v>
      </c>
      <c r="AG36" s="156" t="s">
        <v>21</v>
      </c>
      <c r="AH36" s="151" t="s">
        <v>21</v>
      </c>
      <c r="AI36" s="7" t="s">
        <v>21</v>
      </c>
      <c r="AJ36" s="7" t="s">
        <v>21</v>
      </c>
      <c r="AK36" s="151" t="s">
        <v>21</v>
      </c>
      <c r="AL36" s="7" t="s">
        <v>21</v>
      </c>
      <c r="AM36" s="7" t="s">
        <v>21</v>
      </c>
      <c r="AN36" s="6" t="s">
        <v>21</v>
      </c>
      <c r="AO36" s="7" t="s">
        <v>21</v>
      </c>
      <c r="AP36" s="7" t="s">
        <v>21</v>
      </c>
      <c r="AQ36" s="6" t="s">
        <v>21</v>
      </c>
      <c r="AR36" s="7" t="s">
        <v>21</v>
      </c>
      <c r="AS36" s="7" t="s">
        <v>21</v>
      </c>
    </row>
    <row r="37" spans="1:46" ht="14.95" customHeight="1" thickBot="1" x14ac:dyDescent="0.3">
      <c r="A37" s="340" t="s">
        <v>82</v>
      </c>
      <c r="B37" s="346">
        <v>3</v>
      </c>
      <c r="C37" s="347">
        <v>1</v>
      </c>
      <c r="D37" s="399">
        <v>0</v>
      </c>
      <c r="E37" s="348">
        <v>1</v>
      </c>
      <c r="F37" s="349">
        <f t="shared" si="2"/>
        <v>5</v>
      </c>
      <c r="G37" s="339" t="s">
        <v>82</v>
      </c>
      <c r="H37" s="147">
        <v>15</v>
      </c>
      <c r="I37" s="312">
        <v>5</v>
      </c>
      <c r="J37" s="401">
        <v>0</v>
      </c>
      <c r="K37" s="247">
        <v>5</v>
      </c>
      <c r="L37" s="76">
        <f t="shared" si="3"/>
        <v>25</v>
      </c>
      <c r="M37" s="117" t="s">
        <v>839</v>
      </c>
    </row>
    <row r="38" spans="1:46" ht="14.95" customHeight="1" thickBot="1" x14ac:dyDescent="0.3">
      <c r="A38" s="340" t="s">
        <v>605</v>
      </c>
      <c r="B38" s="346">
        <v>0</v>
      </c>
      <c r="C38" s="347">
        <v>0</v>
      </c>
      <c r="D38" s="399">
        <v>0</v>
      </c>
      <c r="E38" s="348">
        <v>2</v>
      </c>
      <c r="F38" s="349">
        <f t="shared" ref="F38" si="30">SUM(B38:E38)</f>
        <v>2</v>
      </c>
      <c r="G38" s="339" t="s">
        <v>605</v>
      </c>
      <c r="H38" s="147">
        <v>0</v>
      </c>
      <c r="I38" s="312">
        <v>0</v>
      </c>
      <c r="J38" s="401">
        <v>0</v>
      </c>
      <c r="K38" s="247">
        <v>10</v>
      </c>
      <c r="L38" s="76">
        <f t="shared" ref="L38" si="31">SUM(H38:K38)</f>
        <v>10</v>
      </c>
      <c r="M38" s="459" t="s">
        <v>1021</v>
      </c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</row>
    <row r="39" spans="1:46" ht="14.95" customHeight="1" thickBot="1" x14ac:dyDescent="0.3">
      <c r="A39" s="340" t="s">
        <v>422</v>
      </c>
      <c r="B39" s="346">
        <v>1</v>
      </c>
      <c r="C39" s="347">
        <v>0</v>
      </c>
      <c r="D39" s="399">
        <v>0</v>
      </c>
      <c r="E39" s="348">
        <v>0</v>
      </c>
      <c r="F39" s="349">
        <f t="shared" si="2"/>
        <v>1</v>
      </c>
      <c r="G39" s="339" t="s">
        <v>422</v>
      </c>
      <c r="H39" s="147">
        <v>5</v>
      </c>
      <c r="I39" s="312">
        <v>0</v>
      </c>
      <c r="J39" s="401">
        <v>0</v>
      </c>
      <c r="K39" s="247">
        <v>0</v>
      </c>
      <c r="L39" s="76">
        <f t="shared" si="3"/>
        <v>5</v>
      </c>
      <c r="M39" t="s">
        <v>1046</v>
      </c>
    </row>
    <row r="40" spans="1:46" ht="14.95" customHeight="1" thickBot="1" x14ac:dyDescent="0.3">
      <c r="A40" s="340" t="s">
        <v>995</v>
      </c>
      <c r="B40" s="346">
        <v>0</v>
      </c>
      <c r="C40" s="347">
        <v>1</v>
      </c>
      <c r="D40" s="399">
        <v>0</v>
      </c>
      <c r="E40" s="348">
        <v>0</v>
      </c>
      <c r="F40" s="349">
        <f t="shared" si="2"/>
        <v>1</v>
      </c>
      <c r="G40" s="339" t="s">
        <v>995</v>
      </c>
      <c r="H40" s="147">
        <v>0</v>
      </c>
      <c r="I40" s="312">
        <v>5</v>
      </c>
      <c r="J40" s="401">
        <v>0</v>
      </c>
      <c r="K40" s="247">
        <v>0</v>
      </c>
      <c r="L40" s="76">
        <f t="shared" si="3"/>
        <v>5</v>
      </c>
    </row>
    <row r="41" spans="1:46" ht="14.95" customHeight="1" thickBot="1" x14ac:dyDescent="0.3">
      <c r="A41" s="340" t="s">
        <v>609</v>
      </c>
      <c r="B41" s="346">
        <v>3</v>
      </c>
      <c r="C41" s="347">
        <v>0</v>
      </c>
      <c r="D41" s="399">
        <v>0</v>
      </c>
      <c r="E41" s="348">
        <v>0</v>
      </c>
      <c r="F41" s="349">
        <f t="shared" si="2"/>
        <v>3</v>
      </c>
      <c r="G41" s="339" t="s">
        <v>609</v>
      </c>
      <c r="H41" s="147">
        <v>15</v>
      </c>
      <c r="I41" s="312">
        <v>0</v>
      </c>
      <c r="J41" s="401">
        <v>0</v>
      </c>
      <c r="K41" s="247">
        <v>8</v>
      </c>
      <c r="L41" s="76">
        <f t="shared" si="3"/>
        <v>23</v>
      </c>
    </row>
    <row r="42" spans="1:46" ht="14.95" customHeight="1" thickBot="1" x14ac:dyDescent="0.3">
      <c r="A42" s="340" t="s">
        <v>423</v>
      </c>
      <c r="B42" s="346">
        <v>0</v>
      </c>
      <c r="C42" s="347">
        <v>0</v>
      </c>
      <c r="D42" s="399">
        <v>0</v>
      </c>
      <c r="E42" s="348">
        <v>0</v>
      </c>
      <c r="F42" s="349">
        <f t="shared" si="2"/>
        <v>0</v>
      </c>
      <c r="G42" s="339" t="s">
        <v>423</v>
      </c>
      <c r="H42" s="147">
        <v>0</v>
      </c>
      <c r="I42" s="312">
        <v>0</v>
      </c>
      <c r="J42" s="401">
        <v>0</v>
      </c>
      <c r="K42" s="247">
        <v>0</v>
      </c>
      <c r="L42" s="76">
        <f t="shared" si="3"/>
        <v>0</v>
      </c>
    </row>
    <row r="43" spans="1:46" ht="14.95" customHeight="1" thickBot="1" x14ac:dyDescent="0.3">
      <c r="A43" s="340" t="s">
        <v>6</v>
      </c>
      <c r="B43" s="346">
        <v>0</v>
      </c>
      <c r="C43" s="347">
        <v>0</v>
      </c>
      <c r="D43" s="399">
        <v>0</v>
      </c>
      <c r="E43" s="348">
        <v>0</v>
      </c>
      <c r="F43" s="349">
        <f t="shared" si="2"/>
        <v>0</v>
      </c>
      <c r="G43" s="339" t="s">
        <v>6</v>
      </c>
      <c r="H43" s="147">
        <v>0</v>
      </c>
      <c r="I43" s="312">
        <v>0</v>
      </c>
      <c r="J43" s="401">
        <v>0</v>
      </c>
      <c r="K43" s="247">
        <v>0</v>
      </c>
      <c r="L43" s="76">
        <f t="shared" si="3"/>
        <v>0</v>
      </c>
    </row>
    <row r="44" spans="1:46" ht="14.95" thickBot="1" x14ac:dyDescent="0.3">
      <c r="A44" s="340" t="s">
        <v>3</v>
      </c>
      <c r="B44" s="346">
        <f>SUM(B3:B43)</f>
        <v>58</v>
      </c>
      <c r="C44" s="347">
        <f>SUM(C3:C43)</f>
        <v>13</v>
      </c>
      <c r="D44" s="399">
        <f>SUM(D3:D43)</f>
        <v>2</v>
      </c>
      <c r="E44" s="348">
        <f>SUM(E3:E43)</f>
        <v>24</v>
      </c>
      <c r="F44" s="349">
        <f>SUM(F3:F43)</f>
        <v>97</v>
      </c>
      <c r="G44" s="339" t="s">
        <v>3</v>
      </c>
      <c r="H44" s="147">
        <f>SUM(H3:H43)</f>
        <v>433</v>
      </c>
      <c r="I44" s="312">
        <f>SUM(I3:I43)</f>
        <v>103</v>
      </c>
      <c r="J44" s="401">
        <f>SUM(J3:J43)</f>
        <v>15</v>
      </c>
      <c r="K44" s="247">
        <f>SUM(K3:K43)</f>
        <v>159</v>
      </c>
      <c r="L44" s="76">
        <f>SUM(L3:L43)</f>
        <v>710</v>
      </c>
    </row>
    <row r="45" spans="1:46" x14ac:dyDescent="0.25">
      <c r="B45" s="135"/>
      <c r="C45" s="68"/>
      <c r="D45" s="68"/>
      <c r="E45" s="68"/>
      <c r="G45" s="104"/>
      <c r="H45" s="135"/>
      <c r="I45" s="68"/>
      <c r="J45" s="68"/>
      <c r="K45" s="68"/>
    </row>
    <row r="46" spans="1:46" ht="14.95" thickBot="1" x14ac:dyDescent="0.3">
      <c r="A46" t="s">
        <v>18</v>
      </c>
      <c r="B46" s="135"/>
      <c r="C46" s="68"/>
      <c r="D46" s="68"/>
      <c r="E46" s="68"/>
      <c r="G46" s="105"/>
      <c r="H46" s="136"/>
      <c r="I46" s="69"/>
      <c r="J46" s="69"/>
      <c r="K46" s="69"/>
      <c r="L46" s="37"/>
    </row>
    <row r="47" spans="1:46" ht="14.95" thickBot="1" x14ac:dyDescent="0.3">
      <c r="A47" s="341" t="s">
        <v>0</v>
      </c>
      <c r="B47" s="342" t="s">
        <v>355</v>
      </c>
      <c r="C47" s="343" t="s">
        <v>42</v>
      </c>
      <c r="D47" s="398" t="s">
        <v>43</v>
      </c>
      <c r="E47" s="344" t="s">
        <v>564</v>
      </c>
      <c r="F47" s="345" t="s">
        <v>1</v>
      </c>
      <c r="G47" s="337" t="s">
        <v>2</v>
      </c>
      <c r="H47" s="146" t="s">
        <v>355</v>
      </c>
      <c r="I47" s="311" t="s">
        <v>42</v>
      </c>
      <c r="J47" s="400" t="s">
        <v>43</v>
      </c>
      <c r="K47" s="246" t="s">
        <v>564</v>
      </c>
      <c r="L47" s="110" t="s">
        <v>1</v>
      </c>
    </row>
    <row r="48" spans="1:46" ht="14.95" thickBot="1" x14ac:dyDescent="0.3">
      <c r="A48" s="340" t="s">
        <v>288</v>
      </c>
      <c r="B48" s="346">
        <v>10</v>
      </c>
      <c r="C48" s="347">
        <v>1</v>
      </c>
      <c r="D48" s="399">
        <v>0</v>
      </c>
      <c r="E48" s="348">
        <v>1</v>
      </c>
      <c r="F48" s="349">
        <f t="shared" ref="F48:F88" si="32">SUM(B48:E48)</f>
        <v>12</v>
      </c>
      <c r="G48" s="338" t="s">
        <v>311</v>
      </c>
      <c r="H48" s="147">
        <v>105</v>
      </c>
      <c r="I48" s="312">
        <v>11</v>
      </c>
      <c r="J48" s="401">
        <v>0</v>
      </c>
      <c r="K48" s="247">
        <v>0</v>
      </c>
      <c r="L48" s="76">
        <f t="shared" ref="L48:L88" si="33">SUM(H48:K48)</f>
        <v>116</v>
      </c>
    </row>
    <row r="49" spans="1:12" ht="14.95" thickBot="1" x14ac:dyDescent="0.3">
      <c r="A49" s="340" t="s">
        <v>619</v>
      </c>
      <c r="B49" s="346">
        <v>2</v>
      </c>
      <c r="C49" s="347">
        <v>2</v>
      </c>
      <c r="D49" s="399">
        <v>0</v>
      </c>
      <c r="E49" s="348">
        <v>5</v>
      </c>
      <c r="F49" s="349">
        <f t="shared" si="32"/>
        <v>9</v>
      </c>
      <c r="G49" s="339" t="s">
        <v>253</v>
      </c>
      <c r="H49" s="147">
        <v>63</v>
      </c>
      <c r="I49" s="312">
        <v>21</v>
      </c>
      <c r="J49" s="401">
        <v>5</v>
      </c>
      <c r="K49" s="247">
        <v>10</v>
      </c>
      <c r="L49" s="76">
        <f t="shared" si="33"/>
        <v>99</v>
      </c>
    </row>
    <row r="50" spans="1:12" ht="14.95" thickBot="1" x14ac:dyDescent="0.3">
      <c r="A50" s="340" t="s">
        <v>110</v>
      </c>
      <c r="B50" s="346">
        <v>7</v>
      </c>
      <c r="C50" s="347">
        <v>0</v>
      </c>
      <c r="D50" s="399">
        <v>1</v>
      </c>
      <c r="E50" s="348">
        <v>1</v>
      </c>
      <c r="F50" s="349">
        <f t="shared" si="32"/>
        <v>9</v>
      </c>
      <c r="G50" s="339" t="s">
        <v>288</v>
      </c>
      <c r="H50" s="147">
        <v>50</v>
      </c>
      <c r="I50" s="312">
        <v>5</v>
      </c>
      <c r="J50" s="401">
        <v>0</v>
      </c>
      <c r="K50" s="247">
        <v>5</v>
      </c>
      <c r="L50" s="76">
        <f t="shared" si="33"/>
        <v>60</v>
      </c>
    </row>
    <row r="51" spans="1:12" ht="14.95" thickBot="1" x14ac:dyDescent="0.3">
      <c r="A51" s="340" t="s">
        <v>86</v>
      </c>
      <c r="B51" s="346">
        <v>5</v>
      </c>
      <c r="C51" s="347">
        <v>0</v>
      </c>
      <c r="D51" s="399">
        <v>1</v>
      </c>
      <c r="E51" s="348">
        <v>0</v>
      </c>
      <c r="F51" s="349">
        <f t="shared" si="32"/>
        <v>6</v>
      </c>
      <c r="G51" s="339" t="s">
        <v>619</v>
      </c>
      <c r="H51" s="147">
        <v>10</v>
      </c>
      <c r="I51" s="312">
        <v>10</v>
      </c>
      <c r="J51" s="401">
        <v>0</v>
      </c>
      <c r="K51" s="247">
        <v>25</v>
      </c>
      <c r="L51" s="76">
        <f t="shared" si="33"/>
        <v>45</v>
      </c>
    </row>
    <row r="52" spans="1:12" ht="14.95" thickBot="1" x14ac:dyDescent="0.3">
      <c r="A52" s="340" t="s">
        <v>937</v>
      </c>
      <c r="B52" s="346">
        <v>3</v>
      </c>
      <c r="C52" s="347">
        <v>2</v>
      </c>
      <c r="D52" s="399">
        <v>0</v>
      </c>
      <c r="E52" s="348">
        <v>0</v>
      </c>
      <c r="F52" s="349">
        <f t="shared" si="32"/>
        <v>5</v>
      </c>
      <c r="G52" s="339" t="s">
        <v>110</v>
      </c>
      <c r="H52" s="147">
        <v>35</v>
      </c>
      <c r="I52" s="312">
        <v>0</v>
      </c>
      <c r="J52" s="401">
        <v>5</v>
      </c>
      <c r="K52" s="247">
        <v>5</v>
      </c>
      <c r="L52" s="76">
        <f t="shared" si="33"/>
        <v>45</v>
      </c>
    </row>
    <row r="53" spans="1:12" ht="14.95" thickBot="1" x14ac:dyDescent="0.3">
      <c r="A53" s="340" t="s">
        <v>253</v>
      </c>
      <c r="B53" s="346">
        <v>5</v>
      </c>
      <c r="C53" s="347">
        <v>0</v>
      </c>
      <c r="D53" s="399">
        <v>0</v>
      </c>
      <c r="E53" s="348">
        <v>0</v>
      </c>
      <c r="F53" s="349">
        <f t="shared" si="32"/>
        <v>5</v>
      </c>
      <c r="G53" s="339" t="s">
        <v>86</v>
      </c>
      <c r="H53" s="147">
        <v>25</v>
      </c>
      <c r="I53" s="312">
        <v>0</v>
      </c>
      <c r="J53" s="401">
        <v>5</v>
      </c>
      <c r="K53" s="247">
        <v>0</v>
      </c>
      <c r="L53" s="76">
        <f t="shared" si="33"/>
        <v>30</v>
      </c>
    </row>
    <row r="54" spans="1:12" ht="14.95" thickBot="1" x14ac:dyDescent="0.3">
      <c r="A54" s="340" t="s">
        <v>82</v>
      </c>
      <c r="B54" s="346">
        <v>3</v>
      </c>
      <c r="C54" s="347">
        <v>1</v>
      </c>
      <c r="D54" s="399">
        <v>0</v>
      </c>
      <c r="E54" s="348">
        <v>1</v>
      </c>
      <c r="F54" s="349">
        <f t="shared" si="32"/>
        <v>5</v>
      </c>
      <c r="G54" s="339" t="s">
        <v>157</v>
      </c>
      <c r="H54" s="147">
        <v>0</v>
      </c>
      <c r="I54" s="312">
        <v>9</v>
      </c>
      <c r="J54" s="401">
        <v>0</v>
      </c>
      <c r="K54" s="247">
        <v>21</v>
      </c>
      <c r="L54" s="76">
        <f t="shared" si="33"/>
        <v>30</v>
      </c>
    </row>
    <row r="55" spans="1:12" ht="14.95" thickBot="1" x14ac:dyDescent="0.3">
      <c r="A55" s="340" t="s">
        <v>790</v>
      </c>
      <c r="B55" s="346">
        <v>1</v>
      </c>
      <c r="C55" s="347">
        <v>0</v>
      </c>
      <c r="D55" s="399">
        <v>0</v>
      </c>
      <c r="E55" s="348">
        <v>3</v>
      </c>
      <c r="F55" s="349">
        <f t="shared" si="32"/>
        <v>4</v>
      </c>
      <c r="G55" s="339" t="s">
        <v>937</v>
      </c>
      <c r="H55" s="147">
        <v>15</v>
      </c>
      <c r="I55" s="312">
        <v>10</v>
      </c>
      <c r="J55" s="401">
        <v>0</v>
      </c>
      <c r="K55" s="247">
        <v>0</v>
      </c>
      <c r="L55" s="76">
        <f t="shared" si="33"/>
        <v>25</v>
      </c>
    </row>
    <row r="56" spans="1:12" ht="14.95" thickBot="1" x14ac:dyDescent="0.3">
      <c r="A56" s="340" t="s">
        <v>679</v>
      </c>
      <c r="B56" s="346">
        <v>3</v>
      </c>
      <c r="C56" s="347">
        <v>0</v>
      </c>
      <c r="D56" s="399">
        <v>0</v>
      </c>
      <c r="E56" s="348">
        <v>1</v>
      </c>
      <c r="F56" s="349">
        <f t="shared" si="32"/>
        <v>4</v>
      </c>
      <c r="G56" s="339" t="s">
        <v>82</v>
      </c>
      <c r="H56" s="147">
        <v>15</v>
      </c>
      <c r="I56" s="312">
        <v>5</v>
      </c>
      <c r="J56" s="401">
        <v>0</v>
      </c>
      <c r="K56" s="247">
        <v>5</v>
      </c>
      <c r="L56" s="76">
        <f t="shared" si="33"/>
        <v>25</v>
      </c>
    </row>
    <row r="57" spans="1:12" ht="14.95" thickBot="1" x14ac:dyDescent="0.3">
      <c r="A57" s="340" t="s">
        <v>45</v>
      </c>
      <c r="B57" s="346">
        <v>4</v>
      </c>
      <c r="C57" s="347">
        <v>0</v>
      </c>
      <c r="D57" s="399">
        <v>0</v>
      </c>
      <c r="E57" s="348">
        <v>0</v>
      </c>
      <c r="F57" s="349">
        <f t="shared" si="32"/>
        <v>4</v>
      </c>
      <c r="G57" s="339" t="s">
        <v>609</v>
      </c>
      <c r="H57" s="147">
        <v>15</v>
      </c>
      <c r="I57" s="312">
        <v>0</v>
      </c>
      <c r="J57" s="401">
        <v>0</v>
      </c>
      <c r="K57" s="247">
        <v>8</v>
      </c>
      <c r="L57" s="76">
        <f t="shared" si="33"/>
        <v>23</v>
      </c>
    </row>
    <row r="58" spans="1:12" ht="14.95" thickBot="1" x14ac:dyDescent="0.3">
      <c r="A58" s="340" t="s">
        <v>41</v>
      </c>
      <c r="B58" s="346">
        <v>2</v>
      </c>
      <c r="C58" s="347">
        <v>2</v>
      </c>
      <c r="D58" s="399">
        <v>0</v>
      </c>
      <c r="E58" s="348">
        <v>0</v>
      </c>
      <c r="F58" s="349">
        <f t="shared" si="32"/>
        <v>4</v>
      </c>
      <c r="G58" s="339" t="s">
        <v>790</v>
      </c>
      <c r="H58" s="147">
        <v>5</v>
      </c>
      <c r="I58" s="312">
        <v>0</v>
      </c>
      <c r="J58" s="401">
        <v>0</v>
      </c>
      <c r="K58" s="247">
        <v>15</v>
      </c>
      <c r="L58" s="76">
        <f t="shared" si="33"/>
        <v>20</v>
      </c>
    </row>
    <row r="59" spans="1:12" ht="14.95" thickBot="1" x14ac:dyDescent="0.3">
      <c r="A59" s="340" t="s">
        <v>105</v>
      </c>
      <c r="B59" s="346">
        <v>3</v>
      </c>
      <c r="C59" s="347">
        <v>0</v>
      </c>
      <c r="D59" s="399">
        <v>0</v>
      </c>
      <c r="E59" s="348">
        <v>1</v>
      </c>
      <c r="F59" s="349">
        <f t="shared" si="32"/>
        <v>4</v>
      </c>
      <c r="G59" s="339" t="s">
        <v>679</v>
      </c>
      <c r="H59" s="147">
        <v>15</v>
      </c>
      <c r="I59" s="312">
        <v>0</v>
      </c>
      <c r="J59" s="401">
        <v>0</v>
      </c>
      <c r="K59" s="247">
        <v>5</v>
      </c>
      <c r="L59" s="76">
        <f t="shared" si="33"/>
        <v>20</v>
      </c>
    </row>
    <row r="60" spans="1:12" ht="14.95" thickBot="1" x14ac:dyDescent="0.3">
      <c r="A60" s="340" t="s">
        <v>93</v>
      </c>
      <c r="B60" s="346">
        <v>3</v>
      </c>
      <c r="C60" s="347">
        <v>1</v>
      </c>
      <c r="D60" s="399">
        <v>0</v>
      </c>
      <c r="E60" s="348">
        <v>0</v>
      </c>
      <c r="F60" s="349">
        <f t="shared" si="32"/>
        <v>4</v>
      </c>
      <c r="G60" s="339" t="s">
        <v>45</v>
      </c>
      <c r="H60" s="147">
        <v>20</v>
      </c>
      <c r="I60" s="312">
        <v>0</v>
      </c>
      <c r="J60" s="401">
        <v>0</v>
      </c>
      <c r="K60" s="247">
        <v>0</v>
      </c>
      <c r="L60" s="76">
        <f t="shared" si="33"/>
        <v>20</v>
      </c>
    </row>
    <row r="61" spans="1:12" ht="14.95" thickBot="1" x14ac:dyDescent="0.3">
      <c r="A61" s="340" t="s">
        <v>248</v>
      </c>
      <c r="B61" s="346">
        <v>0</v>
      </c>
      <c r="C61" s="347">
        <v>1</v>
      </c>
      <c r="D61" s="399">
        <v>0</v>
      </c>
      <c r="E61" s="348">
        <v>2</v>
      </c>
      <c r="F61" s="349">
        <f t="shared" si="32"/>
        <v>3</v>
      </c>
      <c r="G61" s="339" t="s">
        <v>41</v>
      </c>
      <c r="H61" s="147">
        <v>10</v>
      </c>
      <c r="I61" s="312">
        <v>10</v>
      </c>
      <c r="J61" s="401">
        <v>0</v>
      </c>
      <c r="K61" s="247">
        <v>0</v>
      </c>
      <c r="L61" s="76">
        <f t="shared" si="33"/>
        <v>20</v>
      </c>
    </row>
    <row r="62" spans="1:12" ht="14.95" thickBot="1" x14ac:dyDescent="0.3">
      <c r="A62" s="340" t="s">
        <v>609</v>
      </c>
      <c r="B62" s="346">
        <v>3</v>
      </c>
      <c r="C62" s="347">
        <v>0</v>
      </c>
      <c r="D62" s="399">
        <v>0</v>
      </c>
      <c r="E62" s="348">
        <v>0</v>
      </c>
      <c r="F62" s="349">
        <f t="shared" si="32"/>
        <v>3</v>
      </c>
      <c r="G62" s="339" t="s">
        <v>105</v>
      </c>
      <c r="H62" s="147">
        <v>15</v>
      </c>
      <c r="I62" s="312">
        <v>0</v>
      </c>
      <c r="J62" s="401">
        <v>0</v>
      </c>
      <c r="K62" s="247">
        <v>5</v>
      </c>
      <c r="L62" s="76">
        <f t="shared" si="33"/>
        <v>20</v>
      </c>
    </row>
    <row r="63" spans="1:12" ht="14.95" thickBot="1" x14ac:dyDescent="0.3">
      <c r="A63" s="340" t="s">
        <v>261</v>
      </c>
      <c r="B63" s="346">
        <v>0</v>
      </c>
      <c r="C63" s="347">
        <v>0</v>
      </c>
      <c r="D63" s="399">
        <v>0</v>
      </c>
      <c r="E63" s="348">
        <v>2</v>
      </c>
      <c r="F63" s="349">
        <f t="shared" si="32"/>
        <v>2</v>
      </c>
      <c r="G63" s="339" t="s">
        <v>93</v>
      </c>
      <c r="H63" s="147">
        <v>15</v>
      </c>
      <c r="I63" s="312">
        <v>5</v>
      </c>
      <c r="J63" s="401">
        <v>0</v>
      </c>
      <c r="K63" s="247">
        <v>0</v>
      </c>
      <c r="L63" s="76">
        <f t="shared" si="33"/>
        <v>20</v>
      </c>
    </row>
    <row r="64" spans="1:12" ht="14.95" thickBot="1" x14ac:dyDescent="0.3">
      <c r="A64" s="340" t="s">
        <v>911</v>
      </c>
      <c r="B64" s="346">
        <v>0</v>
      </c>
      <c r="C64" s="347">
        <v>0</v>
      </c>
      <c r="D64" s="399">
        <v>0</v>
      </c>
      <c r="E64" s="348">
        <v>2</v>
      </c>
      <c r="F64" s="349">
        <f t="shared" si="32"/>
        <v>2</v>
      </c>
      <c r="G64" s="339" t="s">
        <v>248</v>
      </c>
      <c r="H64" s="147">
        <v>0</v>
      </c>
      <c r="I64" s="312">
        <v>7</v>
      </c>
      <c r="J64" s="401">
        <v>0</v>
      </c>
      <c r="K64" s="247">
        <v>10</v>
      </c>
      <c r="L64" s="76">
        <f t="shared" si="33"/>
        <v>17</v>
      </c>
    </row>
    <row r="65" spans="1:12" ht="14.95" thickBot="1" x14ac:dyDescent="0.3">
      <c r="A65" s="340" t="s">
        <v>484</v>
      </c>
      <c r="B65" s="346">
        <v>2</v>
      </c>
      <c r="C65" s="347">
        <v>0</v>
      </c>
      <c r="D65" s="399">
        <v>0</v>
      </c>
      <c r="E65" s="348">
        <v>0</v>
      </c>
      <c r="F65" s="349">
        <f t="shared" si="32"/>
        <v>2</v>
      </c>
      <c r="G65" s="339" t="s">
        <v>261</v>
      </c>
      <c r="H65" s="147">
        <v>0</v>
      </c>
      <c r="I65" s="312">
        <v>0</v>
      </c>
      <c r="J65" s="401">
        <v>0</v>
      </c>
      <c r="K65" s="247">
        <v>10</v>
      </c>
      <c r="L65" s="76">
        <f t="shared" si="33"/>
        <v>10</v>
      </c>
    </row>
    <row r="66" spans="1:12" ht="14.95" thickBot="1" x14ac:dyDescent="0.3">
      <c r="A66" s="340" t="s">
        <v>605</v>
      </c>
      <c r="B66" s="346">
        <v>0</v>
      </c>
      <c r="C66" s="347">
        <v>0</v>
      </c>
      <c r="D66" s="399">
        <v>0</v>
      </c>
      <c r="E66" s="348">
        <v>2</v>
      </c>
      <c r="F66" s="349">
        <f t="shared" si="32"/>
        <v>2</v>
      </c>
      <c r="G66" s="339" t="s">
        <v>911</v>
      </c>
      <c r="H66" s="147">
        <v>0</v>
      </c>
      <c r="I66" s="312">
        <v>0</v>
      </c>
      <c r="J66" s="401">
        <v>0</v>
      </c>
      <c r="K66" s="247">
        <v>10</v>
      </c>
      <c r="L66" s="76">
        <f t="shared" si="33"/>
        <v>10</v>
      </c>
    </row>
    <row r="67" spans="1:12" ht="14.95" thickBot="1" x14ac:dyDescent="0.3">
      <c r="A67" s="340" t="s">
        <v>909</v>
      </c>
      <c r="B67" s="346">
        <v>0</v>
      </c>
      <c r="C67" s="347">
        <v>0</v>
      </c>
      <c r="D67" s="399">
        <v>0</v>
      </c>
      <c r="E67" s="348">
        <v>1</v>
      </c>
      <c r="F67" s="349">
        <f t="shared" si="32"/>
        <v>1</v>
      </c>
      <c r="G67" s="339" t="s">
        <v>484</v>
      </c>
      <c r="H67" s="147">
        <v>10</v>
      </c>
      <c r="I67" s="312">
        <v>0</v>
      </c>
      <c r="J67" s="401">
        <v>0</v>
      </c>
      <c r="K67" s="247">
        <v>0</v>
      </c>
      <c r="L67" s="76">
        <f t="shared" si="33"/>
        <v>10</v>
      </c>
    </row>
    <row r="68" spans="1:12" ht="14.95" thickBot="1" x14ac:dyDescent="0.3">
      <c r="A68" s="340" t="s">
        <v>628</v>
      </c>
      <c r="B68" s="346">
        <v>0</v>
      </c>
      <c r="C68" s="347">
        <v>0</v>
      </c>
      <c r="D68" s="399">
        <v>0</v>
      </c>
      <c r="E68" s="348">
        <v>1</v>
      </c>
      <c r="F68" s="349">
        <f t="shared" si="32"/>
        <v>1</v>
      </c>
      <c r="G68" s="339" t="s">
        <v>605</v>
      </c>
      <c r="H68" s="147">
        <v>0</v>
      </c>
      <c r="I68" s="312">
        <v>0</v>
      </c>
      <c r="J68" s="401">
        <v>0</v>
      </c>
      <c r="K68" s="247">
        <v>10</v>
      </c>
      <c r="L68" s="76">
        <f t="shared" si="33"/>
        <v>10</v>
      </c>
    </row>
    <row r="69" spans="1:12" ht="14.95" thickBot="1" x14ac:dyDescent="0.3">
      <c r="A69" s="340" t="s">
        <v>290</v>
      </c>
      <c r="B69" s="346">
        <v>0</v>
      </c>
      <c r="C69" s="347">
        <v>1</v>
      </c>
      <c r="D69" s="399">
        <v>0</v>
      </c>
      <c r="E69" s="348">
        <v>0</v>
      </c>
      <c r="F69" s="349">
        <f t="shared" si="32"/>
        <v>1</v>
      </c>
      <c r="G69" s="339" t="s">
        <v>909</v>
      </c>
      <c r="H69" s="147">
        <v>0</v>
      </c>
      <c r="I69" s="312">
        <v>0</v>
      </c>
      <c r="J69" s="401">
        <v>0</v>
      </c>
      <c r="K69" s="247">
        <v>5</v>
      </c>
      <c r="L69" s="76">
        <f t="shared" si="33"/>
        <v>5</v>
      </c>
    </row>
    <row r="70" spans="1:12" ht="14.95" thickBot="1" x14ac:dyDescent="0.3">
      <c r="A70" s="340" t="s">
        <v>966</v>
      </c>
      <c r="B70" s="346">
        <v>0</v>
      </c>
      <c r="C70" s="347">
        <v>1</v>
      </c>
      <c r="D70" s="399">
        <v>0</v>
      </c>
      <c r="E70" s="348">
        <v>0</v>
      </c>
      <c r="F70" s="349">
        <f t="shared" si="32"/>
        <v>1</v>
      </c>
      <c r="G70" s="339" t="s">
        <v>628</v>
      </c>
      <c r="H70" s="147">
        <v>0</v>
      </c>
      <c r="I70" s="312">
        <v>0</v>
      </c>
      <c r="J70" s="401">
        <v>0</v>
      </c>
      <c r="K70" s="247">
        <v>5</v>
      </c>
      <c r="L70" s="76">
        <f t="shared" si="33"/>
        <v>5</v>
      </c>
    </row>
    <row r="71" spans="1:12" ht="14.95" thickBot="1" x14ac:dyDescent="0.3">
      <c r="A71" s="340" t="s">
        <v>287</v>
      </c>
      <c r="B71" s="346">
        <v>1</v>
      </c>
      <c r="C71" s="347">
        <v>0</v>
      </c>
      <c r="D71" s="399">
        <v>0</v>
      </c>
      <c r="E71" s="348">
        <v>0</v>
      </c>
      <c r="F71" s="349">
        <f t="shared" si="32"/>
        <v>1</v>
      </c>
      <c r="G71" s="339" t="s">
        <v>966</v>
      </c>
      <c r="H71" s="147">
        <v>0</v>
      </c>
      <c r="I71" s="312">
        <v>5</v>
      </c>
      <c r="J71" s="401">
        <v>0</v>
      </c>
      <c r="K71" s="247">
        <v>0</v>
      </c>
      <c r="L71" s="76">
        <f t="shared" si="33"/>
        <v>5</v>
      </c>
    </row>
    <row r="72" spans="1:12" ht="14.95" thickBot="1" x14ac:dyDescent="0.3">
      <c r="A72" s="340" t="s">
        <v>910</v>
      </c>
      <c r="B72" s="346">
        <v>0</v>
      </c>
      <c r="C72" s="347">
        <v>0</v>
      </c>
      <c r="D72" s="399">
        <v>0</v>
      </c>
      <c r="E72" s="348">
        <v>1</v>
      </c>
      <c r="F72" s="349">
        <f t="shared" si="32"/>
        <v>1</v>
      </c>
      <c r="G72" s="339" t="s">
        <v>287</v>
      </c>
      <c r="H72" s="147">
        <v>5</v>
      </c>
      <c r="I72" s="312">
        <v>0</v>
      </c>
      <c r="J72" s="401">
        <v>0</v>
      </c>
      <c r="K72" s="247">
        <v>0</v>
      </c>
      <c r="L72" s="76">
        <f t="shared" si="33"/>
        <v>5</v>
      </c>
    </row>
    <row r="73" spans="1:12" ht="14.95" thickBot="1" x14ac:dyDescent="0.3">
      <c r="A73" s="340" t="s">
        <v>422</v>
      </c>
      <c r="B73" s="346">
        <v>1</v>
      </c>
      <c r="C73" s="347">
        <v>0</v>
      </c>
      <c r="D73" s="399">
        <v>0</v>
      </c>
      <c r="E73" s="348">
        <v>0</v>
      </c>
      <c r="F73" s="349">
        <f t="shared" si="32"/>
        <v>1</v>
      </c>
      <c r="G73" s="339" t="s">
        <v>910</v>
      </c>
      <c r="H73" s="147">
        <v>0</v>
      </c>
      <c r="I73" s="312">
        <v>0</v>
      </c>
      <c r="J73" s="401">
        <v>0</v>
      </c>
      <c r="K73" s="247">
        <v>5</v>
      </c>
      <c r="L73" s="76">
        <f t="shared" si="33"/>
        <v>5</v>
      </c>
    </row>
    <row r="74" spans="1:12" ht="14.95" thickBot="1" x14ac:dyDescent="0.3">
      <c r="A74" s="340" t="s">
        <v>995</v>
      </c>
      <c r="B74" s="346">
        <v>0</v>
      </c>
      <c r="C74" s="347">
        <v>1</v>
      </c>
      <c r="D74" s="399">
        <v>0</v>
      </c>
      <c r="E74" s="348">
        <v>0</v>
      </c>
      <c r="F74" s="349">
        <f t="shared" si="32"/>
        <v>1</v>
      </c>
      <c r="G74" s="339" t="s">
        <v>422</v>
      </c>
      <c r="H74" s="147">
        <v>5</v>
      </c>
      <c r="I74" s="312">
        <v>0</v>
      </c>
      <c r="J74" s="401">
        <v>0</v>
      </c>
      <c r="K74" s="247">
        <v>0</v>
      </c>
      <c r="L74" s="76">
        <f t="shared" si="33"/>
        <v>5</v>
      </c>
    </row>
    <row r="75" spans="1:12" ht="14.95" thickBot="1" x14ac:dyDescent="0.3">
      <c r="A75" s="340" t="s">
        <v>56</v>
      </c>
      <c r="B75" s="346">
        <v>0</v>
      </c>
      <c r="C75" s="347">
        <v>0</v>
      </c>
      <c r="D75" s="399">
        <v>0</v>
      </c>
      <c r="E75" s="348">
        <v>0</v>
      </c>
      <c r="F75" s="349">
        <f t="shared" si="32"/>
        <v>0</v>
      </c>
      <c r="G75" s="339" t="s">
        <v>995</v>
      </c>
      <c r="H75" s="147">
        <v>0</v>
      </c>
      <c r="I75" s="312">
        <v>5</v>
      </c>
      <c r="J75" s="401">
        <v>0</v>
      </c>
      <c r="K75" s="247">
        <v>0</v>
      </c>
      <c r="L75" s="76">
        <f t="shared" si="33"/>
        <v>5</v>
      </c>
    </row>
    <row r="76" spans="1:12" ht="14.95" thickBot="1" x14ac:dyDescent="0.3">
      <c r="A76" s="340" t="s">
        <v>84</v>
      </c>
      <c r="B76" s="346">
        <v>0</v>
      </c>
      <c r="C76" s="347">
        <v>0</v>
      </c>
      <c r="D76" s="399">
        <v>0</v>
      </c>
      <c r="E76" s="348">
        <v>0</v>
      </c>
      <c r="F76" s="349">
        <f t="shared" si="32"/>
        <v>0</v>
      </c>
      <c r="G76" s="339" t="s">
        <v>56</v>
      </c>
      <c r="H76" s="147">
        <v>0</v>
      </c>
      <c r="I76" s="312">
        <v>0</v>
      </c>
      <c r="J76" s="401">
        <v>0</v>
      </c>
      <c r="K76" s="247">
        <v>0</v>
      </c>
      <c r="L76" s="76">
        <f t="shared" si="33"/>
        <v>0</v>
      </c>
    </row>
    <row r="77" spans="1:12" ht="14.95" thickBot="1" x14ac:dyDescent="0.3">
      <c r="A77" s="340" t="s">
        <v>311</v>
      </c>
      <c r="B77" s="346">
        <v>0</v>
      </c>
      <c r="C77" s="347">
        <v>0</v>
      </c>
      <c r="D77" s="399">
        <v>0</v>
      </c>
      <c r="E77" s="348">
        <v>0</v>
      </c>
      <c r="F77" s="349">
        <f t="shared" si="32"/>
        <v>0</v>
      </c>
      <c r="G77" s="339" t="s">
        <v>84</v>
      </c>
      <c r="H77" s="147">
        <v>0</v>
      </c>
      <c r="I77" s="312">
        <v>0</v>
      </c>
      <c r="J77" s="401">
        <v>0</v>
      </c>
      <c r="K77" s="247">
        <v>0</v>
      </c>
      <c r="L77" s="76">
        <f t="shared" si="33"/>
        <v>0</v>
      </c>
    </row>
    <row r="78" spans="1:12" ht="14.95" thickBot="1" x14ac:dyDescent="0.3">
      <c r="A78" s="340" t="s">
        <v>767</v>
      </c>
      <c r="B78" s="346">
        <v>0</v>
      </c>
      <c r="C78" s="347">
        <v>0</v>
      </c>
      <c r="D78" s="399">
        <v>0</v>
      </c>
      <c r="E78" s="348">
        <v>0</v>
      </c>
      <c r="F78" s="349">
        <f t="shared" si="32"/>
        <v>0</v>
      </c>
      <c r="G78" s="339" t="s">
        <v>767</v>
      </c>
      <c r="H78" s="147">
        <v>0</v>
      </c>
      <c r="I78" s="312">
        <v>0</v>
      </c>
      <c r="J78" s="401">
        <v>0</v>
      </c>
      <c r="K78" s="247">
        <v>0</v>
      </c>
      <c r="L78" s="76">
        <f t="shared" si="33"/>
        <v>0</v>
      </c>
    </row>
    <row r="79" spans="1:12" ht="14.95" thickBot="1" x14ac:dyDescent="0.3">
      <c r="A79" s="340" t="s">
        <v>27</v>
      </c>
      <c r="B79" s="346">
        <v>0</v>
      </c>
      <c r="C79" s="347">
        <v>0</v>
      </c>
      <c r="D79" s="399">
        <v>0</v>
      </c>
      <c r="E79" s="348">
        <v>0</v>
      </c>
      <c r="F79" s="349">
        <f t="shared" si="32"/>
        <v>0</v>
      </c>
      <c r="G79" s="339" t="s">
        <v>27</v>
      </c>
      <c r="H79" s="147">
        <v>0</v>
      </c>
      <c r="I79" s="312">
        <v>0</v>
      </c>
      <c r="J79" s="401">
        <v>0</v>
      </c>
      <c r="K79" s="247">
        <v>0</v>
      </c>
      <c r="L79" s="76">
        <f t="shared" si="33"/>
        <v>0</v>
      </c>
    </row>
    <row r="80" spans="1:12" ht="14.95" thickBot="1" x14ac:dyDescent="0.3">
      <c r="A80" s="340" t="s">
        <v>680</v>
      </c>
      <c r="B80" s="346">
        <v>0</v>
      </c>
      <c r="C80" s="347">
        <v>0</v>
      </c>
      <c r="D80" s="399">
        <v>0</v>
      </c>
      <c r="E80" s="348">
        <v>0</v>
      </c>
      <c r="F80" s="349">
        <f t="shared" si="32"/>
        <v>0</v>
      </c>
      <c r="G80" s="339" t="s">
        <v>680</v>
      </c>
      <c r="H80" s="147">
        <v>0</v>
      </c>
      <c r="I80" s="312">
        <v>0</v>
      </c>
      <c r="J80" s="401">
        <v>0</v>
      </c>
      <c r="K80" s="247">
        <v>0</v>
      </c>
      <c r="L80" s="76">
        <f t="shared" si="33"/>
        <v>0</v>
      </c>
    </row>
    <row r="81" spans="1:12" ht="14.95" thickBot="1" x14ac:dyDescent="0.3">
      <c r="A81" s="340" t="s">
        <v>106</v>
      </c>
      <c r="B81" s="346">
        <v>0</v>
      </c>
      <c r="C81" s="347">
        <v>0</v>
      </c>
      <c r="D81" s="399">
        <v>0</v>
      </c>
      <c r="E81" s="348">
        <v>0</v>
      </c>
      <c r="F81" s="349">
        <f t="shared" si="32"/>
        <v>0</v>
      </c>
      <c r="G81" s="339" t="s">
        <v>107</v>
      </c>
      <c r="H81" s="147">
        <v>0</v>
      </c>
      <c r="I81" s="312">
        <v>0</v>
      </c>
      <c r="J81" s="401">
        <v>0</v>
      </c>
      <c r="K81" s="247">
        <v>0</v>
      </c>
      <c r="L81" s="76">
        <f t="shared" si="33"/>
        <v>0</v>
      </c>
    </row>
    <row r="82" spans="1:12" ht="14.95" thickBot="1" x14ac:dyDescent="0.3">
      <c r="A82" s="340" t="s">
        <v>824</v>
      </c>
      <c r="B82" s="346">
        <v>0</v>
      </c>
      <c r="C82" s="347">
        <v>0</v>
      </c>
      <c r="D82" s="399">
        <v>0</v>
      </c>
      <c r="E82" s="348">
        <v>0</v>
      </c>
      <c r="F82" s="349">
        <f t="shared" si="32"/>
        <v>0</v>
      </c>
      <c r="G82" s="339" t="s">
        <v>824</v>
      </c>
      <c r="H82" s="147">
        <v>0</v>
      </c>
      <c r="I82" s="312">
        <v>0</v>
      </c>
      <c r="J82" s="401">
        <v>0</v>
      </c>
      <c r="K82" s="247">
        <v>0</v>
      </c>
      <c r="L82" s="76">
        <f t="shared" si="33"/>
        <v>0</v>
      </c>
    </row>
    <row r="83" spans="1:12" ht="14.95" thickBot="1" x14ac:dyDescent="0.3">
      <c r="A83" s="340" t="s">
        <v>36</v>
      </c>
      <c r="B83" s="346">
        <v>0</v>
      </c>
      <c r="C83" s="347">
        <v>0</v>
      </c>
      <c r="D83" s="399">
        <v>0</v>
      </c>
      <c r="E83" s="348">
        <v>0</v>
      </c>
      <c r="F83" s="349">
        <f t="shared" si="32"/>
        <v>0</v>
      </c>
      <c r="G83" s="339" t="s">
        <v>36</v>
      </c>
      <c r="H83" s="147">
        <v>0</v>
      </c>
      <c r="I83" s="312">
        <v>0</v>
      </c>
      <c r="J83" s="401">
        <v>0</v>
      </c>
      <c r="K83" s="247">
        <v>0</v>
      </c>
      <c r="L83" s="76">
        <f t="shared" si="33"/>
        <v>0</v>
      </c>
    </row>
    <row r="84" spans="1:12" ht="14.95" thickBot="1" x14ac:dyDescent="0.3">
      <c r="A84" s="340" t="s">
        <v>304</v>
      </c>
      <c r="B84" s="346">
        <v>0</v>
      </c>
      <c r="C84" s="347">
        <v>0</v>
      </c>
      <c r="D84" s="399">
        <v>0</v>
      </c>
      <c r="E84" s="348">
        <v>0</v>
      </c>
      <c r="F84" s="349">
        <f t="shared" si="32"/>
        <v>0</v>
      </c>
      <c r="G84" s="339" t="s">
        <v>304</v>
      </c>
      <c r="H84" s="147">
        <v>0</v>
      </c>
      <c r="I84" s="312">
        <v>0</v>
      </c>
      <c r="J84" s="401">
        <v>0</v>
      </c>
      <c r="K84" s="247">
        <v>0</v>
      </c>
      <c r="L84" s="76">
        <f t="shared" si="33"/>
        <v>0</v>
      </c>
    </row>
    <row r="85" spans="1:12" ht="14.95" thickBot="1" x14ac:dyDescent="0.3">
      <c r="A85" s="340" t="s">
        <v>5</v>
      </c>
      <c r="B85" s="346">
        <v>0</v>
      </c>
      <c r="C85" s="347">
        <v>0</v>
      </c>
      <c r="D85" s="399">
        <v>0</v>
      </c>
      <c r="E85" s="348">
        <v>0</v>
      </c>
      <c r="F85" s="349">
        <f t="shared" si="32"/>
        <v>0</v>
      </c>
      <c r="G85" s="339" t="s">
        <v>5</v>
      </c>
      <c r="H85" s="147">
        <v>0</v>
      </c>
      <c r="I85" s="312">
        <v>0</v>
      </c>
      <c r="J85" s="401">
        <v>0</v>
      </c>
      <c r="K85" s="247">
        <v>0</v>
      </c>
      <c r="L85" s="76">
        <f t="shared" si="33"/>
        <v>0</v>
      </c>
    </row>
    <row r="86" spans="1:12" ht="14.95" thickBot="1" x14ac:dyDescent="0.3">
      <c r="A86" s="340" t="s">
        <v>467</v>
      </c>
      <c r="B86" s="346">
        <v>0</v>
      </c>
      <c r="C86" s="347">
        <v>0</v>
      </c>
      <c r="D86" s="399">
        <v>0</v>
      </c>
      <c r="E86" s="348">
        <v>0</v>
      </c>
      <c r="F86" s="349">
        <f t="shared" si="32"/>
        <v>0</v>
      </c>
      <c r="G86" s="339" t="s">
        <v>467</v>
      </c>
      <c r="H86" s="147">
        <v>0</v>
      </c>
      <c r="I86" s="312">
        <v>0</v>
      </c>
      <c r="J86" s="401">
        <v>0</v>
      </c>
      <c r="K86" s="247">
        <v>0</v>
      </c>
      <c r="L86" s="76">
        <f t="shared" si="33"/>
        <v>0</v>
      </c>
    </row>
    <row r="87" spans="1:12" ht="14.3" customHeight="1" thickBot="1" x14ac:dyDescent="0.3">
      <c r="A87" s="340" t="s">
        <v>423</v>
      </c>
      <c r="B87" s="346">
        <v>0</v>
      </c>
      <c r="C87" s="347">
        <v>0</v>
      </c>
      <c r="D87" s="399">
        <v>0</v>
      </c>
      <c r="E87" s="348">
        <v>0</v>
      </c>
      <c r="F87" s="349">
        <f t="shared" si="32"/>
        <v>0</v>
      </c>
      <c r="G87" s="339" t="s">
        <v>423</v>
      </c>
      <c r="H87" s="147">
        <v>0</v>
      </c>
      <c r="I87" s="312">
        <v>0</v>
      </c>
      <c r="J87" s="401">
        <v>0</v>
      </c>
      <c r="K87" s="247">
        <v>0</v>
      </c>
      <c r="L87" s="76">
        <f t="shared" si="33"/>
        <v>0</v>
      </c>
    </row>
    <row r="88" spans="1:12" ht="14.95" thickBot="1" x14ac:dyDescent="0.3">
      <c r="A88" s="340" t="s">
        <v>6</v>
      </c>
      <c r="B88" s="346">
        <v>0</v>
      </c>
      <c r="C88" s="347">
        <v>0</v>
      </c>
      <c r="D88" s="399">
        <v>0</v>
      </c>
      <c r="E88" s="348">
        <v>0</v>
      </c>
      <c r="F88" s="349">
        <f t="shared" si="32"/>
        <v>0</v>
      </c>
      <c r="G88" s="339" t="s">
        <v>6</v>
      </c>
      <c r="H88" s="147">
        <v>0</v>
      </c>
      <c r="I88" s="312">
        <v>0</v>
      </c>
      <c r="J88" s="401">
        <v>0</v>
      </c>
      <c r="K88" s="247">
        <v>0</v>
      </c>
      <c r="L88" s="76">
        <f t="shared" si="33"/>
        <v>0</v>
      </c>
    </row>
    <row r="89" spans="1:12" ht="14.3" customHeight="1" thickBot="1" x14ac:dyDescent="0.3">
      <c r="A89" s="340" t="s">
        <v>3</v>
      </c>
      <c r="B89" s="346">
        <f>SUM(B48:B88)</f>
        <v>58</v>
      </c>
      <c r="C89" s="347">
        <f>SUM(C48:C88)</f>
        <v>13</v>
      </c>
      <c r="D89" s="399">
        <f>SUM(D48:D88)</f>
        <v>2</v>
      </c>
      <c r="E89" s="348">
        <f>SUM(E48:E88)</f>
        <v>24</v>
      </c>
      <c r="F89" s="349">
        <f>SUM(F48:F88)</f>
        <v>97</v>
      </c>
      <c r="G89" s="339" t="s">
        <v>3</v>
      </c>
      <c r="H89" s="147">
        <f>SUM(H48:H88)</f>
        <v>433</v>
      </c>
      <c r="I89" s="312">
        <f>SUM(I48:I88)</f>
        <v>103</v>
      </c>
      <c r="J89" s="401">
        <f>SUM(J48:J88)</f>
        <v>15</v>
      </c>
      <c r="K89" s="247">
        <f>SUM(K48:K88)</f>
        <v>159</v>
      </c>
      <c r="L89" s="76">
        <f>SUM(L48:L88)</f>
        <v>710</v>
      </c>
    </row>
    <row r="90" spans="1:12" x14ac:dyDescent="0.25">
      <c r="A90" s="420" t="s">
        <v>57</v>
      </c>
      <c r="B90" s="421"/>
      <c r="C90" s="421"/>
      <c r="D90" s="421"/>
      <c r="E90" s="421"/>
      <c r="F90" s="421"/>
      <c r="G90" s="421"/>
      <c r="H90" s="421"/>
      <c r="I90" s="421"/>
      <c r="J90" s="421"/>
      <c r="K90" s="421"/>
      <c r="L90" s="421"/>
    </row>
  </sheetData>
  <sortState xmlns:xlrd2="http://schemas.microsoft.com/office/spreadsheetml/2017/richdata2" ref="G48:L88">
    <sortCondition descending="1" ref="L48:L88"/>
  </sortState>
  <mergeCells count="51">
    <mergeCell ref="A90:L90"/>
    <mergeCell ref="AE21:AG22"/>
    <mergeCell ref="AE29:AG30"/>
    <mergeCell ref="AZ1:BB2"/>
    <mergeCell ref="AW1:AY2"/>
    <mergeCell ref="AW12:AY13"/>
    <mergeCell ref="AT12:AV13"/>
    <mergeCell ref="AQ12:AS13"/>
    <mergeCell ref="AT1:AV2"/>
    <mergeCell ref="AQ1:AS2"/>
    <mergeCell ref="AH21:AJ22"/>
    <mergeCell ref="A1:L1"/>
    <mergeCell ref="M29:M30"/>
    <mergeCell ref="N29:P30"/>
    <mergeCell ref="M12:M13"/>
    <mergeCell ref="M1:M2"/>
    <mergeCell ref="N1:P2"/>
    <mergeCell ref="M21:M22"/>
    <mergeCell ref="N21:P22"/>
    <mergeCell ref="N12:P13"/>
    <mergeCell ref="W12:Y13"/>
    <mergeCell ref="Y1:AA2"/>
    <mergeCell ref="V1:X2"/>
    <mergeCell ref="Q12:S13"/>
    <mergeCell ref="Q1:S2"/>
    <mergeCell ref="AN1:AP2"/>
    <mergeCell ref="AN12:AP13"/>
    <mergeCell ref="AK1:AM2"/>
    <mergeCell ref="T12:V13"/>
    <mergeCell ref="AK12:AM13"/>
    <mergeCell ref="AH1:AJ2"/>
    <mergeCell ref="AH12:AJ13"/>
    <mergeCell ref="AE1:AG2"/>
    <mergeCell ref="AE12:AG13"/>
    <mergeCell ref="T1:U2"/>
    <mergeCell ref="AW21:AY22"/>
    <mergeCell ref="AQ21:AS22"/>
    <mergeCell ref="AK29:AM30"/>
    <mergeCell ref="T21:V22"/>
    <mergeCell ref="AN21:AP22"/>
    <mergeCell ref="AT21:AV22"/>
    <mergeCell ref="AQ29:AS30"/>
    <mergeCell ref="AN29:AP30"/>
    <mergeCell ref="AH29:AJ30"/>
    <mergeCell ref="M38:Y38"/>
    <mergeCell ref="Q29:S30"/>
    <mergeCell ref="W29:Y30"/>
    <mergeCell ref="T29:V30"/>
    <mergeCell ref="AK21:AM22"/>
    <mergeCell ref="W21:Y22"/>
    <mergeCell ref="Q21:S22"/>
  </mergeCells>
  <pageMargins left="0.7" right="0.7" top="0.75" bottom="0.75" header="0.3" footer="0.3"/>
  <pageSetup paperSize="9" orientation="portrait" r:id="rId1"/>
  <ignoredErrors>
    <ignoredError sqref="F38 F5 L5 L30 F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1243</vt:i4>
      </vt:variant>
    </vt:vector>
  </HeadingPairs>
  <TitlesOfParts>
    <vt:vector size="1254" baseType="lpstr">
      <vt:lpstr>BTH</vt:lpstr>
      <vt:lpstr>BRI</vt:lpstr>
      <vt:lpstr>EXE</vt:lpstr>
      <vt:lpstr>GLO</vt:lpstr>
      <vt:lpstr>HAR</vt:lpstr>
      <vt:lpstr>LEI</vt:lpstr>
      <vt:lpstr>NEW</vt:lpstr>
      <vt:lpstr>NOR</vt:lpstr>
      <vt:lpstr>SAL</vt:lpstr>
      <vt:lpstr>SAR</vt:lpstr>
      <vt:lpstr>OVERALL</vt:lpstr>
      <vt:lpstr>A_Wallerpts</vt:lpstr>
      <vt:lpstr>A_Wallertries</vt:lpstr>
      <vt:lpstr>Ackermannglopts</vt:lpstr>
      <vt:lpstr>Ackermannglotries</vt:lpstr>
      <vt:lpstr>Adams_Halesarptscorrect</vt:lpstr>
      <vt:lpstr>Adams_Halesartriescorrect</vt:lpstr>
      <vt:lpstr>Adejimisarpts</vt:lpstr>
      <vt:lpstr>Adejimisartries</vt:lpstr>
      <vt:lpstr>Alemannoglopts</vt:lpstr>
      <vt:lpstr>Alemannoglotries</vt:lpstr>
      <vt:lpstr>allinsonliatt</vt:lpstr>
      <vt:lpstr>allinsonligoals</vt:lpstr>
      <vt:lpstr>Andersonharpts</vt:lpstr>
      <vt:lpstr>Andersonhartries</vt:lpstr>
      <vt:lpstr>Annettbthpts</vt:lpstr>
      <vt:lpstr>Annettbthtries</vt:lpstr>
      <vt:lpstr>Anyanwuharpts</vt:lpstr>
      <vt:lpstr>Anyanwuhartries</vt:lpstr>
      <vt:lpstr>Armanddonpts</vt:lpstr>
      <vt:lpstr>Armanddontries</vt:lpstr>
      <vt:lpstr>Armstrongbripts</vt:lpstr>
      <vt:lpstr>Armstrongbritries</vt:lpstr>
      <vt:lpstr>ArmstrongEXEpts</vt:lpstr>
      <vt:lpstr>ArmstrongEXEtries</vt:lpstr>
      <vt:lpstr>Armstrongjakebripts</vt:lpstr>
      <vt:lpstr>Armstrongjakebritries</vt:lpstr>
      <vt:lpstr>Ascherlbripts</vt:lpstr>
      <vt:lpstr>Ascherlbritries</vt:lpstr>
      <vt:lpstr>atkinsliratt</vt:lpstr>
      <vt:lpstr>atkinslirgls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Attwoodpts</vt:lpstr>
      <vt:lpstr>Augustusnorpts</vt:lpstr>
      <vt:lpstr>Augustusnortries</vt:lpstr>
      <vt:lpstr>baileybthatt</vt:lpstr>
      <vt:lpstr>Baileybthgls</vt:lpstr>
      <vt:lpstr>Baileybthpts</vt:lpstr>
      <vt:lpstr>Baileybthtries</vt:lpstr>
      <vt:lpstr>Balmainglopts</vt:lpstr>
      <vt:lpstr>Balmainglotries</vt:lpstr>
      <vt:lpstr>BamberSALpts</vt:lpstr>
      <vt:lpstr>BamberSALtries</vt:lpstr>
      <vt:lpstr>Barbearybthpts</vt:lpstr>
      <vt:lpstr>Barbearybthtries</vt:lpstr>
      <vt:lpstr>Barnesharpts</vt:lpstr>
      <vt:lpstr>Barneshartries</vt:lpstr>
      <vt:lpstr>Barringtonrichardpts</vt:lpstr>
      <vt:lpstr>Barringtonrichardtries</vt:lpstr>
      <vt:lpstr>Barrittbradpts</vt:lpstr>
      <vt:lpstr>Barrittbradtries</vt:lpstr>
      <vt:lpstr>Bartlettglopts</vt:lpstr>
      <vt:lpstr>Bartlettglotries</vt:lpstr>
      <vt:lpstr>Bartongloatt</vt:lpstr>
      <vt:lpstr>Bartonglogls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Beatonsarpts</vt:lpstr>
      <vt:lpstr>Beatonsartries</vt:lpstr>
      <vt:lpstr>Beaumontsalpts</vt:lpstr>
      <vt:lpstr>Beaumontsaltries</vt:lpstr>
      <vt:lpstr>becconsallexeatt</vt:lpstr>
      <vt:lpstr>becconsallexegls</vt:lpstr>
      <vt:lpstr>Bedlowbripts</vt:lpstr>
      <vt:lpstr>bedlowbritries</vt:lpstr>
      <vt:lpstr>BedlowSAL_pts</vt:lpstr>
      <vt:lpstr>BedlowSAL_tries</vt:lpstr>
      <vt:lpstr>bedlowsalattcorrect</vt:lpstr>
      <vt:lpstr>bedlowsalglscorrect</vt:lpstr>
      <vt:lpstr>Bellonewpts</vt:lpstr>
      <vt:lpstr>Bellonewtries</vt:lpstr>
      <vt:lpstr>bensonharatt</vt:lpstr>
      <vt:lpstr>bensonhargls</vt:lpstr>
      <vt:lpstr>Bensonharpts</vt:lpstr>
      <vt:lpstr>Bensonhartries</vt:lpstr>
      <vt:lpstr>Benz_Salomon_Jbripts</vt:lpstr>
      <vt:lpstr>Benz_Salomon_Jbritri</vt:lpstr>
      <vt:lpstr>Bevingtonbstpts</vt:lpstr>
      <vt:lpstr>Bevingtonbsttries</vt:lpstr>
      <vt:lpstr>Birchsalpts</vt:lpstr>
      <vt:lpstr>Birchsaltries</vt:lpstr>
      <vt:lpstr>Blackettnewpts</vt:lpstr>
      <vt:lpstr>Blackettnewtries</vt:lpstr>
      <vt:lpstr>Blakeglopts</vt:lpstr>
      <vt:lpstr>Blakeglotries</vt:lpstr>
      <vt:lpstr>Blommetjiesleicpts</vt:lpstr>
      <vt:lpstr>Blommetjiesleictries</vt:lpstr>
      <vt:lpstr>Boschmarcelopts</vt:lpstr>
      <vt:lpstr>Boschmarcelotries</vt:lpstr>
      <vt:lpstr>Boycebthpts</vt:lpstr>
      <vt:lpstr>Boycebthtries</vt:lpstr>
      <vt:lpstr>Bradburybripts</vt:lpstr>
      <vt:lpstr>Bradburybritries</vt:lpstr>
      <vt:lpstr>Bradleyharpts</vt:lpstr>
      <vt:lpstr>Bradleyhartries</vt:lpstr>
      <vt:lpstr>Braleynorptscorrect</vt:lpstr>
      <vt:lpstr>Braleynortriescorrect</vt:lpstr>
      <vt:lpstr>BristolPts</vt:lpstr>
      <vt:lpstr>BristolTries</vt:lpstr>
      <vt:lpstr>BrowneHARpts</vt:lpstr>
      <vt:lpstr>BrowneHARtries</vt:lpstr>
      <vt:lpstr>brownleipts</vt:lpstr>
      <vt:lpstr>brownleitries</vt:lpstr>
      <vt:lpstr>brownnewpts</vt:lpstr>
      <vt:lpstr>brownnewtries</vt:lpstr>
      <vt:lpstr>Bryansarpts</vt:lpstr>
      <vt:lpstr>Bryansartries</vt:lpstr>
      <vt:lpstr>bryantleiatt</vt:lpstr>
      <vt:lpstr>Bryantleigoals</vt:lpstr>
      <vt:lpstr>Burgerjacquespts</vt:lpstr>
      <vt:lpstr>Burgerjacquestries</vt:lpstr>
      <vt:lpstr>Burrellnewpts</vt:lpstr>
      <vt:lpstr>Burrellnewtries</vt:lpstr>
      <vt:lpstr>BurrowsEXEpts</vt:lpstr>
      <vt:lpstr>BurrowsEXEtries</vt:lpstr>
      <vt:lpstr>Buttbthpts</vt:lpstr>
      <vt:lpstr>Buttbthtries</vt:lpstr>
      <vt:lpstr>Byrnebripts</vt:lpstr>
      <vt:lpstr>Byrnebritries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Care</vt:lpstr>
      <vt:lpstr>Carepts</vt:lpstr>
      <vt:lpstr>caretries</vt:lpstr>
      <vt:lpstr>Carpentersalpts</vt:lpstr>
      <vt:lpstr>Carpentersaltries</vt:lpstr>
      <vt:lpstr>carrerasgloatt</vt:lpstr>
      <vt:lpstr>Carrerasglogls</vt:lpstr>
      <vt:lpstr>Carrerasglopts</vt:lpstr>
      <vt:lpstr>Carrerasglotries</vt:lpstr>
      <vt:lpstr>Carrerasnewpts</vt:lpstr>
      <vt:lpstr>Carrerasnewtries</vt:lpstr>
      <vt:lpstr>Carrharpts</vt:lpstr>
      <vt:lpstr>Carrhartries</vt:lpstr>
      <vt:lpstr>CaulfieldBRIpts</vt:lpstr>
      <vt:lpstr>CaulfieldBRItries</vt:lpstr>
      <vt:lpstr>Challengerbripts</vt:lpstr>
      <vt:lpstr>Challengerbritries</vt:lpstr>
      <vt:lpstr>chapmangloatt</vt:lpstr>
      <vt:lpstr>chapmanglogls</vt:lpstr>
      <vt:lpstr>Chapmanglopts</vt:lpstr>
      <vt:lpstr>Chapmanglotries</vt:lpstr>
      <vt:lpstr>Chessum_Lleipts</vt:lpstr>
      <vt:lpstr>Chessum_Lleitries</vt:lpstr>
      <vt:lpstr>Chessumleicpts</vt:lpstr>
      <vt:lpstr>Chessumleictries</vt:lpstr>
      <vt:lpstr>Chisholmjamesharpts</vt:lpstr>
      <vt:lpstr>Chisholmjameshartries</vt:lpstr>
      <vt:lpstr>Christiesarptscorrect</vt:lpstr>
      <vt:lpstr>Christiesartriescorrect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Clareysarptscorrect</vt:lpstr>
      <vt:lpstr>Clareysartriescorrect</vt:lpstr>
      <vt:lpstr>Clarkglopts</vt:lpstr>
      <vt:lpstr>Clarkglotries</vt:lpstr>
      <vt:lpstr>Cleavesharpts</vt:lpstr>
      <vt:lpstr>Cleaveshartries</vt:lpstr>
      <vt:lpstr>Cliffwillsalpts</vt:lpstr>
      <vt:lpstr>Cliffwillsaltries</vt:lpstr>
      <vt:lpstr>Coetzeebthpts</vt:lpstr>
      <vt:lpstr>Coetzeebthtries</vt:lpstr>
      <vt:lpstr>Coetzerglopts</vt:lpstr>
      <vt:lpstr>Coetzerglotries</vt:lpstr>
      <vt:lpstr>Cokanasigabthpts</vt:lpstr>
      <vt:lpstr>Cokanasigabthtries</vt:lpstr>
      <vt:lpstr>CokanasigaLEIpts</vt:lpstr>
      <vt:lpstr>CokanasigaLEItries</vt:lpstr>
      <vt:lpstr>Coleleipts</vt:lpstr>
      <vt:lpstr>Coleleitries</vt:lpstr>
      <vt:lpstr>Colesnorpts</vt:lpstr>
      <vt:lpstr>Colesnortries</vt:lpstr>
      <vt:lpstr>Collierharpts</vt:lpstr>
      <vt:lpstr>Collierhartries</vt:lpstr>
      <vt:lpstr>Connonnewptscorrectthisone</vt:lpstr>
      <vt:lpstr>Connonnewtriescorrectthsione</vt:lpstr>
      <vt:lpstr>Cookbthpts</vt:lpstr>
      <vt:lpstr>Cookbthtries</vt:lpstr>
      <vt:lpstr>Cookchrispts</vt:lpstr>
      <vt:lpstr>Cookchristries</vt:lpstr>
      <vt:lpstr>Courtlipts</vt:lpstr>
      <vt:lpstr>Courtlitries</vt:lpstr>
      <vt:lpstr>Cowan_Dickiesalpts</vt:lpstr>
      <vt:lpstr>Cowan_Dickiesaltries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Croninleipts</vt:lpstr>
      <vt:lpstr>Croninleitrie</vt:lpstr>
      <vt:lpstr>Crossdalesarpts</vt:lpstr>
      <vt:lpstr>Crossdalesarptscorrect</vt:lpstr>
      <vt:lpstr>Crossdalesartries</vt:lpstr>
      <vt:lpstr>Crossdalesartriescorrect</vt:lpstr>
      <vt:lpstr>CruseNORpts</vt:lpstr>
      <vt:lpstr>CruseNORtries</vt:lpstr>
      <vt:lpstr>Cunningham_Sthharpts</vt:lpstr>
      <vt:lpstr>Cunningham_Sthhartries</vt:lpstr>
      <vt:lpstr>Curry_Bsalpts</vt:lpstr>
      <vt:lpstr>Curry_Bsaltries</vt:lpstr>
      <vt:lpstr>Curry_Tsalpts</vt:lpstr>
      <vt:lpstr>Curry_Tsaltries</vt:lpstr>
      <vt:lpstr>Curtissalpts</vt:lpstr>
      <vt:lpstr>Curtissaltries</vt:lpstr>
      <vt:lpstr>Daltonnewpts</vt:lpstr>
      <vt:lpstr>Daltonnewtries</vt:lpstr>
      <vt:lpstr>dalysarattcorrect</vt:lpstr>
      <vt:lpstr>dalysarglscorrect</vt:lpstr>
      <vt:lpstr>Dalysarptscorrect</vt:lpstr>
      <vt:lpstr>Dalysartriescorrect</vt:lpstr>
      <vt:lpstr>Danielsbripts</vt:lpstr>
      <vt:lpstr>Danielsbritries</vt:lpstr>
      <vt:lpstr>Dansarpts</vt:lpstr>
      <vt:lpstr>Dansartries</vt:lpstr>
      <vt:lpstr>Davidharpts</vt:lpstr>
      <vt:lpstr>Davidhartries</vt:lpstr>
      <vt:lpstr>Davidsonglopts</vt:lpstr>
      <vt:lpstr>Davidsonglotries</vt:lpstr>
      <vt:lpstr>DavidsonNORpts</vt:lpstr>
      <vt:lpstr>DavidsonNORtries</vt:lpstr>
      <vt:lpstr>Daviesbripts</vt:lpstr>
      <vt:lpstr>Daviesbritries</vt:lpstr>
      <vt:lpstr>Daviessarptscorrect</vt:lpstr>
      <vt:lpstr>Daviessartriescorrect</vt:lpstr>
      <vt:lpstr>Davisexepoints</vt:lpstr>
      <vt:lpstr>Davisexetrie</vt:lpstr>
      <vt:lpstr>Dawidiukglopts</vt:lpstr>
      <vt:lpstr>Dawidiukglotries</vt:lpstr>
      <vt:lpstr>de_ChavesNEWpts</vt:lpstr>
      <vt:lpstr>de_ChavesNEWtries</vt:lpstr>
      <vt:lpstr>de_Glanvillebthgls</vt:lpstr>
      <vt:lpstr>de_Haassarptscorrect</vt:lpstr>
      <vt:lpstr>de_Haassartriescorrect</vt:lpstr>
      <vt:lpstr>de_Jagersalpts</vt:lpstr>
      <vt:lpstr>de_Jagersaltries</vt:lpstr>
      <vt:lpstr>de_Kockneilpts</vt:lpstr>
      <vt:lpstr>de_Kockneiltries</vt:lpstr>
      <vt:lpstr>deglanvillebthatt</vt:lpstr>
      <vt:lpstr>Delmasbthpts</vt:lpstr>
      <vt:lpstr>Delmasbthtries</vt:lpstr>
      <vt:lpstr>Dentonglopts</vt:lpstr>
      <vt:lpstr>Dentonglotries</vt:lpstr>
      <vt:lpstr>Devotoexepts</vt:lpstr>
      <vt:lpstr>Devotoexetries</vt:lpstr>
      <vt:lpstr>Diaz_Bonilla_Jleicpts</vt:lpstr>
      <vt:lpstr>Diaz_Bonilla_Jleictries</vt:lpstr>
      <vt:lpstr>Dingwallnorpts</vt:lpstr>
      <vt:lpstr>Dingwallnortries</vt:lpstr>
      <vt:lpstr>Dombrandtharpts</vt:lpstr>
      <vt:lpstr>Dombrandthartries</vt:lpstr>
      <vt:lpstr>Dorrianlipts</vt:lpstr>
      <vt:lpstr>Dorrianlitries</vt:lpstr>
      <vt:lpstr>DouglasNEWpts</vt:lpstr>
      <vt:lpstr>DouglasNEWtries</vt:lpstr>
      <vt:lpstr>du_Plessissarpts</vt:lpstr>
      <vt:lpstr>du_Plessissartries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du_Toitbthpts</vt:lpstr>
      <vt:lpstr>du_Toitbthtries</vt:lpstr>
      <vt:lpstr>Dugdalesalpts</vt:lpstr>
      <vt:lpstr>Dugdalesaltries</vt:lpstr>
      <vt:lpstr>Dunnbattries</vt:lpstr>
      <vt:lpstr>Dunneexepts</vt:lpstr>
      <vt:lpstr>Dunneexetries</vt:lpstr>
      <vt:lpstr>DunnGLOpts</vt:lpstr>
      <vt:lpstr>DunnGLOtries</vt:lpstr>
      <vt:lpstr>Dunntompts</vt:lpstr>
      <vt:lpstr>dupreezsalatt</vt:lpstr>
      <vt:lpstr>dupreezsalgls</vt:lpstr>
      <vt:lpstr>dupreezsalpts</vt:lpstr>
      <vt:lpstr>Earlsarpts</vt:lpstr>
      <vt:lpstr>Earlsarptscorrect</vt:lpstr>
      <vt:lpstr>Earlsartries</vt:lpstr>
      <vt:lpstr>Earlsartriescorrect</vt:lpstr>
      <vt:lpstr>Edenbripts</vt:lpstr>
      <vt:lpstr>Edenbritries</vt:lpstr>
      <vt:lpstr>edwardsharatt</vt:lpstr>
      <vt:lpstr>edwardshargls</vt:lpstr>
      <vt:lpstr>Edwardsharpts</vt:lpstr>
      <vt:lpstr>Edwardshartries</vt:lpstr>
      <vt:lpstr>Edwardsleicpts</vt:lpstr>
      <vt:lpstr>Edwardsleictries</vt:lpstr>
      <vt:lpstr>elliottsaratt</vt:lpstr>
      <vt:lpstr>elliottsargls</vt:lpstr>
      <vt:lpstr>Elliottsarpts</vt:lpstr>
      <vt:lpstr>Elliottsartries</vt:lpstr>
      <vt:lpstr>Elringtonglopts</vt:lpstr>
      <vt:lpstr>Elringtonglotries</vt:lpstr>
      <vt:lpstr>EneSALpts</vt:lpstr>
      <vt:lpstr>EneSALtries</vt:lpstr>
      <vt:lpstr>englefieldgloatt</vt:lpstr>
      <vt:lpstr>englefieldglogls</vt:lpstr>
      <vt:lpstr>Englefieldglopts</vt:lpstr>
      <vt:lpstr>Englefieldglotries</vt:lpstr>
      <vt:lpstr>esterhuizenharatt</vt:lpstr>
      <vt:lpstr>Esterhuizenhargls</vt:lpstr>
      <vt:lpstr>Esterhuizenharpts</vt:lpstr>
      <vt:lpstr>Esterhuizenhartries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evanslgloatt</vt:lpstr>
      <vt:lpstr>evanslglogoals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farrellsarglscorrect</vt:lpstr>
      <vt:lpstr>Farrellsarpts</vt:lpstr>
      <vt:lpstr>Farrellsarptscorrect</vt:lpstr>
      <vt:lpstr>farrellsartriescorrect</vt:lpstr>
      <vt:lpstr>Fearnsnewpts</vt:lpstr>
      <vt:lpstr>Fearnsnewtries</vt:lpstr>
      <vt:lpstr>Fenbylipts</vt:lpstr>
      <vt:lpstr>Fenbylitries</vt:lpstr>
      <vt:lpstr>Fenton_Wellsbripts</vt:lpstr>
      <vt:lpstr>Fenton_Wellsbritries</vt:lpstr>
      <vt:lpstr>Feyi_Wabosoexepts</vt:lpstr>
      <vt:lpstr>Feyi_Wabosoexetries</vt:lpstr>
      <vt:lpstr>Fisilau</vt:lpstr>
      <vt:lpstr>FisilauEXEpts</vt:lpstr>
      <vt:lpstr>FisilauEXEtries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Fowlielipts</vt:lpstr>
      <vt:lpstr>Fowlietomtries</vt:lpstr>
      <vt:lpstr>Frankslirpts</vt:lpstr>
      <vt:lpstr>Frankslirtries</vt:lpstr>
      <vt:lpstr>Freemannorpts</vt:lpstr>
      <vt:lpstr>Freemannortries</vt:lpstr>
      <vt:lpstr>Frischbripts</vt:lpstr>
      <vt:lpstr>Frischbritries</vt:lpstr>
      <vt:lpstr>Frostexepts</vt:lpstr>
      <vt:lpstr>Frostexetries</vt:lpstr>
      <vt:lpstr>furbanknoratt</vt:lpstr>
      <vt:lpstr>furbanknorgls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Garsidenorpts</vt:lpstr>
      <vt:lpstr>Garsidenortries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Gjaltemaharpts</vt:lpstr>
      <vt:lpstr>Gjaltemahartries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Goodealexpts</vt:lpstr>
      <vt:lpstr>goodealextries</vt:lpstr>
      <vt:lpstr>GOODESARATTCORRECT</vt:lpstr>
      <vt:lpstr>goodesarglscorrect</vt:lpstr>
      <vt:lpstr>Goodesarptscorrect</vt:lpstr>
      <vt:lpstr>Goodesartriescorrect</vt:lpstr>
      <vt:lpstr>Grahambthpts</vt:lpstr>
      <vt:lpstr>Grahambthtres</vt:lpstr>
      <vt:lpstr>Grayexeeurtries</vt:lpstr>
      <vt:lpstr>Grayexepts</vt:lpstr>
      <vt:lpstr>Grayexetries</vt:lpstr>
      <vt:lpstr>Grayjoeharpts</vt:lpstr>
      <vt:lpstr>Grayjoehartries</vt:lpstr>
      <vt:lpstr>Graysonnorpts</vt:lpstr>
      <vt:lpstr>Graysonnortries</vt:lpstr>
      <vt:lpstr>Greenharpts</vt:lpstr>
      <vt:lpstr>Greenhartries</vt:lpstr>
      <vt:lpstr>Hadfieldsarpts</vt:lpstr>
      <vt:lpstr>Hadfieldsartries</vt:lpstr>
      <vt:lpstr>Hainingbripts</vt:lpstr>
      <vt:lpstr>Hainingbritries</vt:lpstr>
      <vt:lpstr>Halaifonuaglopts</vt:lpstr>
      <vt:lpstr>Halaifonuaglotries</vt:lpstr>
      <vt:lpstr>HammersleyEXEpts</vt:lpstr>
      <vt:lpstr>HammersleyEXEtries</vt:lpstr>
      <vt:lpstr>Hammersleysalpts</vt:lpstr>
      <vt:lpstr>Hammersleysaltries</vt:lpstr>
      <vt:lpstr>Hardingbripts</vt:lpstr>
      <vt:lpstr>Hardingbritries</vt:lpstr>
      <vt:lpstr>hardwickleicatt</vt:lpstr>
      <vt:lpstr>hardwickleicgls</vt:lpstr>
      <vt:lpstr>Hardwickleipts</vt:lpstr>
      <vt:lpstr>Hardwickleitries</vt:lpstr>
      <vt:lpstr>harisbthatt</vt:lpstr>
      <vt:lpstr>HarlequinsPts</vt:lpstr>
      <vt:lpstr>HarlequinsTries</vt:lpstr>
      <vt:lpstr>Harpersalpts</vt:lpstr>
      <vt:lpstr>Harpersaltries</vt:lpstr>
      <vt:lpstr>Harrisbthgls</vt:lpstr>
      <vt:lpstr>Harrisbthpts</vt:lpstr>
      <vt:lpstr>Harrisbthtries</vt:lpstr>
      <vt:lpstr>Harrisglopts</vt:lpstr>
      <vt:lpstr>Harrisglotries</vt:lpstr>
      <vt:lpstr>Harrisonsalpts</vt:lpstr>
      <vt:lpstr>Harrisonsaltris</vt:lpstr>
      <vt:lpstr>Harrisonsampts</vt:lpstr>
      <vt:lpstr>Harrisonsamtries</vt:lpstr>
      <vt:lpstr>Harrissarpts</vt:lpstr>
      <vt:lpstr>Harrissarptscorrect</vt:lpstr>
      <vt:lpstr>Harrissartries</vt:lpstr>
      <vt:lpstr>Harrissartriescorrect</vt:lpstr>
      <vt:lpstr>Hartleysarpts</vt:lpstr>
      <vt:lpstr>Hartleysartries</vt:lpstr>
      <vt:lpstr>Hartryscorers</vt:lpstr>
      <vt:lpstr>Hassell_CollinsLEIpts</vt:lpstr>
      <vt:lpstr>Hassell_CollinsLEItries</vt:lpstr>
      <vt:lpstr>hastingsgloatt</vt:lpstr>
      <vt:lpstr>Hastingsglogls</vt:lpstr>
      <vt:lpstr>HathawayGLOpts</vt:lpstr>
      <vt:lpstr>HathawayGLOtries</vt:lpstr>
      <vt:lpstr>HatherellLEIpts</vt:lpstr>
      <vt:lpstr>HatherellLEItries</vt:lpstr>
      <vt:lpstr>Haydon_WoodEXEtries</vt:lpstr>
      <vt:lpstr>Haydon_Woodnewpts</vt:lpstr>
      <vt:lpstr>Haydon_Woodnewtries</vt:lpstr>
      <vt:lpstr>Haywood_WoodEXEpts</vt:lpstr>
      <vt:lpstr>HearleGLOpts</vt:lpstr>
      <vt:lpstr>HearleGLOtries</vt:lpstr>
      <vt:lpstr>Hearnlirpts</vt:lpstr>
      <vt:lpstr>Hearnlirtries</vt:lpstr>
      <vt:lpstr>Hendricksonexepts</vt:lpstr>
      <vt:lpstr>Hendricksonexetries</vt:lpstr>
      <vt:lpstr>Hendriksonexetries</vt:lpstr>
      <vt:lpstr>Hendynorpts</vt:lpstr>
      <vt:lpstr>Hendynortries</vt:lpstr>
      <vt:lpstr>HennesseyBTHpts</vt:lpstr>
      <vt:lpstr>HennesseyBTHtries</vt:lpstr>
      <vt:lpstr>Hepburnexepts</vt:lpstr>
      <vt:lpstr>Hepburnexetries</vt:lpstr>
      <vt:lpstr>Herbstharpts</vt:lpstr>
      <vt:lpstr>Herbsthartries</vt:lpstr>
      <vt:lpstr>Herronharpts</vt:lpstr>
      <vt:lpstr>Herronhartries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Hodgsonnorpts</vt:lpstr>
      <vt:lpstr>Hodgsonnortries</vt:lpstr>
      <vt:lpstr>Holmesexepts</vt:lpstr>
      <vt:lpstr>holmesexetries</vt:lpstr>
      <vt:lpstr>Holmesleicpts</vt:lpstr>
      <vt:lpstr>Holmesleictries</vt:lpstr>
      <vt:lpstr>Hortonleipts</vt:lpstr>
      <vt:lpstr>Hortonleitries</vt:lpstr>
      <vt:lpstr>Hudsonglopts</vt:lpstr>
      <vt:lpstr>Hudsonglotries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ibitoyebriatt</vt:lpstr>
      <vt:lpstr>Ibitoyebrigls</vt:lpstr>
      <vt:lpstr>Ibitoyeharpts</vt:lpstr>
      <vt:lpstr>Ibitoyehartries</vt:lpstr>
      <vt:lpstr>Ilioneleipts</vt:lpstr>
      <vt:lpstr>Ilioneleitries</vt:lpstr>
      <vt:lpstr>Iosefa_Scottexepts</vt:lpstr>
      <vt:lpstr>Iosefa_Scottexetries</vt:lpstr>
      <vt:lpstr>Irvinenorpts</vt:lpstr>
      <vt:lpstr>Irvinenortries</vt:lpstr>
      <vt:lpstr>Isiekwesarpts</vt:lpstr>
      <vt:lpstr>Isiekwesarptscorrect</vt:lpstr>
      <vt:lpstr>Isiekwesartries</vt:lpstr>
      <vt:lpstr>Isiekwesartriescorrect</vt:lpstr>
      <vt:lpstr>Itojesarpts</vt:lpstr>
      <vt:lpstr>Itojesarptscorrect</vt:lpstr>
      <vt:lpstr>Itojesartries</vt:lpstr>
      <vt:lpstr>Itojesartriescorrect</vt:lpstr>
      <vt:lpstr>Jacksonsarpts</vt:lpstr>
      <vt:lpstr>Jacksonsartries</vt:lpstr>
      <vt:lpstr>James_Lsalpts</vt:lpstr>
      <vt:lpstr>James_Lsaltries</vt:lpstr>
      <vt:lpstr>Jamesnorpts</vt:lpstr>
      <vt:lpstr>Jamesnortries</vt:lpstr>
      <vt:lpstr>Jamessalatt</vt:lpstr>
      <vt:lpstr>Jamessalgls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Jenningsnewatt</vt:lpstr>
      <vt:lpstr>Jenningsnewgls</vt:lpstr>
      <vt:lpstr>Jibuluharpts</vt:lpstr>
      <vt:lpstr>Jibuluhartries</vt:lpstr>
      <vt:lpstr>Johnexepts</vt:lpstr>
      <vt:lpstr>Johnexetries</vt:lpstr>
      <vt:lpstr>Jones_MGLOpts</vt:lpstr>
      <vt:lpstr>Jones_MGLOtries</vt:lpstr>
      <vt:lpstr>Jonesadamharpts</vt:lpstr>
      <vt:lpstr>Jonesadamhartries</vt:lpstr>
      <vt:lpstr>JonesHharpts</vt:lpstr>
      <vt:lpstr>JonesHhartries</vt:lpstr>
      <vt:lpstr>Jonkerbthpts</vt:lpstr>
      <vt:lpstr>Jonkerbthtries</vt:lpstr>
      <vt:lpstr>JosephHARPTS</vt:lpstr>
      <vt:lpstr>JosephHARtries</vt:lpstr>
      <vt:lpstr>Jouberternstpts</vt:lpstr>
      <vt:lpstr>Jouberternsttries</vt:lpstr>
      <vt:lpstr>Jureviciusharpts</vt:lpstr>
      <vt:lpstr>Jureviciushartries</vt:lpstr>
      <vt:lpstr>Keastexepts</vt:lpstr>
      <vt:lpstr>Keastexetries</vt:lpstr>
      <vt:lpstr>kellyleicatt</vt:lpstr>
      <vt:lpstr>Kellyleicgls</vt:lpstr>
      <vt:lpstr>Kenninghamharpts</vt:lpstr>
      <vt:lpstr>Kenninghamhartries</vt:lpstr>
      <vt:lpstr>Kennyexepts</vt:lpstr>
      <vt:lpstr>Kennyexetries</vt:lpstr>
      <vt:lpstr>Kerrbripts</vt:lpstr>
      <vt:lpstr>Kerrbritries</vt:lpstr>
      <vt:lpstr>Kerrleicpts</vt:lpstr>
      <vt:lpstr>Kerrleictries</vt:lpstr>
      <vt:lpstr>Kitchenergrahamptscorrect</vt:lpstr>
      <vt:lpstr>Kitchenergrahamtriescorrect</vt:lpstr>
      <vt:lpstr>Knightgloptscorrect</vt:lpstr>
      <vt:lpstr>Knightglotriescorrect</vt:lpstr>
      <vt:lpstr>KnightSARpts</vt:lpstr>
      <vt:lpstr>KnightSARtries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Lamositelesarpts</vt:lpstr>
      <vt:lpstr>Lamositelesartries</vt:lpstr>
      <vt:lpstr>Lanebripts</vt:lpstr>
      <vt:lpstr>Lanebritries</vt:lpstr>
      <vt:lpstr>LangdonNORpts</vt:lpstr>
      <vt:lpstr>LangdonNORtries</vt:lpstr>
      <vt:lpstr>Lawesnorpts</vt:lpstr>
      <vt:lpstr>Lawesnortries</vt:lpstr>
      <vt:lpstr>Lawrencebthpts</vt:lpstr>
      <vt:lpstr>Lawrencebthtries</vt:lpstr>
      <vt:lpstr>Laybripts</vt:lpstr>
      <vt:lpstr>Laybritries</vt:lpstr>
      <vt:lpstr>Lee_Warnerbthpts</vt:lpstr>
      <vt:lpstr>Lee_Warnerbthtries</vt:lpstr>
      <vt:lpstr>LeicesterPts</vt:lpstr>
      <vt:lpstr>LeicesterTries</vt:lpstr>
      <vt:lpstr>leicspentriespts</vt:lpstr>
      <vt:lpstr>leicspentriestries</vt:lpstr>
      <vt:lpstr>Lewingtonsarptscorrect</vt:lpstr>
      <vt:lpstr>Lewingtonsartriescorrect</vt:lpstr>
      <vt:lpstr>Lewingtontries</vt:lpstr>
      <vt:lpstr>Lewisdaveharpts</vt:lpstr>
      <vt:lpstr>Lewisdavehartries</vt:lpstr>
      <vt:lpstr>Lewisharpts</vt:lpstr>
      <vt:lpstr>Lewishartries</vt:lpstr>
      <vt:lpstr>Liebenbergleicpts</vt:lpstr>
      <vt:lpstr>Liebenbergleictries</vt:lpstr>
      <vt:lpstr>Lindsay_Haguenewpts</vt:lpstr>
      <vt:lpstr>Lindsay_Haguenewtries</vt:lpstr>
      <vt:lpstr>Litchfieldnorpts</vt:lpstr>
      <vt:lpstr>Litchfieldnortries</vt:lpstr>
      <vt:lpstr>Lloyd_Jbripts</vt:lpstr>
      <vt:lpstr>Lloyd_Jbritries</vt:lpstr>
      <vt:lpstr>LloydBriAtt</vt:lpstr>
      <vt:lpstr>LloydBriGls</vt:lpstr>
      <vt:lpstr>LloydBriPts</vt:lpstr>
      <vt:lpstr>LloydBriTries</vt:lpstr>
      <vt:lpstr>lloydjbriatt</vt:lpstr>
      <vt:lpstr>lloydjbrigls</vt:lpstr>
      <vt:lpstr>Lloydlirpts</vt:lpstr>
      <vt:lpstr>Lloydlirtries</vt:lpstr>
      <vt:lpstr>Loaderlirpts</vt:lpstr>
      <vt:lpstr>Loaderlirtries</vt:lpstr>
      <vt:lpstr>Lockettnorpts</vt:lpstr>
      <vt:lpstr>Lockettnortries</vt:lpstr>
      <vt:lpstr>londonirishpentriespts</vt:lpstr>
      <vt:lpstr>londonirishpentriestries</vt:lpstr>
      <vt:lpstr>Longbottomsarpts</vt:lpstr>
      <vt:lpstr>Longbottomsartries</vt:lpstr>
      <vt:lpstr>Lowkierantries</vt:lpstr>
      <vt:lpstr>Lowlipts</vt:lpstr>
      <vt:lpstr>lozowksisarattcorrect</vt:lpstr>
      <vt:lpstr>lozowskisarattcorrect</vt:lpstr>
      <vt:lpstr>lozowskisarglscorrect</vt:lpstr>
      <vt:lpstr>Lozowskisarptscorrect</vt:lpstr>
      <vt:lpstr>Lozowskisartriescorrect</vt:lpstr>
      <vt:lpstr>Lucocknewpts</vt:lpstr>
      <vt:lpstr>Lucocknewtries</vt:lpstr>
      <vt:lpstr>Ludlamnorpts</vt:lpstr>
      <vt:lpstr>Ludlamnortries</vt:lpstr>
      <vt:lpstr>Ludlowglopts</vt:lpstr>
      <vt:lpstr>Ludlowglotries</vt:lpstr>
      <vt:lpstr>Lynaghharpts</vt:lpstr>
      <vt:lpstr>Lynaghhartries</vt:lpstr>
      <vt:lpstr>Ma_afusalesipts</vt:lpstr>
      <vt:lpstr>Ma_afusalesitries</vt:lpstr>
      <vt:lpstr>macgintybriatt</vt:lpstr>
      <vt:lpstr>MacGintybrigls</vt:lpstr>
      <vt:lpstr>MacGintybripts</vt:lpstr>
      <vt:lpstr>MacGintybritries</vt:lpstr>
      <vt:lpstr>Mafipts</vt:lpstr>
      <vt:lpstr>Maitlandsarpts</vt:lpstr>
      <vt:lpstr>Maitlandsarptscorrect</vt:lpstr>
      <vt:lpstr>Maitlandsartries</vt:lpstr>
      <vt:lpstr>Maitlandsartriescorrect</vt:lpstr>
      <vt:lpstr>Malinsbripts</vt:lpstr>
      <vt:lpstr>Malinsbritries</vt:lpstr>
      <vt:lpstr>Malinssarpts</vt:lpstr>
      <vt:lpstr>Malinssartries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Marlerharpts</vt:lpstr>
      <vt:lpstr>marlertries</vt:lpstr>
      <vt:lpstr>MarmionBRIpts</vt:lpstr>
      <vt:lpstr>MarmionBRItries</vt:lpstr>
      <vt:lpstr>Marshalllirpts</vt:lpstr>
      <vt:lpstr>Marshalllirtries</vt:lpstr>
      <vt:lpstr>Marshallnorpts</vt:lpstr>
      <vt:lpstr>Marshallnortries</vt:lpstr>
      <vt:lpstr>Martinleicpts</vt:lpstr>
      <vt:lpstr>Martinleictries</vt:lpstr>
      <vt:lpstr>Matavesinewptscorrect</vt:lpstr>
      <vt:lpstr>Matavesinewtriescorrect</vt:lpstr>
      <vt:lpstr>matavesinoratt</vt:lpstr>
      <vt:lpstr>matavesinorgls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Mayhewlipts</vt:lpstr>
      <vt:lpstr>Mayhewlitries</vt:lpstr>
      <vt:lpstr>Mayleicpts</vt:lpstr>
      <vt:lpstr>Mayleictries</vt:lpstr>
      <vt:lpstr>McBurneyglopts</vt:lpstr>
      <vt:lpstr>McBurneyglotries</vt:lpstr>
      <vt:lpstr>McCallumnewpts</vt:lpstr>
      <vt:lpstr>McCallumnewtries</vt:lpstr>
      <vt:lpstr>McConnochiebthpts</vt:lpstr>
      <vt:lpstr>McConnochiebthtries</vt:lpstr>
      <vt:lpstr>McDonaldNEWpts</vt:lpstr>
      <vt:lpstr>McDonaldNEWtries</vt:lpstr>
      <vt:lpstr>McFarlandsarptscorrect</vt:lpstr>
      <vt:lpstr>McFarlandsartriescorrect</vt:lpstr>
      <vt:lpstr>McGuiganglopts</vt:lpstr>
      <vt:lpstr>McGuiganglotries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McParlandNORpts</vt:lpstr>
      <vt:lpstr>McParlandNORtries</vt:lpstr>
      <vt:lpstr>Meehanglopts</vt:lpstr>
      <vt:lpstr>Meehanglotries</vt:lpstr>
      <vt:lpstr>meredithleiatt</vt:lpstr>
      <vt:lpstr>meredithleigls</vt:lpstr>
      <vt:lpstr>Meredithleipts</vt:lpstr>
      <vt:lpstr>Meredithleitries</vt:lpstr>
      <vt:lpstr>Merricknewpts</vt:lpstr>
      <vt:lpstr>Merricknewtries</vt:lpstr>
      <vt:lpstr>Mitchellnorpts</vt:lpstr>
      <vt:lpstr>Mitchellnortries</vt:lpstr>
      <vt:lpstr>Montgomerynewpts</vt:lpstr>
      <vt:lpstr>Montgomerynewtries</vt:lpstr>
      <vt:lpstr>Montoyaleicpts</vt:lpstr>
      <vt:lpstr>Montoyaleictries</vt:lpstr>
      <vt:lpstr>Moon_Anortries</vt:lpstr>
      <vt:lpstr>Moonnorpts</vt:lpstr>
      <vt:lpstr>Mooresalpts</vt:lpstr>
      <vt:lpstr>Mooresaltries</vt:lpstr>
      <vt:lpstr>Mooresarpts</vt:lpstr>
      <vt:lpstr>Mooresartries</vt:lpstr>
      <vt:lpstr>Morgan_Aglopts</vt:lpstr>
      <vt:lpstr>Morgan_Aglotries</vt:lpstr>
      <vt:lpstr>Morganbenpts</vt:lpstr>
      <vt:lpstr>Morganbentries</vt:lpstr>
      <vt:lpstr>Moriartyglopts</vt:lpstr>
      <vt:lpstr>Moriartyglotries</vt:lpstr>
      <vt:lpstr>Morrisglopts</vt:lpstr>
      <vt:lpstr>Morrisglotries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Muirbthpts</vt:lpstr>
      <vt:lpstr>Muirbthtries</vt:lpstr>
      <vt:lpstr>Mulchronelipts</vt:lpstr>
      <vt:lpstr>MulchronelirtriesCORRECT</vt:lpstr>
      <vt:lpstr>Mulchronelitries</vt:lpstr>
      <vt:lpstr>Muldowneybripts</vt:lpstr>
      <vt:lpstr>Muldowneybritries</vt:lpstr>
      <vt:lpstr>MungaNORpts</vt:lpstr>
      <vt:lpstr>MungaNORtries</vt:lpstr>
      <vt:lpstr>Murleyharpts</vt:lpstr>
      <vt:lpstr>Murleyhartries</vt:lpstr>
      <vt:lpstr>Murrayharpts</vt:lpstr>
      <vt:lpstr>Murrayhartries</vt:lpstr>
      <vt:lpstr>Muskharpts</vt:lpstr>
      <vt:lpstr>Muskhartries</vt:lpstr>
      <vt:lpstr>Narrawaylipts</vt:lpstr>
      <vt:lpstr>Neildsalpts</vt:lpstr>
      <vt:lpstr>Neildsaltries</vt:lpstr>
      <vt:lpstr>Noakeslipts</vt:lpstr>
      <vt:lpstr>Noakeslitries</vt:lpstr>
      <vt:lpstr>Noreyexepts</vt:lpstr>
      <vt:lpstr>Noreyexetries</vt:lpstr>
      <vt:lpstr>NorthamptonPts</vt:lpstr>
      <vt:lpstr>NorthamptonTries</vt:lpstr>
      <vt:lpstr>Northmoreharpts</vt:lpstr>
      <vt:lpstr>Northmorehartries</vt:lpstr>
      <vt:lpstr>Obanobthpts</vt:lpstr>
      <vt:lpstr>Obanobthtries</vt:lpstr>
      <vt:lpstr>Obatoyinbonewpts</vt:lpstr>
      <vt:lpstr>Obatoyinbonewtries</vt:lpstr>
      <vt:lpstr>Obatoysarpts</vt:lpstr>
      <vt:lpstr>Obatoysartries</vt:lpstr>
      <vt:lpstr>Obonnanewpts</vt:lpstr>
      <vt:lpstr>Obonnanewtries</vt:lpstr>
      <vt:lpstr>Odendaalnorpts</vt:lpstr>
      <vt:lpstr>Odendaalnortries</vt:lpstr>
      <vt:lpstr>Oghrebripts</vt:lpstr>
      <vt:lpstr>Oghrebritries</vt:lpstr>
      <vt:lpstr>OjomohBTHPTS</vt:lpstr>
      <vt:lpstr>OjomohBTHTRIES</vt:lpstr>
      <vt:lpstr>Olowofela_Jleicpts</vt:lpstr>
      <vt:lpstr>Olowofela_Jleictries</vt:lpstr>
      <vt:lpstr>OosthuizenSALpts</vt:lpstr>
      <vt:lpstr>OosthuizenSALtries</vt:lpstr>
      <vt:lpstr>Oresanyaharpts</vt:lpstr>
      <vt:lpstr>Oresanyahartries</vt:lpstr>
      <vt:lpstr>Osborneharpts</vt:lpstr>
      <vt:lpstr>Osbornehartries</vt:lpstr>
      <vt:lpstr>Ostrikovandreitries</vt:lpstr>
      <vt:lpstr>OStrikovsalpts</vt:lpstr>
      <vt:lpstr>OwenBRIpts</vt:lpstr>
      <vt:lpstr>OwenBRItries</vt:lpstr>
      <vt:lpstr>Owenleicpts</vt:lpstr>
      <vt:lpstr>Owenleictries</vt:lpstr>
      <vt:lpstr>Owennewptscorrect</vt:lpstr>
      <vt:lpstr>Owennewtriescorrect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Parlingleipts</vt:lpstr>
      <vt:lpstr>Parlingleitries</vt:lpstr>
      <vt:lpstr>PartonSARpts</vt:lpstr>
      <vt:lpstr>PartonSARtries</vt:lpstr>
      <vt:lpstr>Paulolirpts</vt:lpstr>
      <vt:lpstr>paulolirtries</vt:lpstr>
      <vt:lpstr>Pearsonexepts</vt:lpstr>
      <vt:lpstr>Pearsonexetries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Pennytnewpts</vt:lpstr>
      <vt:lpstr>Pennytnewtries</vt:lpstr>
      <vt:lpstr>Pepper_MNEWpts</vt:lpstr>
      <vt:lpstr>Pepper_MNEWtries</vt:lpstr>
      <vt:lpstr>Peppernewpts</vt:lpstr>
      <vt:lpstr>Peppernewtries</vt:lpstr>
      <vt:lpstr>Petersnewpts</vt:lpstr>
      <vt:lpstr>Petersnewtries</vt:lpstr>
      <vt:lpstr>Pifeletisarptscorrect</vt:lpstr>
      <vt:lpstr>Pifeletisartriescorrect</vt:lpstr>
      <vt:lpstr>Piutau_Cbritriescorrect</vt:lpstr>
      <vt:lpstr>Piutaubripts</vt:lpstr>
      <vt:lpstr>Piutaubritries</vt:lpstr>
      <vt:lpstr>pollardleicatt</vt:lpstr>
      <vt:lpstr>Pollardleicgls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Porterleicpts</vt:lpstr>
      <vt:lpstr>Porterleictries</vt:lpstr>
      <vt:lpstr>PostlethwaiteEXEpts</vt:lpstr>
      <vt:lpstr>PostlethwaiteEXEtries</vt:lpstr>
      <vt:lpstr>Powellbripts</vt:lpstr>
      <vt:lpstr>Powellbritries</vt:lpstr>
      <vt:lpstr>PowellLEIpts</vt:lpstr>
      <vt:lpstr>PowellLEItries</vt:lpstr>
      <vt:lpstr>pts</vt:lpstr>
      <vt:lpstr>Purdybripts</vt:lpstr>
      <vt:lpstr>Purdybritries</vt:lpstr>
      <vt:lpstr>Qorowalenewpts</vt:lpstr>
      <vt:lpstr>Qorowalenewtries</vt:lpstr>
      <vt:lpstr>quinspentriespts</vt:lpstr>
      <vt:lpstr>quinspentriestries</vt:lpstr>
      <vt:lpstr>Quirkesalpts</vt:lpstr>
      <vt:lpstr>Quirkesaltries</vt:lpstr>
      <vt:lpstr>Radradrabripts</vt:lpstr>
      <vt:lpstr>Radradrabritries</vt:lpstr>
      <vt:lpstr>Radwannewptscorrect</vt:lpstr>
      <vt:lpstr>Radwannewtriescorrect</vt:lpstr>
      <vt:lpstr>Ramageleicpts</vt:lpstr>
      <vt:lpstr>Ramageleictries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redpathbthatt</vt:lpstr>
      <vt:lpstr>Redpathbthpts</vt:lpstr>
      <vt:lpstr>Redpathbthtries</vt:lpstr>
      <vt:lpstr>redpathsalatt</vt:lpstr>
      <vt:lpstr>redpathsalegls</vt:lpstr>
      <vt:lpstr>Rees_Zammitglopts</vt:lpstr>
      <vt:lpstr>Rees_Zammitglotries</vt:lpstr>
      <vt:lpstr>Reevesglopts</vt:lpstr>
      <vt:lpstr>Reevesglotries</vt:lpstr>
      <vt:lpstr>Reffellsarptscorrect</vt:lpstr>
      <vt:lpstr>Reffellsartriescorrect</vt:lpstr>
      <vt:lpstr>Reltonexepts</vt:lpstr>
      <vt:lpstr>Reltonexetries</vt:lpstr>
      <vt:lpstr>repathbthgls</vt:lpstr>
      <vt:lpstr>Rhodessarpts</vt:lpstr>
      <vt:lpstr>Rhodessartries</vt:lpstr>
      <vt:lpstr>Riccionisarptscorrect</vt:lpstr>
      <vt:lpstr>Riccionisartriescorrect</vt:lpstr>
      <vt:lpstr>Richardsbthpts</vt:lpstr>
      <vt:lpstr>Richardsbthtries</vt:lpstr>
      <vt:lpstr>Richardsonleicpts</vt:lpstr>
      <vt:lpstr>Richardsonleictries</vt:lpstr>
      <vt:lpstr>Robertsbthpts</vt:lpstr>
      <vt:lpstr>Robertsbthtries</vt:lpstr>
      <vt:lpstr>Roddsalpts</vt:lpstr>
      <vt:lpstr>Roddsaltries</vt:lpstr>
      <vt:lpstr>Roebucksalpts</vt:lpstr>
      <vt:lpstr>Roebucksaltries</vt:lpstr>
      <vt:lpstr>RogersonLEIpts</vt:lpstr>
      <vt:lpstr>RogersonLEItries</vt:lpstr>
      <vt:lpstr>Rubiolonewpts</vt:lpstr>
      <vt:lpstr>Rubiolonewtries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Saumakileicpts</vt:lpstr>
      <vt:lpstr>Saumakileictries</vt:lpstr>
      <vt:lpstr>savalanoratt</vt:lpstr>
      <vt:lpstr>Savalanorgls</vt:lpstr>
      <vt:lpstr>Savalanorpts</vt:lpstr>
      <vt:lpstr>Savalanortries</vt:lpstr>
      <vt:lpstr>Schickerlingexepts</vt:lpstr>
      <vt:lpstr>Schickerlingexetries</vt:lpstr>
      <vt:lpstr>Schoemanbthpts</vt:lpstr>
      <vt:lpstr>Schoemanbthtries</vt:lpstr>
      <vt:lpstr>Schreuderbthpts</vt:lpstr>
      <vt:lpstr>Schreuderbthtries</vt:lpstr>
      <vt:lpstr>Scotland_W_sonharpts</vt:lpstr>
      <vt:lpstr>Scotland_W_sonhartries</vt:lpstr>
      <vt:lpstr>Scott_Youngnorpts</vt:lpstr>
      <vt:lpstr>Scott_Youngnortries</vt:lpstr>
      <vt:lpstr>Scottleicpts</vt:lpstr>
      <vt:lpstr>Scottleictries</vt:lpstr>
      <vt:lpstr>Scullypts</vt:lpstr>
      <vt:lpstr>SeabrookNORpts</vt:lpstr>
      <vt:lpstr>SeabrookNORtries</vt:lpstr>
      <vt:lpstr>searlebthatt</vt:lpstr>
      <vt:lpstr>Searlebthgls</vt:lpstr>
      <vt:lpstr>Segunsarptscorrect</vt:lpstr>
      <vt:lpstr>Segunsartriescorrect</vt:lpstr>
      <vt:lpstr>Sheridaneamonnpts</vt:lpstr>
      <vt:lpstr>Sheridaneamonntries</vt:lpstr>
      <vt:lpstr>shillcockleicatt</vt:lpstr>
      <vt:lpstr>Shillcockleicgls</vt:lpstr>
      <vt:lpstr>ShillcockLEIpts</vt:lpstr>
      <vt:lpstr>ShillcockLEItries</vt:lpstr>
      <vt:lpstr>Simmonsleicpts</vt:lpstr>
      <vt:lpstr>Simmonsleictries</vt:lpstr>
      <vt:lpstr>Simpson_Gsarpts</vt:lpstr>
      <vt:lpstr>Simpson_Gsartries</vt:lpstr>
      <vt:lpstr>Sinclairjebbpts</vt:lpstr>
      <vt:lpstr>Sinclairjebbtries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sladeatt</vt:lpstr>
      <vt:lpstr>Sladeexepts</vt:lpstr>
      <vt:lpstr>Sladeexetries</vt:lpstr>
      <vt:lpstr>sladegoals</vt:lpstr>
      <vt:lpstr>Sleightholmenorpts</vt:lpstr>
      <vt:lpstr>Sleightholmenortries</vt:lpstr>
      <vt:lpstr>SlevinHARatt</vt:lpstr>
      <vt:lpstr>SlevinHARgls</vt:lpstr>
      <vt:lpstr>SlevinHARglsPERCENT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Snymanleicpts</vt:lpstr>
      <vt:lpstr>Snymanleictries</vt:lpstr>
      <vt:lpstr>socinogloatt</vt:lpstr>
      <vt:lpstr>Socinoglogls</vt:lpstr>
      <vt:lpstr>Socinoglopts</vt:lpstr>
      <vt:lpstr>Socinoglotries</vt:lpstr>
      <vt:lpstr>Southworthexepts</vt:lpstr>
      <vt:lpstr>Southworthexetries</vt:lpstr>
      <vt:lpstr>spcncerbthgls</vt:lpstr>
      <vt:lpstr>Spencer_Bbthpts</vt:lpstr>
      <vt:lpstr>Spencer_Bbthtries</vt:lpstr>
      <vt:lpstr>spencerbenatt</vt:lpstr>
      <vt:lpstr>spencerbengoals</vt:lpstr>
      <vt:lpstr>spencerbthatt</vt:lpstr>
      <vt:lpstr>Stanleyglopts</vt:lpstr>
      <vt:lpstr>Stanleyglotries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Stirzakerbripts</vt:lpstr>
      <vt:lpstr>Stirzakerbritries</vt:lpstr>
      <vt:lpstr>Stookebthpts</vt:lpstr>
      <vt:lpstr>Stookebthtries</vt:lpstr>
      <vt:lpstr>Strangbripts</vt:lpstr>
      <vt:lpstr>Strangbritries</vt:lpstr>
      <vt:lpstr>Streetexepts</vt:lpstr>
      <vt:lpstr>Streetexetries</vt:lpstr>
      <vt:lpstr>Stuartbthpts</vt:lpstr>
      <vt:lpstr>Stuartbthtries</vt:lpstr>
      <vt:lpstr>Swinsonsarptscorrect</vt:lpstr>
      <vt:lpstr>Swinsonsartriescorrect</vt:lpstr>
      <vt:lpstr>Tapuaiharpts</vt:lpstr>
      <vt:lpstr>Tapuaihartries</vt:lpstr>
      <vt:lpstr>Taylorglopts</vt:lpstr>
      <vt:lpstr>Taylorglotries</vt:lpstr>
      <vt:lpstr>Taylortsalpts</vt:lpstr>
      <vt:lpstr>Taylortsaltries</vt:lpstr>
      <vt:lpstr>Terryglopts</vt:lpstr>
      <vt:lpstr>Terryglotries</vt:lpstr>
      <vt:lpstr>ThameNORpts</vt:lpstr>
      <vt:lpstr>ThameNORtries</vt:lpstr>
      <vt:lpstr>Theobald_Thomasleipts</vt:lpstr>
      <vt:lpstr>Theobold_Thomasleitries</vt:lpstr>
      <vt:lpstr>Thomas_Dbripts</vt:lpstr>
      <vt:lpstr>Thomas_Dbritries</vt:lpstr>
      <vt:lpstr>Thomas_DBRITRIESCORRECT</vt:lpstr>
      <vt:lpstr>Thomasglopts</vt:lpstr>
      <vt:lpstr>Thomasglotries</vt:lpstr>
      <vt:lpstr>thomasnewatt</vt:lpstr>
      <vt:lpstr>thomasnewgls</vt:lpstr>
      <vt:lpstr>Thomasnewpts</vt:lpstr>
      <vt:lpstr>Thomasnewtries</vt:lpstr>
      <vt:lpstr>ThomasSALpts</vt:lpstr>
      <vt:lpstr>ThomasSALtries</vt:lpstr>
      <vt:lpstr>thompstonetries</vt:lpstr>
      <vt:lpstr>Thorleygloptscorrect</vt:lpstr>
      <vt:lpstr>Thorleyglotriescorrect</vt:lpstr>
      <vt:lpstr>Tiffennewpts</vt:lpstr>
      <vt:lpstr>Tiffennewtries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Trinderglopts</vt:lpstr>
      <vt:lpstr>Trindertriestries</vt:lpstr>
      <vt:lpstr>Tshiunzaexepts</vt:lpstr>
      <vt:lpstr>Tshiunzaexetries</vt:lpstr>
      <vt:lpstr>Tualanorpts</vt:lpstr>
      <vt:lpstr>TualaNORTRIES</vt:lpstr>
      <vt:lpstr>Tuimaexepts</vt:lpstr>
      <vt:lpstr>Tuimaexetries</vt:lpstr>
      <vt:lpstr>Tuitupousampts</vt:lpstr>
      <vt:lpstr>Tuitupousamtries</vt:lpstr>
      <vt:lpstr>Underhillbthpts</vt:lpstr>
      <vt:lpstr>Underhillbthtries</vt:lpstr>
      <vt:lpstr>UrenBRITRIES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van_Wyk_Fleicpts</vt:lpstr>
      <vt:lpstr>van_Wyk_Fleictries</vt:lpstr>
      <vt:lpstr>van_Zylsarptscorrect</vt:lpstr>
      <vt:lpstr>van_Zylsartriescorrect</vt:lpstr>
      <vt:lpstr>Vanesleicpts</vt:lpstr>
      <vt:lpstr>Vanesleictries</vt:lpstr>
      <vt:lpstr>varneygloatt</vt:lpstr>
      <vt:lpstr>Varneyglogls</vt:lpstr>
      <vt:lpstr>Veainusalpts</vt:lpstr>
      <vt:lpstr>Veainusaltries</vt:lpstr>
      <vt:lpstr>Vellacottglopts</vt:lpstr>
      <vt:lpstr>Vellacottglotries</vt:lpstr>
      <vt:lpstr>Visagieglopts</vt:lpstr>
      <vt:lpstr>Visagieglotries</vt:lpstr>
      <vt:lpstr>Vuibripts</vt:lpstr>
      <vt:lpstr>Vuibritries</vt:lpstr>
      <vt:lpstr>Vunipola__Makosarptscorrect</vt:lpstr>
      <vt:lpstr>Vunipola__Makosartriescorrect</vt:lpstr>
      <vt:lpstr>Vunipola__Manusarptscorrect</vt:lpstr>
      <vt:lpstr>Vunipola__Manusartriescorrect</vt:lpstr>
      <vt:lpstr>Vunipola_Bsarptscorrect</vt:lpstr>
      <vt:lpstr>Vunipola_Bsartriescorrect</vt:lpstr>
      <vt:lpstr>Vunipola_Msaratt</vt:lpstr>
      <vt:lpstr>Vunipola_Msargls</vt:lpstr>
      <vt:lpstr>vunipolasarattcorrect</vt:lpstr>
      <vt:lpstr>vunipolasarglscorrect</vt:lpstr>
      <vt:lpstr>Wacokecokenewpts</vt:lpstr>
      <vt:lpstr>Wacokecokenewtries</vt:lpstr>
      <vt:lpstr>Walkerbthpts</vt:lpstr>
      <vt:lpstr>Walkerbthtries</vt:lpstr>
      <vt:lpstr>Walkerharpts</vt:lpstr>
      <vt:lpstr>Walkerhartries</vt:lpstr>
      <vt:lpstr>Walkernewpts</vt:lpstr>
      <vt:lpstr>Walkernewtries</vt:lpstr>
      <vt:lpstr>Walshleipts</vt:lpstr>
      <vt:lpstr>Walshleitries</vt:lpstr>
      <vt:lpstr>WarrSALatt</vt:lpstr>
      <vt:lpstr>WarrSALgls</vt:lpstr>
      <vt:lpstr>Warrsalpts</vt:lpstr>
      <vt:lpstr>Warrsaltries</vt:lpstr>
      <vt:lpstr>Watersharpts</vt:lpstr>
      <vt:lpstr>Watershartries</vt:lpstr>
      <vt:lpstr>Watsonleicpts</vt:lpstr>
      <vt:lpstr>Watsonleictries</vt:lpstr>
      <vt:lpstr>Webbersalpts</vt:lpstr>
      <vt:lpstr>Webbersaltries</vt:lpstr>
      <vt:lpstr>Wellsleicpts</vt:lpstr>
      <vt:lpstr>Wellsleictries</vt:lpstr>
      <vt:lpstr>Whiteleicpts</vt:lpstr>
      <vt:lpstr>Whiteleictries</vt:lpstr>
      <vt:lpstr>Whiteleybripts</vt:lpstr>
      <vt:lpstr>Whiteleybritries</vt:lpstr>
      <vt:lpstr>WhiteleyLEIpts</vt:lpstr>
      <vt:lpstr>WhiteleyLEItries</vt:lpstr>
      <vt:lpstr>whiteleysaratt</vt:lpstr>
      <vt:lpstr>Whiteleysargls</vt:lpstr>
      <vt:lpstr>Whittenpts</vt:lpstr>
      <vt:lpstr>Whittentries</vt:lpstr>
      <vt:lpstr>Wieseleicpts</vt:lpstr>
      <vt:lpstr>Wieseleictries</vt:lpstr>
      <vt:lpstr>Wilkinsnorpts</vt:lpstr>
      <vt:lpstr>Wilkinsnortries</vt:lpstr>
      <vt:lpstr>wilkinsonleicatt</vt:lpstr>
      <vt:lpstr>Wilkinsonleicgls</vt:lpstr>
      <vt:lpstr>WilkinsonLEIpts</vt:lpstr>
      <vt:lpstr>WilkinsonLEItrie</vt:lpstr>
      <vt:lpstr>williamsbriatt</vt:lpstr>
      <vt:lpstr>williamsbrigls</vt:lpstr>
      <vt:lpstr>Williamsbripts</vt:lpstr>
      <vt:lpstr>Williamsbritries</vt:lpstr>
      <vt:lpstr>Williamsexepts</vt:lpstr>
      <vt:lpstr>Williamsexetries</vt:lpstr>
      <vt:lpstr>Williamssalpts</vt:lpstr>
      <vt:lpstr>Williamssaltries</vt:lpstr>
      <vt:lpstr>Wilson__Jamesbthpts</vt:lpstr>
      <vt:lpstr>Wilson__Jamesbthtries</vt:lpstr>
      <vt:lpstr>Wilsonsarpts</vt:lpstr>
      <vt:lpstr>Wilsonsartries</vt:lpstr>
      <vt:lpstr>wilsteadbriatt</vt:lpstr>
      <vt:lpstr>wilsteadbrigls</vt:lpstr>
      <vt:lpstr>Wilsteadbripts</vt:lpstr>
      <vt:lpstr>Wilsteadbritries</vt:lpstr>
      <vt:lpstr>Woodburnexepts</vt:lpstr>
      <vt:lpstr>Woodburnexetries</vt:lpstr>
      <vt:lpstr>WoodwardLEIpts</vt:lpstr>
      <vt:lpstr>WoodwardLEItries</vt:lpstr>
      <vt:lpstr>WoollettLEIpts</vt:lpstr>
      <vt:lpstr>WoollettLEItries</vt:lpstr>
      <vt:lpstr>WoolstencroftEurTries</vt:lpstr>
      <vt:lpstr>Woolstencroftsarptscorrect</vt:lpstr>
      <vt:lpstr>Woolstencroftsartriescorrect</vt:lpstr>
      <vt:lpstr>worboysbthatt</vt:lpstr>
      <vt:lpstr>worboysbthgls</vt:lpstr>
      <vt:lpstr>Worboysbthpts</vt:lpstr>
      <vt:lpstr>WorboysBTHTRIES</vt:lpstr>
      <vt:lpstr>worsleybriatt</vt:lpstr>
      <vt:lpstr>worsleybrigls</vt:lpstr>
      <vt:lpstr>Wrightnewpts</vt:lpstr>
      <vt:lpstr>Wrightnewtries</vt:lpstr>
      <vt:lpstr>Wyattexepts</vt:lpstr>
      <vt:lpstr>Wyattexetries</vt:lpstr>
      <vt:lpstr>Yeandlejackpts</vt:lpstr>
      <vt:lpstr>Yeandlejacktries</vt:lpstr>
      <vt:lpstr>youngsbatt</vt:lpstr>
      <vt:lpstr>Youngsbenptscorrect</vt:lpstr>
      <vt:lpstr>youngsbentries</vt:lpstr>
      <vt:lpstr>youngsbgoals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2024-10-27T06:51:43Z</dcterms:modified>
</cp:coreProperties>
</file>