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BT PREMIERSHIP/Season 2020-21 Prem/"/>
    </mc:Choice>
  </mc:AlternateContent>
  <xr:revisionPtr revIDLastSave="2204" documentId="8_{D2293B80-E98B-4382-AC3D-2D0F5D86EB41}" xr6:coauthVersionLast="47" xr6:coauthVersionMax="47" xr10:uidLastSave="{8C1B35D0-6CCC-42D7-957A-EC5D96A43E26}"/>
  <bookViews>
    <workbookView xWindow="-28920" yWindow="-120" windowWidth="29040" windowHeight="15840" tabRatio="952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C" sheetId="5" r:id="rId6"/>
    <sheet name="LIR" sheetId="8" r:id="rId7"/>
    <sheet name="NEW" sheetId="11" r:id="rId8"/>
    <sheet name="NOR" sheetId="9" r:id="rId9"/>
    <sheet name="SAL" sheetId="10" r:id="rId10"/>
    <sheet name="WAS" sheetId="7" r:id="rId11"/>
    <sheet name="WOR" sheetId="12" r:id="rId12"/>
    <sheet name="SAR-CH" sheetId="14" r:id="rId13"/>
    <sheet name="OVERALL" sheetId="13" r:id="rId14"/>
  </sheets>
  <externalReferences>
    <externalReference r:id="rId15"/>
  </externalReferences>
  <definedNames>
    <definedName name="A_Wallerpts">NOR!$G$39</definedName>
    <definedName name="A_Wallertries">NOR!$B$39</definedName>
    <definedName name="Abbottjakepts">WOR!#REF!</definedName>
    <definedName name="Abbottjaketries">WOR!#REF!</definedName>
    <definedName name="Abendanonnickpts">BTH!#REF!</definedName>
    <definedName name="Abendanonnicktries">BTH!#REF!</definedName>
    <definedName name="Ackermannglopts">GLO!$F$3</definedName>
    <definedName name="Ackermannglotries">GLO!$B$3</definedName>
    <definedName name="Adams_Halesarpts">NEW!$F$3</definedName>
    <definedName name="Adams_Halesartries">NEW!$B$3</definedName>
    <definedName name="Adamsworpts">WOR!#REF!</definedName>
    <definedName name="Adamswortries">WOR!#REF!</definedName>
    <definedName name="Addisonsalpts">SAL!#REF!</definedName>
    <definedName name="Addisonsaltries">SAL!#REF!</definedName>
    <definedName name="Adendorffnorpts">NOR!$G$3</definedName>
    <definedName name="Adendorffnortries">NOR!$B$3</definedName>
    <definedName name="Adeolokunbripts">BRI!$F$3</definedName>
    <definedName name="Adeolokunbritries">BRI!$B$3</definedName>
    <definedName name="afoabripts">BRI!$F$4</definedName>
    <definedName name="afoabritries">BRI!$B$4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LIR!$F$3</definedName>
    <definedName name="Ah_Younewtries">LIR!$B$3</definedName>
    <definedName name="Aholeleiwelshpts">WOR!$F$3</definedName>
    <definedName name="Aholeleiwelshtries">WOR!$B$3</definedName>
    <definedName name="Alemannoglopts">GLO!$F$4</definedName>
    <definedName name="Alemannoglotries">GLO!$B$4</definedName>
    <definedName name="Allenanthonypts">LEIC!#REF!</definedName>
    <definedName name="Allenanthonytries">LEIC!#REF!</definedName>
    <definedName name="Allinsonbatpts">BTH!#REF!</definedName>
    <definedName name="Allinsonbattries">BTH!#REF!</definedName>
    <definedName name="allinsonliatt">BRI!$K$9</definedName>
    <definedName name="allinsonligoals">BRI!$J$9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ofafartries">HAR!#REF!</definedName>
    <definedName name="Alofaharpts">HAR!#REF!</definedName>
    <definedName name="Aloworpts">WOR!#REF!</definedName>
    <definedName name="Alowortries">WOR!#REF!</definedName>
    <definedName name="Armanddonpts">EXE!$F$3</definedName>
    <definedName name="Armanddontries">EXE!$B$3</definedName>
    <definedName name="Armitageguytries">BRI!#REF!</definedName>
    <definedName name="Armitagewaspts">WAS!$F$3</definedName>
    <definedName name="Armitagewastries">WAS!$B$3</definedName>
    <definedName name="Armstrongbripts">BRI!$F$6</definedName>
    <definedName name="Armstrongbritries">BRI!$B$6</definedName>
    <definedName name="Armstrongjakebripts">BRI!$F$5</definedName>
    <definedName name="Armstrongjakebritries">BRI!$B$5</definedName>
    <definedName name="Armtageguypts">BRI!#REF!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LIR!$K$4</definedName>
    <definedName name="arscottnewgls">LIR!$J$4</definedName>
    <definedName name="Arscottnewpts">LIR!$F$4</definedName>
    <definedName name="Arscottnewptscorrect">NEW!$F$4</definedName>
    <definedName name="Arscottnewtries">LIR!$B$4</definedName>
    <definedName name="Arscottnewtriescorrect">NEW!$B$4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shtonchrisptscorrect">NEW!#REF!</definedName>
    <definedName name="Ashtonchristriescorrect">NEW!#REF!</definedName>
    <definedName name="Ashtonpts">NEW!#REF!</definedName>
    <definedName name="Ashtonsalpts">SAL!#REF!</definedName>
    <definedName name="Ashtonsaltries">SAL!#REF!</definedName>
    <definedName name="ashtontries">NEW!#REF!</definedName>
    <definedName name="Ashtonworpts">WOR!$F$4</definedName>
    <definedName name="Ashtonwortries">WOR!$B$4</definedName>
    <definedName name="Atkinsbthatt">BTH!$M$4</definedName>
    <definedName name="Atkinsbthgls">BTH!$L$4</definedName>
    <definedName name="Atkinsbthpts">BTH!$G$3</definedName>
    <definedName name="Atkinsbthtries">BTH!$B$3</definedName>
    <definedName name="atkinsliratt">BRI!$K$8</definedName>
    <definedName name="atkinslirgls">BRI!$J$8</definedName>
    <definedName name="Atkinsonglopts">GLO!$F$5</definedName>
    <definedName name="Atkinsonglotries">GLO!$B$5</definedName>
    <definedName name="atkinsonwasatt">WAS!$K$4</definedName>
    <definedName name="atkinsonwasgls">WAS!$J$4</definedName>
    <definedName name="Atkinsonwaspts">WAS!$F$4</definedName>
    <definedName name="Atkinsonwastries">WAS!$B$4</definedName>
    <definedName name="Attwooddavepts">BTH!#REF!</definedName>
    <definedName name="Attwooddavetries">BTH!#REF!</definedName>
    <definedName name="Attwoodpts">BTH!$G$30</definedName>
    <definedName name="attwoodtries">BTH!#REF!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tagavaiafaatoinapts">NOR!#REF!</definedName>
    <definedName name="Autagavaiafaatoinatries">NOR!#REF!</definedName>
    <definedName name="Auteracharpts">HAR!#REF!</definedName>
    <definedName name="Auterachartries">HAR!#REF!</definedName>
    <definedName name="Auteracnicbatpts">BTH!#REF!</definedName>
    <definedName name="auteracnicbattries">BTH!#REF!</definedName>
    <definedName name="Awcockalanpts">WOR!#REF!</definedName>
    <definedName name="Awcockalantries">WOR!#REF!</definedName>
    <definedName name="Ayerzaleipts">LEIC!#REF!</definedName>
    <definedName name="Ayerzaleitries">LEIC!#REF!</definedName>
    <definedName name="Baileipts">LEIC!#REF!</definedName>
    <definedName name="Baileitries">LEIC!#REF!</definedName>
    <definedName name="baileybthatt">BTH!$M$5</definedName>
    <definedName name="Baileybthgls">BTH!$L$5</definedName>
    <definedName name="Baileybthpts">BTH!$G$4</definedName>
    <definedName name="Baileybthtries">BTH!$B$4</definedName>
    <definedName name="Bainessalpts">SAL!#REF!</definedName>
    <definedName name="Bainessaltries">SAL!#REF!</definedName>
    <definedName name="Baldwinharpts">HAR!$G$3</definedName>
    <definedName name="Baldwinhartries">HAR!$B$3</definedName>
    <definedName name="Balmainglopts">GLO!$F$6</definedName>
    <definedName name="Balmainglotries">GLO!$B$6</definedName>
    <definedName name="Balmainleipts">LEIC!#REF!</definedName>
    <definedName name="Balmainleitries">LEIC!#REF!</definedName>
    <definedName name="banahanbatatt">BTH!#REF!</definedName>
    <definedName name="banahanbatgoals">BTH!#REF!</definedName>
    <definedName name="Banahanglopts">GLO!$F$7</definedName>
    <definedName name="Banahanglotries">GLO!$B$7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BTH!#REF!</definedName>
    <definedName name="banhanpts">BTH!#REF!</definedName>
    <definedName name="Barbearywaspts">WAS!$F$5</definedName>
    <definedName name="Barbearywastrie">WAS!$B$5</definedName>
    <definedName name="Barbierileipts">LEIC!$F$3</definedName>
    <definedName name="Barbierileitries">LEIC!$B$3</definedName>
    <definedName name="Barkleyollypts">WOR!#REF!</definedName>
    <definedName name="Barkleyollytries">WOR!#REF!</definedName>
    <definedName name="barkleywelatt">WOR!$K$4</definedName>
    <definedName name="barkleywelgoals">WOR!$J$4</definedName>
    <definedName name="Barnesnewpts">LIR!#REF!</definedName>
    <definedName name="Barnesnewtries">LIR!#REF!</definedName>
    <definedName name="Barringtonrichardpts">NEW!$F$5</definedName>
    <definedName name="Barringtonrichardtries">NEW!$B$5</definedName>
    <definedName name="Barrittbradpts">NEW!$F$6</definedName>
    <definedName name="Barrittbradtries">NEW!$B$6</definedName>
    <definedName name="Barrownewpts">LIR!#REF!</definedName>
    <definedName name="Barrownewtries">LIR!#REF!</definedName>
    <definedName name="Barrownorpts">NOR!#REF!</definedName>
    <definedName name="Barrownortries">NOR!#REF!</definedName>
    <definedName name="Bartongloatt">GLO!$K$4</definedName>
    <definedName name="Bartonglogls">GLO!$J$4</definedName>
    <definedName name="Bartonglopts">GLO!$F$8</definedName>
    <definedName name="Bartonglotries">GLO!$B$8</definedName>
    <definedName name="Bashamnewpts">LIR!$F$5</definedName>
    <definedName name="Bashamnewtries">LIR!$B$5</definedName>
    <definedName name="bassettjoshtries">WAS!#REF!</definedName>
    <definedName name="Bassettpts">WAS!#REF!</definedName>
    <definedName name="bassetttries">WAS!#REF!</definedName>
    <definedName name="Bassettwaspts">WAS!$F$6</definedName>
    <definedName name="Bassettwastries">WAS!$B$6</definedName>
    <definedName name="Batemangregpts">EXE!$F$4</definedName>
    <definedName name="Batemangregtries">EXE!$B$4</definedName>
    <definedName name="Batemanleipts">LEIC!$F$4</definedName>
    <definedName name="Batemanleitries">LEIC!$B$4</definedName>
    <definedName name="Batesbripts">BRI!$F$7</definedName>
    <definedName name="Batesbritries">BRI!$B$7</definedName>
    <definedName name="bathpentries">BTH!#REF!</definedName>
    <definedName name="bathpentriespts">BTH!#REF!</definedName>
    <definedName name="bathpentriesptscorrect">BTH!#REF!</definedName>
    <definedName name="bathpentriesptsthisone">BTH!$G$30</definedName>
    <definedName name="bathpentriestriescorrect">BTH!#REF!</definedName>
    <definedName name="bathpentriestriesthisone">BTH!$B$30</definedName>
    <definedName name="BathPts">BTH!$G$47</definedName>
    <definedName name="bathscorers">BTH!#REF!</definedName>
    <definedName name="BathTries">BTH!$B$47</definedName>
    <definedName name="Batleybripts">BRI!#REF!</definedName>
    <definedName name="Batleybritries">BRI!#REF!</definedName>
    <definedName name="Batleyworpts">WOR!$F$6</definedName>
    <definedName name="Batleywortries">WOR!$B$6</definedName>
    <definedName name="Battyrosspts">BTH!$G$5</definedName>
    <definedName name="Battyrosstries">BTH!$B$5</definedName>
    <definedName name="Baylissbthpts">BTH!$G$6</definedName>
    <definedName name="Baylissbthtries">BTH!$B$6</definedName>
    <definedName name="Bealewaspts">WAS!#REF!</definedName>
    <definedName name="Bealewastries">WAS!#REF!</definedName>
    <definedName name="Beaumontsalpts">SAL!$F$3</definedName>
    <definedName name="Beaumontsaltries">SAL!$B$3</definedName>
    <definedName name="Beckworpts">WOR!$F$7</definedName>
    <definedName name="Beckwortries">WOR!$B$7</definedName>
    <definedName name="bedlowbriatt">BRI!$K$4</definedName>
    <definedName name="Bedlowbrigls">BRI!$J$4</definedName>
    <definedName name="Bedlowbripts">BRI!$F$8</definedName>
    <definedName name="bedlowbritries">BRI!$B$8</definedName>
    <definedName name="bedlowsalatt">SAL!#REF!</definedName>
    <definedName name="Bedlowsalgls">SAL!#REF!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ll_C">WAS!#REF!</definedName>
    <definedName name="Bellchrispts">WAS!#REF!</definedName>
    <definedName name="Bellchristries">WAS!#REF!</definedName>
    <definedName name="bellleiatt">LEIC!$K$6</definedName>
    <definedName name="Bellleigoals">LEIC!$J$6</definedName>
    <definedName name="Bellleipts">LEIC!#REF!</definedName>
    <definedName name="Bellleitries">LEIC!#REF!</definedName>
    <definedName name="Belltommypts">WAS!#REF!</definedName>
    <definedName name="Belltommytries">WAS!#REF!</definedName>
    <definedName name="BenettonPts">[1]BEN!$F$54</definedName>
    <definedName name="BenettonTries">[1]BEN!$B$54</definedName>
    <definedName name="Benjaminleipts">LEIC!#REF!</definedName>
    <definedName name="Benjaminleitries">LEIC!#REF!</definedName>
    <definedName name="Benjaminmilespts">LEIC!#REF!</definedName>
    <definedName name="Benjaminmilestries">LEIC!#REF!</definedName>
    <definedName name="Bennettnorpts">NOR!#REF!</definedName>
    <definedName name="Bennettnortries">NOR!#REF!</definedName>
    <definedName name="Bentleyjonnypts">GLO!$F$43</definedName>
    <definedName name="Bettencourtnewpts">LIR!#REF!</definedName>
    <definedName name="Bettencourtnewtries">LIR!#REF!</definedName>
    <definedName name="Bettysampts">WOR!#REF!</definedName>
    <definedName name="Bettysamtries">WOR!#REF!</definedName>
    <definedName name="Bevingtonbstpts">BRI!$F$6</definedName>
    <definedName name="Bevingtonbsttries">BRI!$B$6</definedName>
    <definedName name="Biggarnorpts">NOR!$G$4</definedName>
    <definedName name="Biggarnortries">NOR!$B$4</definedName>
    <definedName name="Biggstompts">BTH!#REF!</definedName>
    <definedName name="Biggstomtries">BTH!#REF!</definedName>
    <definedName name="Blackworpts">WOR!$F$8</definedName>
    <definedName name="Blackwortries">WOR!$B$8</definedName>
    <definedName name="Blairnewpts">LIR!$F$8</definedName>
    <definedName name="Blairpts">LIR!$F$11</definedName>
    <definedName name="Blairtries">LIR!$B$8</definedName>
    <definedName name="Blamirenewpts">LIR!$F$6</definedName>
    <definedName name="Blamirenewtries">LIR!$B$6</definedName>
    <definedName name="Blommetjiesleicpts">LEIC!$F$6</definedName>
    <definedName name="Blommetjiesleictries">LEIC!$B$6</definedName>
    <definedName name="Bodillyexepts">EXE!#REF!</definedName>
    <definedName name="Bodillyexetries">EXE!#REF!</definedName>
    <definedName name="boschatt">NEW!#REF!</definedName>
    <definedName name="Boschgoals">NEW!#REF!</definedName>
    <definedName name="Boschmarcelopts">NEW!$F$7</definedName>
    <definedName name="Boschmarcelotries">NEW!$B$7</definedName>
    <definedName name="Bothaexepts">EXE!#REF!</definedName>
    <definedName name="Bothaexetries">EXE!#REF!</definedName>
    <definedName name="Bothalirpts">LIR!#REF!</definedName>
    <definedName name="Bothalirtries">LIR!#REF!</definedName>
    <definedName name="Bothamouritzpts">NEW!#REF!</definedName>
    <definedName name="Bothamouritztries">NEW!#REF!</definedName>
    <definedName name="Bothmaharpts">HAR!#REF!</definedName>
    <definedName name="Bothmahartries">HAR!#REF!</definedName>
    <definedName name="boticaatt">HAR!$M$4</definedName>
    <definedName name="Boticabentries">HAR!#REF!</definedName>
    <definedName name="boticagoals">HAR!$L$4</definedName>
    <definedName name="Boticaharpts">HAR!#REF!</definedName>
    <definedName name="Boticapts">HAR!#REF!</definedName>
    <definedName name="Bowdendanpts">LEIC!$F$11</definedName>
    <definedName name="Bowdendantries">LEIC!#REF!</definedName>
    <definedName name="Bowdenpts">LEIC!#REF!</definedName>
    <definedName name="bowdentries">LEIC!#REF!</definedName>
    <definedName name="Boycebthpts">BTH!$G$7</definedName>
    <definedName name="Boycebthtries">BTH!$B$7</definedName>
    <definedName name="Boyceharpts">HAR!#REF!</definedName>
    <definedName name="Boycehartries">HAR!#REF!</definedName>
    <definedName name="Bradyleipts">LEIC!#REF!</definedName>
    <definedName name="Bradyleitries">LEIC!#REF!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WOR!#REF!</definedName>
    <definedName name="braidworgoals">WOR!#REF!</definedName>
    <definedName name="Braidworpts">WOR!#REF!</definedName>
    <definedName name="Braidwortries">WOR!#REF!</definedName>
    <definedName name="Braleyglopts">GLO!#REF!</definedName>
    <definedName name="Braleyglotries">GLO!#REF!</definedName>
    <definedName name="Bregvadzeworpts">WOR!#REF!</definedName>
    <definedName name="Bregvadzewortries">WOR!#REF!</definedName>
    <definedName name="Breslerworpts">WOR!$F$9</definedName>
    <definedName name="Breslerwortries">WOR!$B$9</definedName>
    <definedName name="Brewbthpts">BTH!#REF!</definedName>
    <definedName name="Brewbthtries">BTH!#REF!</definedName>
    <definedName name="Briggsleipts">LEIC!#REF!</definedName>
    <definedName name="Briggsleitries">LEIC!#REF!</definedName>
    <definedName name="Briggssalpts">SAL!#REF!</definedName>
    <definedName name="Briggssaltries">SAL!#REF!</definedName>
    <definedName name="BristolPts">BRI!$F$49</definedName>
    <definedName name="BristolTries">BRI!$B$49</definedName>
    <definedName name="Bristowleipts">LEIC!#REF!</definedName>
    <definedName name="Bristowleitries">LEIC!#REF!</definedName>
    <definedName name="Bristowsalpts">SAL!#REF!</definedName>
    <definedName name="Bristowsaltries">SAL!#REF!</definedName>
    <definedName name="Britspts">NEW!#REF!</definedName>
    <definedName name="britstris">NEW!#REF!</definedName>
    <definedName name="Brittonwelpts">WOR!$F$5</definedName>
    <definedName name="Brittonweltries">WOR!$B$5</definedName>
    <definedName name="Brookerglopts">GLO!#REF!</definedName>
    <definedName name="Brookerglotries">GLO!#REF!</definedName>
    <definedName name="Brookesnewpts">LIR!#REF!</definedName>
    <definedName name="Brookesnewtries">LIR!#REF!</definedName>
    <definedName name="Brookesnoprpts">NOR!$G$4</definedName>
    <definedName name="Brookesnortries">NOR!$B$4</definedName>
    <definedName name="Brookeswaspts">WAS!$F$7</definedName>
    <definedName name="Brookeswastries">WAS!$B$7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BRI!$F$11</definedName>
    <definedName name="BrophyClewslirtries">BRI!$B$11</definedName>
    <definedName name="Brown">HAR!$A$4:$E$4</definedName>
    <definedName name="brown2">HAR!$AD$40</definedName>
    <definedName name="Brownedanielpts">WOR!#REF!</definedName>
    <definedName name="Brownedanieltries">WOR!#REF!</definedName>
    <definedName name="Brownepetepts">WOR!#REF!</definedName>
    <definedName name="Brownepetetries">WOR!#REF!</definedName>
    <definedName name="brownexepts">EXE!#REF!</definedName>
    <definedName name="brownexetries">EXE!#REF!</definedName>
    <definedName name="Brownharpts">HAR!$G$4</definedName>
    <definedName name="Brownhartries">HAR!$B$4</definedName>
    <definedName name="brownkellypts">NEW!#REF!</definedName>
    <definedName name="brownkellytries">NEW!#REF!</definedName>
    <definedName name="brownmikepts2">HAR!$G$4</definedName>
    <definedName name="Brownmiketries">HAR!$A$4:$E$4</definedName>
    <definedName name="brownmiketriescorrect">HAR!$B$4</definedName>
    <definedName name="brownsarpts">NEW!#REF!</definedName>
    <definedName name="brownsartries">NEW!#REF!</definedName>
    <definedName name="Brussownorpts">NOR!#REF!</definedName>
    <definedName name="Brussownortries">NOR!#REF!</definedName>
    <definedName name="bryantleiatt">LEIC!$K$7</definedName>
    <definedName name="Bryantleigoals">LEIC!$J$7</definedName>
    <definedName name="Bryantleipts">LEIC!#REF!</definedName>
    <definedName name="Bryantleitries">LEIC!#REF!</definedName>
    <definedName name="Buchananpts">HAR!$G$5</definedName>
    <definedName name="buchanantries">HAR!$B$5</definedName>
    <definedName name="Buckleysalpts">SAL!#REF!</definedName>
    <definedName name="Buckleysaltries">SAL!#REF!</definedName>
    <definedName name="Burgerjacquespts">NEW!$F$8</definedName>
    <definedName name="Burgerjacquestries">NEW!$B$8</definedName>
    <definedName name="Burgesssampts">BTH!#REF!</definedName>
    <definedName name="Burgesssamtries">BTH!#REF!</definedName>
    <definedName name="Burnsbillypts">GLO!#REF!</definedName>
    <definedName name="Burnsbillytries">GLO!#REF!</definedName>
    <definedName name="burnsbthpts">BTH!#REF!</definedName>
    <definedName name="burnsbthtries">BTH!#REF!</definedName>
    <definedName name="burnsfreddieatt">GLO!#REF!</definedName>
    <definedName name="burnsfreddiegoals">GLO!#REF!</definedName>
    <definedName name="Burnsfreddiepts">GLO!$F$5</definedName>
    <definedName name="Burnsfreddietries">GLO!$B$43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LEIC!$K$5</definedName>
    <definedName name="burnsleigoals">LEIC!$J$5</definedName>
    <definedName name="Burnsleipts">LEIC!#REF!</definedName>
    <definedName name="Burnsleitries">LEIC!#REF!</definedName>
    <definedName name="Burrelllutherpts">NOR!#REF!</definedName>
    <definedName name="Burrellpts">NOR!$G$32</definedName>
    <definedName name="Burrelltries">NOR!$B$32</definedName>
    <definedName name="Burrelltriescorrect">NOR!#REF!</definedName>
    <definedName name="Burrowsnewpts">LIR!#REF!</definedName>
    <definedName name="Burrowsnewtries">LIR!#REF!</definedName>
    <definedName name="Byrnebripts">BRI!$F$9</definedName>
    <definedName name="Byrnebritries">BRI!$B$9</definedName>
    <definedName name="Cahillshanepts">WOR!#REF!</definedName>
    <definedName name="Cahillshanetries">WOR!#REF!</definedName>
    <definedName name="Caldwellexepts">EXE!$F$5</definedName>
    <definedName name="Caldwellexetries">EXE!$B$5</definedName>
    <definedName name="Camacholeipts">LEIC!#REF!</definedName>
    <definedName name="Camacholeitries">LEIC!#REF!</definedName>
    <definedName name="Campagnarowaspts">WAS!#REF!</definedName>
    <definedName name="Campagnarowastries">WAS!#REF!</definedName>
    <definedName name="Cannonwaspts">WAS!#REF!</definedName>
    <definedName name="Cannonwastries">WAS!#REF!</definedName>
    <definedName name="Caponbripts">BRI!$F$10</definedName>
    <definedName name="Caponbritries">BRI!$B$10</definedName>
    <definedName name="Capstickexepts">EXE!$F$5</definedName>
    <definedName name="Capstickexetries">EXE!$B$5</definedName>
    <definedName name="Cardallwaspts">WAS!$F$8</definedName>
    <definedName name="Cardallwastries">WAS!$B$8</definedName>
    <definedName name="CardiffPts">[1]CBL!$F$50</definedName>
    <definedName name="CardiffTries">[1]CBL!$B$50</definedName>
    <definedName name="Care" comment="constant">HAR!$B$6</definedName>
    <definedName name="Carepts">HAR!$G$6</definedName>
    <definedName name="caretries" comment="constant">HAR!$B$6</definedName>
    <definedName name="carlisleatt">WAS!#REF!</definedName>
    <definedName name="carlislegoals">WAS!#REF!</definedName>
    <definedName name="Carlislejoetries">WAS!#REF!</definedName>
    <definedName name="Carlislepts">WAS!#REF!</definedName>
    <definedName name="Carrerasglopts">GLO!$F$9</definedName>
    <definedName name="Carrerasglotries">GLO!$B$9</definedName>
    <definedName name="Carrick_Smithexepts">EXE!$F$6</definedName>
    <definedName name="Carrick_Smithexetries">EXE!$B$6</definedName>
    <definedName name="Carrwaspts">WAS!#REF!</definedName>
    <definedName name="Carrwastries">WAS!#REF!</definedName>
    <definedName name="Cassonharpts">HAR!#REF!</definedName>
    <definedName name="Cassonhartries">HAR!#REF!</definedName>
    <definedName name="Catonewpts">LIR!#REF!</definedName>
    <definedName name="Catonoahpts">LIR!#REF!</definedName>
    <definedName name="Catonoahtries">LIR!#REF!</definedName>
    <definedName name="Catrakilisharpts">HAR!$G$7</definedName>
    <definedName name="Catrakilishartries">HAR!$B$7</definedName>
    <definedName name="catterickatt">LIR!#REF!</definedName>
    <definedName name="catterickgoals">LIR!#REF!</definedName>
    <definedName name="Cattericknewtries">LIR!#REF!</definedName>
    <definedName name="Catterickpts">LIR!#REF!</definedName>
    <definedName name="Cattericktries">LIR!#REF!</definedName>
    <definedName name="Cattnathanpts">BTH!#REF!</definedName>
    <definedName name="Cattnathantries">BTH!#REF!</definedName>
    <definedName name="chapmangloatt">GLO!$K$5</definedName>
    <definedName name="chapmanglogls">GLO!$J$5</definedName>
    <definedName name="Chapmanglopts">GLO!$F$10</definedName>
    <definedName name="Chapmanglotries">GLO!$B$10</definedName>
    <definedName name="Charlesbthpts">BTH!#REF!</definedName>
    <definedName name="Charlesbthtries">BTH!#REF!</definedName>
    <definedName name="Charterisbthpts">BTH!#REF!</definedName>
    <definedName name="Charterisbthtries">BTH!#REF!</definedName>
    <definedName name="Cheesemanharpts">HAR!#REF!</definedName>
    <definedName name="Cheesemanhartries">HAR!#REF!</definedName>
    <definedName name="CheetahsPts">[1]CHE!$E$62</definedName>
    <definedName name="CheetahsTries">[1]CHE!$B$62</definedName>
    <definedName name="Chessumleicpts">LEIC!$F$5</definedName>
    <definedName name="Chessumleictries">LEIC!$B$5</definedName>
    <definedName name="Chicknewpts">LIR!$F$11</definedName>
    <definedName name="Chicknewtries">LIR!$B$11</definedName>
    <definedName name="Chisanganewpts">LIR!#REF!</definedName>
    <definedName name="Chisanganewtries">LIR!#REF!</definedName>
    <definedName name="Chisholm_Jharpts">HAR!#REF!</definedName>
    <definedName name="Chisholm_Jhartries">HAR!#REF!</definedName>
    <definedName name="Chisholm_Rharpts">HAR!$G$9</definedName>
    <definedName name="Chisholm_Rhartries">HAR!$B$9</definedName>
    <definedName name="Chisholmjamesharpts">HAR!$G$8</definedName>
    <definedName name="Chisholmjameshartries">HAR!$B$8</definedName>
    <definedName name="Chudleybthpts">BTH!$G$8</definedName>
    <definedName name="Chudleybthtries">BTH!$B$8</definedName>
    <definedName name="Chudleyexepts">EXE!#REF!</definedName>
    <definedName name="Chudleyexetries">EXE!#REF!</definedName>
    <definedName name="Cilliersleipts">LEIC!#REF!</definedName>
    <definedName name="Cilliersleitries">LEIC!#REF!</definedName>
    <definedName name="ciprianiatt">SAL!$K$4</definedName>
    <definedName name="Ciprianidannytries">SAL!#REF!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SAL!$J$4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WAS!#REF!</definedName>
    <definedName name="Ciprianiwastries">WAS!#REF!</definedName>
    <definedName name="Cittadiniwaspts">WAS!#REF!</definedName>
    <definedName name="Cittadiniwastries">WAS!#REF!</definedName>
    <definedName name="Civettanewpts">LIR!#REF!</definedName>
    <definedName name="Civettanewtries">LIR!#REF!</definedName>
    <definedName name="Clarenorpts">NOR!#REF!</definedName>
    <definedName name="Clarenortries">NOR!#REF!</definedName>
    <definedName name="Clarkbatpts">BTH!$G$9</definedName>
    <definedName name="Clarkbattries">BTH!$B$9</definedName>
    <definedName name="Clarkcalumpts">NOR!#REF!</definedName>
    <definedName name="Clarkcalumtries">NOR!#REF!</definedName>
    <definedName name="cleggatt">LIR!$K$5</definedName>
    <definedName name="clegggoals">LIR!$J$5</definedName>
    <definedName name="Cleggnewpts">LIR!$F$11</definedName>
    <definedName name="Cleggpts">LIR!$F$8</definedName>
    <definedName name="cleggrorytries">LIR!$B$11</definedName>
    <definedName name="Cleggworpts">WOR!$F$11</definedName>
    <definedName name="Cleggwortries">WOR!$B$11</definedName>
    <definedName name="Clevernewpts">LIR!#REF!</definedName>
    <definedName name="Clevernewtries">LIR!#REF!</definedName>
    <definedName name="Cliffordharpts">HAR!#REF!</definedName>
    <definedName name="Cliffordhartries">HAR!#REF!</definedName>
    <definedName name="Cliffordjackpts">HAR!#REF!</definedName>
    <definedName name="Cliffordjacktries">HAR!#REF!</definedName>
    <definedName name="cliffsalatt">SAL!$K$7</definedName>
    <definedName name="Cliffsalgls">SAL!$J$7</definedName>
    <definedName name="Cliffsalpts">SAL!#REF!</definedName>
    <definedName name="Cliffsaltries">SAL!#REF!</definedName>
    <definedName name="Cliffwillsalpts">SAL!$F$4</definedName>
    <definedName name="Cliffwillsaltries">SAL!$B$4</definedName>
    <definedName name="Cobilassalpts">SAL!#REF!</definedName>
    <definedName name="Cobilassaltries">SAL!#REF!</definedName>
    <definedName name="Cochraneneilpts">WAS!#REF!</definedName>
    <definedName name="Cochraneneiltries">WAS!#REF!</definedName>
    <definedName name="Coetzerglopts">GLO!$F$12</definedName>
    <definedName name="Coetzerglotries">GLO!$B$12</definedName>
    <definedName name="Cokanasigabthpts">BTH!$G$10</definedName>
    <definedName name="Cokanasigabthtries">BTH!$B$10</definedName>
    <definedName name="Cokanasigalirpts">BRI!#REF!</definedName>
    <definedName name="Cokanasigalirtries">BRI!#REF!</definedName>
    <definedName name="Cokanasigaplirpts">LIR!$F$7</definedName>
    <definedName name="Cokanasigaplirtries">LIR!$B$7</definedName>
    <definedName name="Coleleipts">LEIC!$F$7</definedName>
    <definedName name="Coleleitries">LEIC!$B$7</definedName>
    <definedName name="Colesnorpts">NOR!$G$5</definedName>
    <definedName name="Colesnortries">NOR!$B$5</definedName>
    <definedName name="Collettnewpts">LIR!$F$12</definedName>
    <definedName name="Collettnewtries">LIR!$B$12</definedName>
    <definedName name="Collierharpts">HAR!$G$10</definedName>
    <definedName name="Collierhartries">HAR!$B$10</definedName>
    <definedName name="Collinstompts">NOR!$G$6</definedName>
    <definedName name="Collinstomtries">NOR!$B$6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NEW!#REF!</definedName>
    <definedName name="Conlonsartries">NEW!#REF!</definedName>
    <definedName name="ConnachtPts">[1]CON!$F$51</definedName>
    <definedName name="ConnachtTries">[1]CON!$B$51</definedName>
    <definedName name="connonnewatt">LIR!$K$6</definedName>
    <definedName name="connonnewgoals">LIR!$J$6</definedName>
    <definedName name="Connonnewpts">LIR!#REF!</definedName>
    <definedName name="Connonnewptscorrect">LIR!$F$14</definedName>
    <definedName name="Connonnewptscorrectthisone">NEW!$F$10</definedName>
    <definedName name="Connonnewtries">LIR!#REF!</definedName>
    <definedName name="Connonnewtriescorrect">LIR!$B$14</definedName>
    <definedName name="Connonnewtriescorrectthsione">NEW!$B$10</definedName>
    <definedName name="cookatt">GLO!#REF!</definedName>
    <definedName name="Cookbthpts">BTH!$G$11</definedName>
    <definedName name="Cookbthtries">BTH!$B$11</definedName>
    <definedName name="Cookchrispts">BTH!$G$11</definedName>
    <definedName name="Cookchristries">BTH!$B$11</definedName>
    <definedName name="Cookelirpts">LIR!$F$9</definedName>
    <definedName name="Cookelirtries">LIR!$B$9</definedName>
    <definedName name="Cookgoals">GLO!#REF!</definedName>
    <definedName name="Cookpts">GLO!#REF!</definedName>
    <definedName name="Cooktries">GLO!#REF!</definedName>
    <definedName name="Cooper_Woolleypts">WAS!#REF!</definedName>
    <definedName name="Cooper_Woolleysalpts">SAL!$F$5</definedName>
    <definedName name="Cooper_Woolleysaltries">SAL!$B$5</definedName>
    <definedName name="Cooper_Woolleytries">WAS!#REF!</definedName>
    <definedName name="Cooper_Woolleywaspts">WAS!#REF!</definedName>
    <definedName name="Cooper_Woolleywastries">WAS!#REF!</definedName>
    <definedName name="Coopernewpts">LIR!#REF!</definedName>
    <definedName name="Coopernewtries">LIR!#REF!</definedName>
    <definedName name="Cooperwelpts">WOR!#REF!</definedName>
    <definedName name="Cooperweltries">WOR!#REF!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WOR!#REF!</definedName>
    <definedName name="Corkermatttries">WOR!#REF!</definedName>
    <definedName name="Cornishlirpts">LIR!$F$10</definedName>
    <definedName name="Cornishlirtries">LIR!$B$10</definedName>
    <definedName name="Cosgrovebripts">BRI!$F$11</definedName>
    <definedName name="Cosgrovebritries">BRI!$B$11</definedName>
    <definedName name="Courtlipts">BRI!$F$12</definedName>
    <definedName name="Courtlitries">BRI!$B$12</definedName>
    <definedName name="Cowan_Dickie_Lukepts">EXE!$F$7</definedName>
    <definedName name="Cowan_Dickie_Luketries">EXE!$B$7</definedName>
    <definedName name="Cowanblairtries">BRI!$B$14</definedName>
    <definedName name="Cowanjimmypts">GLO!$F$42</definedName>
    <definedName name="Cowanjimmytries">GLO!$B$42</definedName>
    <definedName name="Cowanlipts">BRI!$F$14</definedName>
    <definedName name="Cowanpts">BRI!#REF!</definedName>
    <definedName name="Cowansarpts">NEW!#REF!</definedName>
    <definedName name="Cowansartries">NEW!#REF!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WOR!$F$12</definedName>
    <definedName name="Coxwortries">WOR!$B$12</definedName>
    <definedName name="Craignorpts">NOR!#REF!</definedName>
    <definedName name="Craignortries">NOR!#REF!</definedName>
    <definedName name="cranebripts">BRI!$F$12</definedName>
    <definedName name="Cranebritries">BRI!$B$12</definedName>
    <definedName name="craneleiatt">LEIC!#REF!</definedName>
    <definedName name="craneleigoals">LEIC!#REF!</definedName>
    <definedName name="Cranepts">LEIC!#REF!</definedName>
    <definedName name="Craneptscorrect">LEIC!#REF!</definedName>
    <definedName name="Cranerhyspts">WOR!#REF!</definedName>
    <definedName name="Cranerhystries">WOR!#REF!</definedName>
    <definedName name="cranetries">LEIC!#REF!</definedName>
    <definedName name="Cranetriescorrect">LEIC!#REF!</definedName>
    <definedName name="Creevyagustinpts">WOR!#REF!</definedName>
    <definedName name="Creevyagustintries">WOR!#REF!</definedName>
    <definedName name="Croallsalpts">SAL!#REF!</definedName>
    <definedName name="Croallsaltries">SAL!#REF!</definedName>
    <definedName name="Croftleipts">LEIC!$F$9</definedName>
    <definedName name="Croftleitries">LEIC!$B$9</definedName>
    <definedName name="Crossdalesarpts">NEW!$F$12</definedName>
    <definedName name="Crossdalesarptscorrect">NEW!$F$11</definedName>
    <definedName name="Crossdalesartries">NEW!$B$12</definedName>
    <definedName name="Crossdalesartriescorrect">NEW!$B$11</definedName>
    <definedName name="Crosslipts">BRI!#REF!</definedName>
    <definedName name="Crosslitries">BRI!#REF!</definedName>
    <definedName name="Crumptonharpts">HAR!#REF!</definedName>
    <definedName name="Crumptonhartries">HAR!#REF!</definedName>
    <definedName name="Crusewaspts">WAS!$F$9</definedName>
    <definedName name="Crusewastries">WAS!$B$9</definedName>
    <definedName name="Cuetopts">SAL!#REF!</definedName>
    <definedName name="Cuetosalpts">SAL!#REF!</definedName>
    <definedName name="Cuetosaltries">SAL!#REF!</definedName>
    <definedName name="cuetotries">SAL!#REF!</definedName>
    <definedName name="Curry_Bsalpts">SAL!$F$6</definedName>
    <definedName name="Curry_Bsaltries">SAL!$B$6</definedName>
    <definedName name="Curry_Tsalpts">SAL!$F$7</definedName>
    <definedName name="Curry_Tsaltries">SAL!$B$7</definedName>
    <definedName name="Curtissalpts">SAL!$F$8</definedName>
    <definedName name="Curtissaltries">SAL!$B$8</definedName>
    <definedName name="Curtiswaspts">WAS!#REF!</definedName>
    <definedName name="Curtiswastries">WAS!#REF!</definedName>
    <definedName name="Cusitersalpts">SAL!#REF!</definedName>
    <definedName name="Cusitersaltries">SAL!#REF!</definedName>
    <definedName name="Dalyelliotpts">WAS!#REF!</definedName>
    <definedName name="Dalyelliottries">WAS!#REF!</definedName>
    <definedName name="dalywasatt">WAS!#REF!</definedName>
    <definedName name="dalywasgoals">WAS!#REF!</definedName>
    <definedName name="Dalywaspts">WAS!#REF!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BRI!$F$13</definedName>
    <definedName name="Danielsbritries">BRI!$B$13</definedName>
    <definedName name="dasdsa">NEW!$J$25</definedName>
    <definedName name="Davidsonnewpts">LIR!$F$16</definedName>
    <definedName name="Davidsonnewtries">LIR!$B$16</definedName>
    <definedName name="Davidworpts">WOR!$F$13</definedName>
    <definedName name="Davidwortries">WOR!$B$13</definedName>
    <definedName name="Davies_Bwaspts">WAS!#REF!</definedName>
    <definedName name="Davies_Bwsstries">WAS!#REF!</definedName>
    <definedName name="Davies_Cwaspts">WAS!#REF!</definedName>
    <definedName name="Davies_Cwastries">WAS!#REF!</definedName>
    <definedName name="Daviesalexpts">WOR!$F$10</definedName>
    <definedName name="Daviesalextries">WOR!$B$10</definedName>
    <definedName name="daviesbthatt">BTH!#REF!</definedName>
    <definedName name="daviesbthgls">BTH!#REF!</definedName>
    <definedName name="Daviesbthpts">BTH!#REF!</definedName>
    <definedName name="Daviesbthtries">BTH!#REF!</definedName>
    <definedName name="Daviescharliepts">WAS!#REF!</definedName>
    <definedName name="Daviescharlietries">WAS!#REF!</definedName>
    <definedName name="Davieselliottpts">WOR!#REF!</definedName>
    <definedName name="Davieselliotttries">WOR!#REF!</definedName>
    <definedName name="Daviesexepts">EXE!$F$8</definedName>
    <definedName name="Daviesexetries">EXE!$B$8</definedName>
    <definedName name="Daviesnewpts">LIR!#REF!</definedName>
    <definedName name="Daviesnewtries">LIR!#REF!</definedName>
    <definedName name="Daviesnorpts">NOR!#REF!</definedName>
    <definedName name="Daviesnortries">NOR!#REF!</definedName>
    <definedName name="davieswelatt">WOR!#REF!</definedName>
    <definedName name="davieswelgoals">WOR!#REF!</definedName>
    <definedName name="Davisbthpts">BTH!#REF!</definedName>
    <definedName name="Davisbthtries">BTH!#REF!</definedName>
    <definedName name="Davisexepts">EXE!#REF!</definedName>
    <definedName name="Davisexetries">EXE!#REF!</definedName>
    <definedName name="Davisnorpts">NOR!#REF!</definedName>
    <definedName name="Davisnortries">NOR!#REF!</definedName>
    <definedName name="Dawebripts">BRI!$F$14</definedName>
    <definedName name="Dawebritries">BRI!$B$14</definedName>
    <definedName name="Dawebstpts">BRI!#REF!</definedName>
    <definedName name="Dawebsttries">BRI!#REF!</definedName>
    <definedName name="Dawidiukglopts">GLO!$F$11</definedName>
    <definedName name="Dawidiukglotries">GLO!$B$11</definedName>
    <definedName name="Dawidiuklirpts">BRI!#REF!</definedName>
    <definedName name="Dawidiuklirtries">BRI!#REF!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Chavesleipts">LEIC!#REF!</definedName>
    <definedName name="De_Chavesleitries">LEIC!#REF!</definedName>
    <definedName name="de_Jagersalpts">SAL!$F$9</definedName>
    <definedName name="de_Jagersaltries">SAL!$B$9</definedName>
    <definedName name="de_Jagersarpts">NEW!#REF!</definedName>
    <definedName name="de_Jagersartries">NEW!#REF!</definedName>
    <definedName name="de_Jonghwaspts">WAS!$F$10</definedName>
    <definedName name="de_Jonghwastries">WAS!$B$10</definedName>
    <definedName name="de_Klerksalgls">SAL!$J$5</definedName>
    <definedName name="de_Kockneilpts">NEW!$F$9</definedName>
    <definedName name="de_Kockneiltries">NEW!$B$9</definedName>
    <definedName name="De_Lucawaspts">WAS!#REF!</definedName>
    <definedName name="De_Lucawastries">WAS!#REF!</definedName>
    <definedName name="de_VilliersLEIPTS">LEIC!#REF!</definedName>
    <definedName name="de_VilliersLEITRIES">LEIC!#REF!</definedName>
    <definedName name="Deaconleipts">LEIC!#REF!</definedName>
    <definedName name="Deaconleitries">LEIC!#REF!</definedName>
    <definedName name="deklerksalatt">SAL!$K$5</definedName>
    <definedName name="Delmasbthpts">BTH!$G$12</definedName>
    <definedName name="Delmasbthtries">BTH!$B$12</definedName>
    <definedName name="Denmangarethpts">NOR!#REF!</definedName>
    <definedName name="Denmangarethtries">NOR!#REF!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GLO!$F$13</definedName>
    <definedName name="Dentonglotries">GLO!$B$13</definedName>
    <definedName name="Dentonleicpts">LEIC!#REF!</definedName>
    <definedName name="Dentonleictries">LEIC!#REF!</definedName>
    <definedName name="Dentonworpts">WOR!#REF!</definedName>
    <definedName name="Dentonwortries">WOR!#REF!</definedName>
    <definedName name="devotobatatt">BTH!#REF!</definedName>
    <definedName name="devotobatgoals">BTH!#REF!</definedName>
    <definedName name="Devotoexepts">EXE!$F$9</definedName>
    <definedName name="Devotoexetries">EXE!$B$9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az_Bonilla_Jleicpts">LEIC!$F$8</definedName>
    <definedName name="Diaz_Bonilla_Jleictries">LEIC!$B$8</definedName>
    <definedName name="Diaz_Bonillaleicgls">LEIC!$J$4</definedName>
    <definedName name="diazbonillaleicatt">LEIC!$K$4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NOR!$G$7</definedName>
    <definedName name="Dingwallnortries">NOR!$B$7</definedName>
    <definedName name="Dobsonmatthewpts">WOR!#REF!</definedName>
    <definedName name="Dobsonmatthewtries">WOR!#REF!</definedName>
    <definedName name="Dohertysalpts">SAL!$F$15</definedName>
    <definedName name="Dohertysaltries">SAL!$B$15</definedName>
    <definedName name="Dolannorpts">NOR!#REF!</definedName>
    <definedName name="Dolannortries">NOR!#REF!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HAR!$G$11</definedName>
    <definedName name="Dombrandthartries">HAR!$B$11</definedName>
    <definedName name="Donnelllirpts">LIR!$F$13</definedName>
    <definedName name="Donnelllirtries">LIR!$B$13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BRI!$F$16</definedName>
    <definedName name="Dorrianlitries">BRI!$B$16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BTH!$G$13</definedName>
    <definedName name="Douglasbthtries">BTH!$B$13</definedName>
    <definedName name="Douglaswaspts">WAS!$F$11</definedName>
    <definedName name="Douglaswastries">WAS!$B$11</definedName>
    <definedName name="Downwelpts">WOR!#REF!</definedName>
    <definedName name="Downweltries">WOR!#REF!</definedName>
    <definedName name="Dowsettworatt">WOR!#REF!</definedName>
    <definedName name="Dowsettworgls">WOR!#REF!</definedName>
    <definedName name="Dowsettworpts">WOR!#REF!</definedName>
    <definedName name="Dowsettwortries">WOR!#REF!</definedName>
    <definedName name="Dowsonphilnorpts">NOR!#REF!</definedName>
    <definedName name="Dowsonphilptscorrect">NOR!#REF!</definedName>
    <definedName name="Dowsonphiltriescorrect">NOR!#REF!</definedName>
    <definedName name="Dowsonpts">NOR!$G$40</definedName>
    <definedName name="Dowsontries">NOR!$B$40</definedName>
    <definedName name="DragonsPts">[1]DRA!$F$55</definedName>
    <definedName name="DragonsTries">[1]DRA!$B$55</definedName>
    <definedName name="Drauniniupts">WOR!#REF!</definedName>
    <definedName name="Drauniniutries">WOR!#REF!</definedName>
    <definedName name="du_Plessissarpts">NEW!$F$13</definedName>
    <definedName name="du_Plessissartries">NEW!$B$13</definedName>
    <definedName name="du_Preez__JPsalpts">SAL!$F$13</definedName>
    <definedName name="du_Preez__JPsaltries">SAL!$B$13</definedName>
    <definedName name="du_Preez_Dsalpts">SAL!$F$11</definedName>
    <definedName name="du_Preez_Dsaltries">SAL!$B$11</definedName>
    <definedName name="du_Preez_J_Lsalpts">SAL!$F$12</definedName>
    <definedName name="du_Preez_J_Lsaltries">SAL!$B$12</definedName>
    <definedName name="du_Preez_Rsalpts">SAL!$F$14</definedName>
    <definedName name="du_Preez_Rsaltries">SAL!$B$14</definedName>
    <definedName name="du_Preezworpts">WOR!$F$14</definedName>
    <definedName name="du_Preezwortries">WOR!$B$14</definedName>
    <definedName name="du_Toitbthpts">BTH!$G$15</definedName>
    <definedName name="du_Toitbthtries">BTH!$B$15</definedName>
    <definedName name="Dunnbattries">BTH!$B$14</definedName>
    <definedName name="Dunntompts">BTH!$G$14</definedName>
    <definedName name="dupreezsalatt">SAL!$K$6</definedName>
    <definedName name="dupreezsalgls">SAL!$J$6</definedName>
    <definedName name="dupreezsalpts">SAL!$K$6</definedName>
    <definedName name="Earleharpts">HAR!$G$12</definedName>
    <definedName name="Earlehartries">HAR!$B$12</definedName>
    <definedName name="Earlenathanpts">NEW!#REF!</definedName>
    <definedName name="Earlenathantries">NEW!#REF!</definedName>
    <definedName name="Earlsarpts">NEW!$F$14</definedName>
    <definedName name="Earlsartries">NEW!$B$14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WAS!#REF!</definedName>
    <definedName name="eastgatewasgoals">WAS!#REF!</definedName>
    <definedName name="Eastgatewaspts">WAS!$F$12</definedName>
    <definedName name="Eastgatewastries">WAS!$B$12</definedName>
    <definedName name="Eastmondkylepts">BTH!#REF!</definedName>
    <definedName name="Eastmondkyletries">BTH!#REF!</definedName>
    <definedName name="Eastmondleictries">LEIC!#REF!</definedName>
    <definedName name="Eastmondlicpts">LEIC!#REF!</definedName>
    <definedName name="Eastmondwaspts">WAS!#REF!</definedName>
    <definedName name="Eastmondwastries">WAS!#REF!</definedName>
    <definedName name="edenbriatt">BRI!$K$6</definedName>
    <definedName name="Edenbrigls">BRI!$J$6</definedName>
    <definedName name="Edenbripts">BRI!$F$15</definedName>
    <definedName name="Edenbritries">BRI!$B$15</definedName>
    <definedName name="edenworatt">WOR!#REF!</definedName>
    <definedName name="edenworgoals">WOR!#REF!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pts">HAR!$G$13</definedName>
    <definedName name="Edwardshartries">HAR!$B$13</definedName>
    <definedName name="Egertonharpts">HAR!#REF!</definedName>
    <definedName name="Egertonhartries">HAR!#REF!</definedName>
    <definedName name="Egertonnewpts">LIR!#REF!</definedName>
    <definedName name="Egertonnewtries">LIR!#REF!</definedName>
    <definedName name="Elderchrispts">WOR!#REF!</definedName>
    <definedName name="Elderchristries">WOR!#REF!</definedName>
    <definedName name="Eliaharpts">HAR!$G$14</definedName>
    <definedName name="Eliahartries">HAR!$B$14</definedName>
    <definedName name="Ellerysarpts">NEW!#REF!</definedName>
    <definedName name="Ellerysartries">NEW!#REF!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sgerardpts">BRI!#REF!</definedName>
    <definedName name="Ellisgerardtries">BRI!#REF!</definedName>
    <definedName name="Englefieldlirpts">LIR!$F$15</definedName>
    <definedName name="Englefieldlirtries">LIR!$B$15</definedName>
    <definedName name="Estellesnorpts">NOR!#REF!</definedName>
    <definedName name="Estellesnortrioes">NOR!#REF!</definedName>
    <definedName name="Esterhuizenharpts">HAR!$G$16</definedName>
    <definedName name="Esterhuizenhartries">HAR!$B$16</definedName>
    <definedName name="Evans_Lglopts">GLO!$F$14</definedName>
    <definedName name="Evans_Lglotries">GLO!$B$14</definedName>
    <definedName name="Evans_Oharpts">HAR!$G$15</definedName>
    <definedName name="Evans_Ohartries">HAR!$B$15</definedName>
    <definedName name="Evansbrynpts">BRI!#REF!</definedName>
    <definedName name="Evansbryntries">BRI!#REF!</definedName>
    <definedName name="Evansbthpts">BTH!$G$16</definedName>
    <definedName name="Evansbthtries">BTH!$B$16</definedName>
    <definedName name="Evansgarethpts">GLO!#REF!</definedName>
    <definedName name="Evansgarethtries">GLO!#REF!</definedName>
    <definedName name="Evansharpts">HAR!#REF!</definedName>
    <definedName name="Evanshartries">HAR!$B$17</definedName>
    <definedName name="Evansleipts">LEIC!#REF!</definedName>
    <definedName name="Evansleitries">LEIC!#REF!</definedName>
    <definedName name="evanslgloatt">GLO!$K$6</definedName>
    <definedName name="evanslglogoals">GLO!$J$6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SAL!#REF!</definedName>
    <definedName name="Evanssaltries">SAL!#REF!</definedName>
    <definedName name="Evanswharpts">HAR!$G$17</definedName>
    <definedName name="Evanswillharpts">HAR!$G$17</definedName>
    <definedName name="Everardmattpts">WAS!#REF!</definedName>
    <definedName name="Everardmatttries">WAS!#REF!</definedName>
    <definedName name="Everardwaspts">WAS!#REF!</definedName>
    <definedName name="Everardwastries">WAS!#REF!</definedName>
    <definedName name="Evesnorpts">NOR!#REF!</definedName>
    <definedName name="Evesnortries">NOR!#REF!</definedName>
    <definedName name="Ewelsbthpts">BTH!$G$17</definedName>
    <definedName name="ewelsbthtries">BTH!$B$17</definedName>
    <definedName name="Ewersexepts">EXE!$F$10</definedName>
    <definedName name="Ewersexetries">EXE!$B$10</definedName>
    <definedName name="Ewerspts">EXE!#REF!</definedName>
    <definedName name="Ewerstries">EXE!#REF!</definedName>
    <definedName name="ExeterPts">EXE!$F$50</definedName>
    <definedName name="ExeterTries">EXE!$B$50</definedName>
    <definedName name="Fa_asavalumauriepts">HAR!#REF!</definedName>
    <definedName name="Fa_asavalumaurietries">HAR!#REF!</definedName>
    <definedName name="Fa_osilivaalafotipts">BTH!#REF!</definedName>
    <definedName name="Fa_osilivaalafotitries">BTH!#REF!</definedName>
    <definedName name="Fainga_anukuofapts">WOR!#REF!</definedName>
    <definedName name="Fainga_anukuofatries">WOR!#REF!</definedName>
    <definedName name="Faingaalirpts">LIR!#REF!</definedName>
    <definedName name="Faingaalirtries">LIR!#REF!</definedName>
    <definedName name="Faletaubripts">BRI!#REF!</definedName>
    <definedName name="Faletaubritries">BRI!#REF!</definedName>
    <definedName name="Faletaubthpts">BTH!$G$18</definedName>
    <definedName name="Faletaubthtries">BTH!$B$18</definedName>
    <definedName name="Faosilivaworpts">WOR!#REF!</definedName>
    <definedName name="Faosilivawortries">WOR!#REF!</definedName>
    <definedName name="farrellatt">NEW!$K$4</definedName>
    <definedName name="farrellgoals">NEW!$J$4</definedName>
    <definedName name="Farrellowentries">NEW!$B$17</definedName>
    <definedName name="Farrellpts">NEW!#REF!</definedName>
    <definedName name="Farrellsarpts">NEW!$F$17</definedName>
    <definedName name="Fatialofaworpts">WOR!$F$15</definedName>
    <definedName name="Fatialofawortries">WOR!$B$15</definedName>
    <definedName name="Feaoleicpts">LEIC!#REF!</definedName>
    <definedName name="Feaoleictries">LEIC!#REF!</definedName>
    <definedName name="Fearnsalpts">SAL!$F$10</definedName>
    <definedName name="Fearnsaltries">SAL!$B$10</definedName>
    <definedName name="Fearnscarlpts">BTH!#REF!</definedName>
    <definedName name="Fearnscarltries">BTH!#REF!</definedName>
    <definedName name="Fenbylipts">BRI!$F$18</definedName>
    <definedName name="Fenbylitries">BRI!$B$18</definedName>
    <definedName name="Fenbypts">BRI!#REF!</definedName>
    <definedName name="Fenbysarpts">NEW!#REF!</definedName>
    <definedName name="Fenbysartries">NEW!#REF!</definedName>
    <definedName name="Fenbytries">BRI!#REF!</definedName>
    <definedName name="Fenton_Wellsbripts">BRI!$F$16</definedName>
    <definedName name="Fenton_Wellsbritries">BRI!$B$16</definedName>
    <definedName name="Fercusarpts">NEW!#REF!</definedName>
    <definedName name="Fercusarptscorrect">NEW!#REF!</definedName>
    <definedName name="Fercusartries">NEW!#REF!</definedName>
    <definedName name="Fercusartriescorrect">NEW!#REF!</definedName>
    <definedName name="Festucciacarlopts">WAS!#REF!</definedName>
    <definedName name="Festucciacarlotries">WAS!#REF!</definedName>
    <definedName name="Figallosarpts">NEW!#REF!</definedName>
    <definedName name="Figallosartries">NEW!#REF!</definedName>
    <definedName name="Fihakiviliamipts">SAL!#REF!</definedName>
    <definedName name="Fihakiviliamitris">SAL!#REF!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NOR!$G$8</definedName>
    <definedName name="Fishnortries">NOR!$B$8</definedName>
    <definedName name="Fitzgerald__Leitries">LEIC!#REF!</definedName>
    <definedName name="Fitzgeraldleipts">LEIC!#REF!</definedName>
    <definedName name="Flamentwaspts">WAS!#REF!</definedName>
    <definedName name="Flamentwastries">WAS!#REF!</definedName>
    <definedName name="Flanagansarpts">NEW!#REF!</definedName>
    <definedName name="Flanagansartries">NEW!#REF!</definedName>
    <definedName name="floodatt">LEIC!$K$5</definedName>
    <definedName name="floodgoals">LEIC!$J$5</definedName>
    <definedName name="Floodnewpts">LIR!$F$18</definedName>
    <definedName name="Floodnewptscorrect">NEW!$F$15</definedName>
    <definedName name="Floodnewtries">LIR!$B$18</definedName>
    <definedName name="Floodnewtriescorrect">NEW!$B$15</definedName>
    <definedName name="Floodpts">LEIC!#REF!</definedName>
    <definedName name="Floodtobypts">LEIC!#REF!</definedName>
    <definedName name="Floodtobytries">LEIC!$B$11</definedName>
    <definedName name="Flynnsalpts">SAL!#REF!</definedName>
    <definedName name="Flynnsaltries">SAL!#REF!</definedName>
    <definedName name="Fodenpts">NOR!#REF!</definedName>
    <definedName name="fodentries">NOR!#REF!</definedName>
    <definedName name="Fonualeipts">LEIC!#REF!</definedName>
    <definedName name="Fonualeitries">LEIC!#REF!</definedName>
    <definedName name="Fonualwepts">WOR!#REF!</definedName>
    <definedName name="Fonualwetries">WOR!#REF!</definedName>
    <definedName name="Fonuanewpts">LIR!#REF!</definedName>
    <definedName name="Fonuanewtries">LIR!#REF!</definedName>
    <definedName name="Ford_Jleicpts">LEIC!#REF!</definedName>
    <definedName name="Ford_Jleictries">LEIC!#REF!</definedName>
    <definedName name="Ford_Robinsonglopts">GLO!$F$15</definedName>
    <definedName name="Ford_Robinsonglotries">GLO!$B$15</definedName>
    <definedName name="Ford_Robinsonnorpts">NOR!#REF!</definedName>
    <definedName name="Ford_Robinsonnortries">NOR!#REF!</definedName>
    <definedName name="Fordgeorgeatt">BTH!#REF!</definedName>
    <definedName name="Fordgeorgebatpts">BTH!#REF!</definedName>
    <definedName name="Fordgeorgegoals">BTH!#REF!</definedName>
    <definedName name="fordgeorgepts">BTH!#REF!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LEIC!$F$10</definedName>
    <definedName name="fordleictries">LEIC!$B$10</definedName>
    <definedName name="Fordsaltries">SAL!#REF!</definedName>
    <definedName name="Forsythandytries">SAL!#REF!</definedName>
    <definedName name="Forsythleipts">LEIC!#REF!</definedName>
    <definedName name="Forsythleitries">LEIC!#REF!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WAS!#REF!</definedName>
    <definedName name="Fosterwastries">WAS!#REF!</definedName>
    <definedName name="Fotuali_ibthatt">BTH!#REF!</definedName>
    <definedName name="Fotuali_ibthgls">BTH!#REF!</definedName>
    <definedName name="Fotuali_ibthpts">BTH!$G$19</definedName>
    <definedName name="Fotuali_ibthtries">BTH!$B$19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BRI!$F$19</definedName>
    <definedName name="Fowlietompts">BRI!#REF!</definedName>
    <definedName name="Fowlietomtries">BRI!$B$19</definedName>
    <definedName name="Francisexepts">EXE!$F$11</definedName>
    <definedName name="Francisexetries">EXE!$B$11</definedName>
    <definedName name="Francisnorpts">NOR!$G$9</definedName>
    <definedName name="Francisnortries">NOR!$B$9</definedName>
    <definedName name="Frankslirpts">BRI!$F$20</definedName>
    <definedName name="Frankslirtries">BRI!$B$20</definedName>
    <definedName name="Franksnorpts">NOR!$G$10</definedName>
    <definedName name="Franksnortries">NOR!$B$10</definedName>
    <definedName name="Frasersarpts">NEW!#REF!</definedName>
    <definedName name="Frasersartries">NEW!#REF!</definedName>
    <definedName name="Fraserwillpts">NEW!#REF!</definedName>
    <definedName name="Fraserwilltries">NEW!#REF!</definedName>
    <definedName name="Freemanexepts">EXE!$F$13</definedName>
    <definedName name="Freemanexetries">EXE!$B$13</definedName>
    <definedName name="Freemannorpts">NOR!$G$11</definedName>
    <definedName name="Freemannortries">NOR!$B$11</definedName>
    <definedName name="Frueanbatpts">BTH!#REF!</definedName>
    <definedName name="Frueanbattries">BTH!#REF!</definedName>
    <definedName name="Frynewpts">LIR!#REF!</definedName>
    <definedName name="Frynewtries">LIR!#REF!</definedName>
    <definedName name="furbanknoratt">NOR!$M$6</definedName>
    <definedName name="furbanknorgls">NOR!$L$6</definedName>
    <definedName name="Furbanknorpts">NOR!#REF!</definedName>
    <definedName name="Furbanknorptscorrect">NOR!$G$12</definedName>
    <definedName name="Furbanknortries">NOR!#REF!</definedName>
    <definedName name="Furbanknortriescorrect">NOR!$B$12</definedName>
    <definedName name="Furnonewpts">LIR!$F$19</definedName>
    <definedName name="Furnonewtries">LIR!$B$19</definedName>
    <definedName name="Furynewpts">LIR!#REF!</definedName>
    <definedName name="Furywarrenpts">LIR!#REF!</definedName>
    <definedName name="Furywarrentries">LIR!#REF!</definedName>
    <definedName name="Fusernewpts">NEW!$F$16</definedName>
    <definedName name="Fusernewtries">NEW!$B$16</definedName>
    <definedName name="Galarzaglopts">GLO!$F$15</definedName>
    <definedName name="Galarzaglotries">GLO!$B$15</definedName>
    <definedName name="Galarzamarianopts">WOR!$F$18</definedName>
    <definedName name="Galarzamarianotries">WOR!$B$18</definedName>
    <definedName name="Gallaghersarpts">NEW!$F$18</definedName>
    <definedName name="Gallaghersartries">NEW!$B$18</definedName>
    <definedName name="Garrattbthpts">BTH!#REF!</definedName>
    <definedName name="Garrattbthtries">BTH!#REF!</definedName>
    <definedName name="Garveyglopts">GLO!$F$16</definedName>
    <definedName name="Garveyglotries">GLO!$B$16</definedName>
    <definedName name="Garveymattpts">BTH!$G$20</definedName>
    <definedName name="Garveymatttries">BTH!$B$20</definedName>
    <definedName name="Gaskelljamespts">SAL!#REF!</definedName>
    <definedName name="Gaskelljamestries">SAL!#REF!</definedName>
    <definedName name="Gaskellwaspts">WAS!$F$13</definedName>
    <definedName name="Gaskellwastries">WAS!$B$13</definedName>
    <definedName name="Georgejamieptscorrect">NEW!#REF!</definedName>
    <definedName name="Georgejamietriescorrect">NEW!#REF!</definedName>
    <definedName name="Georgepts">NEW!#REF!</definedName>
    <definedName name="Georgesarpts">NEW!$F$20</definedName>
    <definedName name="Georgesartries">NEW!$B$20</definedName>
    <definedName name="georgetries">NEW!#REF!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BRI!$F$32</definedName>
    <definedName name="Geraghtyptscorrect">BRI!#REF!</definedName>
    <definedName name="Geraghtytries">BRI!#REF!</definedName>
    <definedName name="Geraghtytriescorrect">BRI!#REF!</definedName>
    <definedName name="gfordpts">BTH!#REF!</definedName>
    <definedName name="Ghiraldinileipts">LEIC!$F$11</definedName>
    <definedName name="Ghiraldinileitries">LEIC!$B$11</definedName>
    <definedName name="Gibsonjamiepts">LEIC!#REF!</definedName>
    <definedName name="Gibsonjamietries">LEIC!#REF!</definedName>
    <definedName name="Gibsonnorpts">NOR!#REF!</definedName>
    <definedName name="Gibsonnortries">NOR!#REF!</definedName>
    <definedName name="Gigenaleicpts">LEIC!$F$12</definedName>
    <definedName name="Gigenaleictries">LEIC!$B$12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WOR!#REF!</definedName>
    <definedName name="Gildingjacktries">WOR!#REF!</definedName>
    <definedName name="Gillespienorpts">NOR!$G$13</definedName>
    <definedName name="Gillespienortries">NOR!$B$13</definedName>
    <definedName name="Gillsarpts">NEW!#REF!</definedName>
    <definedName name="Gillsartries">NEW!#REF!</definedName>
    <definedName name="Gilsenanlipts">BRI!#REF!</definedName>
    <definedName name="Gilsenanlirpts">LIR!#REF!</definedName>
    <definedName name="Gilsenanlirtries">LIR!#REF!</definedName>
    <definedName name="Gilsenanlitries">BRI!#REF!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oucesterpentriespts">GLO!#REF!</definedName>
    <definedName name="GloucesterPenTriestries">GLO!#REF!</definedName>
    <definedName name="GloucesterPts">GLO!$F$48</definedName>
    <definedName name="GloucesterTries">GLO!$B$48</definedName>
    <definedName name="godmanatt">LIR!#REF!</definedName>
    <definedName name="godmangoals">LIR!#REF!</definedName>
    <definedName name="Godmannewpts">LIR!#REF!</definedName>
    <definedName name="Godmanphiltries">LIR!#REF!</definedName>
    <definedName name="Godmanpts">LIR!#REF!</definedName>
    <definedName name="goneatries">LEIC!#REF!</definedName>
    <definedName name="Gonevaleipts">LEIC!#REF!</definedName>
    <definedName name="Gonevaleiptscorrect">LEIC!#REF!</definedName>
    <definedName name="Gonevaleitries">LEIC!#REF!</definedName>
    <definedName name="Gonevapts">LEIC!#REF!</definedName>
    <definedName name="Gonevaptscorrect">LEIC!#REF!</definedName>
    <definedName name="Gonevatriescorrect">LEIC!#REF!</definedName>
    <definedName name="goodealexatt">NEW!$K$6</definedName>
    <definedName name="goodealexgoals">NEW!$J$6</definedName>
    <definedName name="Goodealexpts">NEW!$F$21</definedName>
    <definedName name="goodealextries">NEW!$B$21</definedName>
    <definedName name="goodeandyatt">WAS!$K$5</definedName>
    <definedName name="goodeandygoals">WAS!$J$5</definedName>
    <definedName name="Goodeandypts">WAS!#REF!</definedName>
    <definedName name="Goodemewpts">LIR!#REF!</definedName>
    <definedName name="goodenewatt">LIR!#REF!</definedName>
    <definedName name="Goodenewgoals">LIR!#REF!</definedName>
    <definedName name="Goodenewtries">LIR!#REF!</definedName>
    <definedName name="Goodepts">WAS!#REF!</definedName>
    <definedName name="Goodewaspts">WAS!$F$14</definedName>
    <definedName name="Goodewastries">WAS!$B$14</definedName>
    <definedName name="Goodhuecampts">WOR!#REF!</definedName>
    <definedName name="Goodhuecamtries">WOR!#REF!</definedName>
    <definedName name="Graham__Guynewpts">LIR!$F$21</definedName>
    <definedName name="Graham__Guynewtries">LIR!$B$21</definedName>
    <definedName name="Grahambripts">BRI!#REF!</definedName>
    <definedName name="Grahambritries">BRI!#REF!</definedName>
    <definedName name="Grahamnewpts">LIR!$F$20</definedName>
    <definedName name="Grahamnewtries">LIR!$B$20</definedName>
    <definedName name="Grantbatpts">BTH!#REF!</definedName>
    <definedName name="Grantbattries">BTH!#REF!</definedName>
    <definedName name="graydannyatt">WOR!$K$4</definedName>
    <definedName name="graydannygoals">WOR!$J$4</definedName>
    <definedName name="Grayexepts">EXE!$F$12</definedName>
    <definedName name="Grayexetries">EXE!$B$12</definedName>
    <definedName name="Grayharpts">HAR!#REF!</definedName>
    <definedName name="Grayhartries">HAR!#REF!</definedName>
    <definedName name="Grayjoeharpts">HAR!$G$18</definedName>
    <definedName name="Grayjoehartries">HAR!$B$18</definedName>
    <definedName name="Grayjoshglopts">GLO!#REF!</definedName>
    <definedName name="Grayjoshglotries">GLO!#REF!</definedName>
    <definedName name="Graypts">WOR!#REF!</definedName>
    <definedName name="graysonnoratt">NOR!$M$7</definedName>
    <definedName name="graysonnorgls">NOR!$L$7</definedName>
    <definedName name="Graysonnorpts">NOR!$G$14</definedName>
    <definedName name="Graysonnortries">NOR!$B$14</definedName>
    <definedName name="Greenbthpts">BTH!$G$21</definedName>
    <definedName name="Greenbthtries">BTH!$B$21</definedName>
    <definedName name="Greenharpts">HAR!$G$19</definedName>
    <definedName name="Greenhartries">HAR!$B$19</definedName>
    <definedName name="Griffinlipts">BRI!#REF!</definedName>
    <definedName name="Griffinlitries">BRI!#REF!</definedName>
    <definedName name="Griffithssarpts">NEW!$F$23</definedName>
    <definedName name="Griffithssartries">NEW!$B$23</definedName>
    <definedName name="Grimoldbyharpts">HAR!#REF!</definedName>
    <definedName name="Grimoldbyhartries">HAR!#REF!</definedName>
    <definedName name="Groblerglopts">GLO!#REF!</definedName>
    <definedName name="Groblerglotrie">GLO!#REF!</definedName>
    <definedName name="Groomnorpts">NOR!#REF!</definedName>
    <definedName name="Groomnortries">NOR!#REF!</definedName>
    <definedName name="Grovepts">WOR!#REF!</definedName>
    <definedName name="Grovetries">WOR!#REF!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Haganjamiepts">BRI!#REF!</definedName>
    <definedName name="Haganjamietries">BRI!#REF!</definedName>
    <definedName name="Hainingbripts">BRI!$F$18</definedName>
    <definedName name="Hainingbritries">BRI!$B$18</definedName>
    <definedName name="Hala_ufiachrispts">BRI!#REF!</definedName>
    <definedName name="Hala_ufiachristries">BRI!#REF!</definedName>
    <definedName name="Halaifonuaglopts">GLO!$F$17</definedName>
    <definedName name="Halaifonuaglotries">GLO!$B$17</definedName>
    <definedName name="Halaiwaspts">WAS!#REF!</definedName>
    <definedName name="Halaiwastries">WAS!#REF!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miltonleipts">LEIC!#REF!</definedName>
    <definedName name="Hamiltonleitries">LEIC!#REF!</definedName>
    <definedName name="Hamiltonsarpts">NEW!#REF!</definedName>
    <definedName name="Hamiltonsartries">NEW!#REF!</definedName>
    <definedName name="Hammersleynewpts">LIR!$F$23</definedName>
    <definedName name="Hammersleynewtries">LIR!$B$23</definedName>
    <definedName name="Hammersleysalpts">SAL!$F$16</definedName>
    <definedName name="Hammersleysaltries">SAL!$B$16</definedName>
    <definedName name="Hammonddeanpts">WOR!$F$23</definedName>
    <definedName name="Hammonddeantries">WOR!#REF!</definedName>
    <definedName name="Hampsonwaspts">WAS!#REF!</definedName>
    <definedName name="Hampsonwasptscorrect">WAS!#REF!</definedName>
    <definedName name="Hampsonwastries">WAS!#REF!</definedName>
    <definedName name="Hampsonwastriescorrect">WAS!#REF!</definedName>
    <definedName name="Hankinmattpts">NEW!#REF!</definedName>
    <definedName name="Hankinmatttries">NEW!#REF!</definedName>
    <definedName name="hanrahannoratt">NOR!$M$5</definedName>
    <definedName name="Hanrahannorgoals">NOR!$L$5</definedName>
    <definedName name="Hanrahannorpts">NOR!#REF!</definedName>
    <definedName name="Hanrahannortries">NOR!#REF!</definedName>
    <definedName name="Hansonglopts">GLO!$F$18</definedName>
    <definedName name="Hansonglotries">GLO!$B$18</definedName>
    <definedName name="Hardingbripts">BRI!$F$17</definedName>
    <definedName name="Hardingbritries">BRI!$B$17</definedName>
    <definedName name="hardwickleicatt">LEIC!$K$7</definedName>
    <definedName name="hardwickleicgls">LEIC!$J$7</definedName>
    <definedName name="Hardwickleipts">LEIC!$F$13</definedName>
    <definedName name="Hardwickleitries">LEIC!$B$13</definedName>
    <definedName name="Hargreavessarpts">NEW!#REF!</definedName>
    <definedName name="Hargreavessartries">NEW!#REF!</definedName>
    <definedName name="HarlequinsPts">HAR!$G$43</definedName>
    <definedName name="HarlequinsTries">HAR!$B$43</definedName>
    <definedName name="Harris_Bwaspts">WAS!$F$15</definedName>
    <definedName name="Harris_Bwastries">WAS!$B$15</definedName>
    <definedName name="Harrisglopts">GLO!$F$19</definedName>
    <definedName name="Harrisglotries">GLO!$B$19</definedName>
    <definedName name="Harrislipts">BRI!#REF!</definedName>
    <definedName name="Harrislitries">BRI!#REF!</definedName>
    <definedName name="Harrisnewpts">LIR!#REF!</definedName>
    <definedName name="Harrisnewtries">LIR!#REF!</definedName>
    <definedName name="Harrisonnorpts">NOR!$G$15</definedName>
    <definedName name="Harrisonnortries">NOR!$B$15</definedName>
    <definedName name="Harrisonsalpts">SAL!$F$17</definedName>
    <definedName name="Harrisonsaltris">SAL!$B$17</definedName>
    <definedName name="Harrisonsampts">LEIC!$F$14</definedName>
    <definedName name="Harrisonsamtries">LEIC!$B$14</definedName>
    <definedName name="Hartleypts">NOR!#REF!</definedName>
    <definedName name="Hartleyptscorrect">NOR!#REF!</definedName>
    <definedName name="hartleytries">NOR!#REF!</definedName>
    <definedName name="Hartleytriescorrect">NOR!#REF!</definedName>
    <definedName name="Hartleytriesthisiscorrect">NOR!#REF!</definedName>
    <definedName name="Hartryscorers">HAR!$A$2:$E$43</definedName>
    <definedName name="Haskelljamespts">WAS!#REF!</definedName>
    <definedName name="Haskelljamestries">WAS!#REF!</definedName>
    <definedName name="Haskellnorpts">NOR!#REF!</definedName>
    <definedName name="Haskellnortries">NOR!#REF!</definedName>
    <definedName name="Hassell_Collinslirpts">LIR!$F$17</definedName>
    <definedName name="Hassell_Collinslirtries">LIR!$B$17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uptworpts">WOR!#REF!</definedName>
    <definedName name="Hauptwortries">WOR!#REF!</definedName>
    <definedName name="Hawkinsnewpts">LIR!#REF!</definedName>
    <definedName name="Hawkinsnewtries">LIR!#REF!</definedName>
    <definedName name="Hayterpts">WAS!#REF!</definedName>
    <definedName name="Haytertries">WAS!#REF!</definedName>
    <definedName name="Hayterwaspts">WAS!#REF!</definedName>
    <definedName name="Hayterwastries">WAS!#REF!</definedName>
    <definedName name="Haywoodmikepts">NOR!$G$16</definedName>
    <definedName name="Haywoodmiketries">NOR!$B$16</definedName>
    <definedName name="Heaneyworpts">WOR!$F$16</definedName>
    <definedName name="Heaneywortries">WOR!$B$16</definedName>
    <definedName name="Hearleworpts">WOR!$F$17</definedName>
    <definedName name="Hearlewortries">WOR!$B$17</definedName>
    <definedName name="Hearnlirpts">BRI!$F$22</definedName>
    <definedName name="Hearnlirtries">BRI!$B$22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inzglopts">GLO!$F$20</definedName>
    <definedName name="Heinzglotries">GLO!$B$20</definedName>
    <definedName name="Helleurnewpts">LIR!#REF!</definedName>
    <definedName name="Helleurnewtris">LIR!#REF!</definedName>
    <definedName name="Helupts">WAS!#REF!</definedName>
    <definedName name="Helutries">WAS!#REF!</definedName>
    <definedName name="Hendricksonexepts">EXE!$F$14</definedName>
    <definedName name="Hendricksonexetries">EXE!$B$14</definedName>
    <definedName name="Hendriksonexetries">EXE!$B$14</definedName>
    <definedName name="Hennwelshpts">WOR!#REF!</definedName>
    <definedName name="Hennwelshtries">WOR!#REF!</definedName>
    <definedName name="henryleicatt">LEIC!$K$8</definedName>
    <definedName name="Henryleicgls">LEIC!$J$8</definedName>
    <definedName name="Henryleicpts">LEIC!$F$15</definedName>
    <definedName name="Henryleictries">LEIC!$B$15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EXE!$F$15</definedName>
    <definedName name="Hepburnexetries">EXE!$B$15</definedName>
    <definedName name="Hepburnwaspts">WAS!#REF!</definedName>
    <definedName name="Hepburnwastries">WAS!#REF!</definedName>
    <definedName name="Hepetamaleipts">LEIC!#REF!</definedName>
    <definedName name="Hepetamaleitries">LEIC!#REF!</definedName>
    <definedName name="herronharatt">HAR!$M$8</definedName>
    <definedName name="Herronhargls">HAR!$L$8</definedName>
    <definedName name="Herronharpts">HAR!$G$20</definedName>
    <definedName name="Herronhartries">HAR!$B$20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EXE!$F$16</definedName>
    <definedName name="Hill_Jexetries">EXE!$B$16</definedName>
    <definedName name="Hill_Samexetries">EXE!$B$17</definedName>
    <definedName name="Hill_Sexepts">EXE!$B$17</definedName>
    <definedName name="Hill_Ssamexepts">EXE!$F$17</definedName>
    <definedName name="Hillsampts">EXE!$F$17</definedName>
    <definedName name="Hillsamtries">EXE!$B$17</definedName>
    <definedName name="Hillworpts">WOR!$F$19</definedName>
    <definedName name="Hillwortries">WOR!$B$19</definedName>
    <definedName name="Hinessalpts">SAL!#REF!</definedName>
    <definedName name="Hinessaltries">SAL!#REF!</definedName>
    <definedName name="Hinkleyglopts">GLO!#REF!</definedName>
    <definedName name="Hinkleyglotries">GLO!#REF!</definedName>
    <definedName name="Hodgeexeatt">EXE!$K$4</definedName>
    <definedName name="Hodgeexegls">EXE!$J$4</definedName>
    <definedName name="Hodgeexepts">EXE!$F$18</definedName>
    <definedName name="Hodgeexetries">EXE!$B$18</definedName>
    <definedName name="hodgsoncharlieatt">NEW!$K$5</definedName>
    <definedName name="Hodgsoncharliegoals">NEW!$J$5</definedName>
    <definedName name="Hodgsoncharliepts">NEW!#REF!</definedName>
    <definedName name="Hodgsoncharlietries">NEW!#REF!</definedName>
    <definedName name="hodgsonjoelatt">LIR!#REF!</definedName>
    <definedName name="Hodgsonjoelgoals">LIR!#REF!</definedName>
    <definedName name="Hodgsonjoelpts">LIR!#REF!</definedName>
    <definedName name="Hodgsonjoeltries">LIR!#REF!</definedName>
    <definedName name="Hodgsonnewatt">LIR!#REF!</definedName>
    <definedName name="hodgsonnewattcorrect">LIR!#REF!</definedName>
    <definedName name="Hodgsonnewgoals">LIR!#REF!</definedName>
    <definedName name="Hodgsonnewptscorrect">NEW!$F$19</definedName>
    <definedName name="Hodgsonnewtriescorrect">NEW!$B$19</definedName>
    <definedName name="hodgsonnoratt">NOR!#REF!</definedName>
    <definedName name="hodgsonnorgoals">NOR!#REF!</definedName>
    <definedName name="Hodgsonnorpts">NOR!$G$17</definedName>
    <definedName name="Hodgsonnortries">NOR!$B$17</definedName>
    <definedName name="hodgsonsargoals">NOR!#REF!</definedName>
    <definedName name="hoggexeatt">EXE!$K$5</definedName>
    <definedName name="hoggexegls">EXE!$J$5</definedName>
    <definedName name="Hoggexepts">EXE!$F$19</definedName>
    <definedName name="Hoggexetries">EXE!$B$19</definedName>
    <definedName name="Hoggnewpts">LIR!#REF!</definedName>
    <definedName name="Hoggnewtries">LIR!#REF!</definedName>
    <definedName name="Holensteinharpts">HAR!#REF!</definedName>
    <definedName name="Holensteinhartries">HAR!#REF!</definedName>
    <definedName name="Holmesexepts">EXE!$F$20</definedName>
    <definedName name="holmesexetries">EXE!$B$20</definedName>
    <definedName name="Holmesjonahpts">WAS!#REF!</definedName>
    <definedName name="Holmesjonahtries">WAS!#REF!</definedName>
    <definedName name="Holmesleicpts">LEIC!$F$16</definedName>
    <definedName name="Holmesleictries">LEIC!$B$16</definedName>
    <definedName name="Holmesnewpts">LIR!#REF!</definedName>
    <definedName name="Holmesnewtries">LIR!#REF!</definedName>
    <definedName name="Holmeswaspts">WAS!#REF!</definedName>
    <definedName name="Holmeswastries">WAS!#REF!</definedName>
    <definedName name="Homer_Tombthgoals">BTH!$L$6</definedName>
    <definedName name="Homer_Tombthpts">BTH!#REF!</definedName>
    <definedName name="Homer_Tombthtries">BTH!#REF!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BTH!$M$6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willharpts">HAR!#REF!</definedName>
    <definedName name="Horwillhartries">HAR!#REF!</definedName>
    <definedName name="Hoskinslirpts">BRI!#REF!</definedName>
    <definedName name="Hoskinslirtries">BRI!#REF!</definedName>
    <definedName name="Hougaardworpts">WOR!$F$20</definedName>
    <definedName name="Hougaardwortries">WOR!$B$20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WAS!#REF!</definedName>
    <definedName name="Howetomtries">WAS!#REF!</definedName>
    <definedName name="Howewaspts">WAS!#REF!</definedName>
    <definedName name="Howewastries">WAS!#REF!</definedName>
    <definedName name="Howeworpts">WOR!$F$21</definedName>
    <definedName name="Howewortries">WOR!$B$21</definedName>
    <definedName name="Hudsonglopts">GLO!$F$21</definedName>
    <definedName name="Hudsonglotries">GLO!$B$21</definedName>
    <definedName name="Hudsonjamespts">GLO!#REF!</definedName>
    <definedName name="hudsonjamestries">GLO!#REF!</definedName>
    <definedName name="Hughesbripts">BRI!$F$21</definedName>
    <definedName name="Hughesbritries">BRI!$B$21</definedName>
    <definedName name="Hughesexepts">EXE!#REF!</definedName>
    <definedName name="Hughesexetries">EXE!#REF!</definedName>
    <definedName name="Hughesnathanpts">WAS!#REF!</definedName>
    <definedName name="Hughesnathantries">WAS!#REF!</definedName>
    <definedName name="Hugheswaspts">WAS!#REF!</definedName>
    <definedName name="Hugheswastries">WAS!#REF!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WOR!$F$22</definedName>
    <definedName name="Humphreyswortries">WOR!$B$22</definedName>
    <definedName name="Hurrellbstpts">BRI!#REF!</definedName>
    <definedName name="Hurrellbsttries">BRI!#REF!</definedName>
    <definedName name="hutchinsonnoratt">NOR!$M$8</definedName>
    <definedName name="hutchinsonnorgls">NOR!$L$8</definedName>
    <definedName name="Hutchinsonnorpts">NOR!$G$18</definedName>
    <definedName name="Hutchinsonnortries">NOR!$B$18</definedName>
    <definedName name="Ibitoyeharpts">HAR!$G$22</definedName>
    <definedName name="Ibitoyehartries">HAR!$B$22</definedName>
    <definedName name="Ibuanokpeharpts">HAR!#REF!</definedName>
    <definedName name="Ibuanokpehartries">HAR!#REF!</definedName>
    <definedName name="Ingallcharliepts">SAL!#REF!</definedName>
    <definedName name="Ingallcharlietries">SAL!#REF!</definedName>
    <definedName name="Ioanetjsalpts">SAL!#REF!</definedName>
    <definedName name="Ioanetjsaltries">SAL!#REF!</definedName>
    <definedName name="Isaacsglopts">GLO!#REF!</definedName>
    <definedName name="Isaacsglotries">GLO!#REF!</definedName>
    <definedName name="isiekwenorpts">NOR!$G$19</definedName>
    <definedName name="Isiekwenortries">NOR!$B$19</definedName>
    <definedName name="Isiekwesarpts">NEW!$F$24</definedName>
    <definedName name="Isiekwesartries">NEW!$B$24</definedName>
    <definedName name="Itojesarpts">NEW!$F$26</definedName>
    <definedName name="Itojesartries">NEW!$B$26</definedName>
    <definedName name="Jackson_Ewaspts">WAS!#REF!</definedName>
    <definedName name="Jackson_Ewastries">WAS!#REF!</definedName>
    <definedName name="Jackson_Rwaspts">WAS!#REF!</definedName>
    <definedName name="Jackson_Rwastries">WAS!#REF!</definedName>
    <definedName name="Jacksonedpts">WAS!#REF!</definedName>
    <definedName name="jacksonedtries">WAS!#REF!</definedName>
    <definedName name="Jacksonharpts">HAR!#REF!</definedName>
    <definedName name="Jacksonhartries">HAR!#REF!</definedName>
    <definedName name="Jacksonlirpts">LIR!$F$22</definedName>
    <definedName name="Jacksonlirtries">LIR!$B$22</definedName>
    <definedName name="jacksonrwasatt">WAS!#REF!</definedName>
    <definedName name="jacksonrwasgoals">WAS!#REF!</definedName>
    <definedName name="Jacobsbenpts">WAS!#REF!</definedName>
    <definedName name="Jacobsbentries">WAS!#REF!</definedName>
    <definedName name="Jacobswaspts">WAS!#REF!</definedName>
    <definedName name="Jacobswastries">WAS!#REF!</definedName>
    <definedName name="James_Lsalpts">SAL!$F$18</definedName>
    <definedName name="James_Lsaltries">SAL!$B$18</definedName>
    <definedName name="Jamesnorpts">NOR!$G$20</definedName>
    <definedName name="Jamesnortries">NOR!$B$20</definedName>
    <definedName name="Jamespaulpts">BTH!#REF!</definedName>
    <definedName name="Jamespaultries">BTH!#REF!</definedName>
    <definedName name="Jamespts">EXE!$F$21</definedName>
    <definedName name="Jamessalatt">SAL!$K$9</definedName>
    <definedName name="Jamessalgls">SAL!$J$9</definedName>
    <definedName name="Jamessalpts">SAL!$F$19</definedName>
    <definedName name="Jamessaltries">SAL!$B$19</definedName>
    <definedName name="jamestries">EXE!$B$21</definedName>
    <definedName name="jameswasatt">WAS!#REF!</definedName>
    <definedName name="jameswasgoals">WAS!#REF!</definedName>
    <definedName name="Jameswaspts">WAS!#REF!</definedName>
    <definedName name="Jameswastries">WAS!#REF!</definedName>
    <definedName name="Jansevanrensburgsalpts">SAL!$F$37</definedName>
    <definedName name="Jansevanrensburgsaltries">SAL!$B$37</definedName>
    <definedName name="jardinewasatt">WAS!#REF!</definedName>
    <definedName name="jardinewasgls">WAS!#REF!</definedName>
    <definedName name="Jardinewaspts">WAS!#REF!</definedName>
    <definedName name="Jardinewastries">WAS!#REF!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BRI!#REF!</definedName>
    <definedName name="Jeffriesbritries">BRI!#REF!</definedName>
    <definedName name="Jeffriesbstpts">BRI!#REF!</definedName>
    <definedName name="Jeffriesbsttries">BRI!#REF!</definedName>
    <definedName name="Jenningsbthpts">BTH!#REF!</definedName>
    <definedName name="Jenningsbthtries">BTH!#REF!</definedName>
    <definedName name="Jenningssalpts">SAL!#REF!</definedName>
    <definedName name="Jenningssaltries">SAL!#REF!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WOR!#REF!</definedName>
    <definedName name="Jewellsebtries">WOR!#REF!</definedName>
    <definedName name="Johnsalpts">SAL!$F$20</definedName>
    <definedName name="Johnsaltries">SAL!$B$20</definedName>
    <definedName name="Johnsonashleypts">WAS!#REF!</definedName>
    <definedName name="johnsonashleytries">WAS!#REF!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WAS!#REF!</definedName>
    <definedName name="Johnsonwastries">WAS!#REF!</definedName>
    <definedName name="Johnstonjamespts">NEW!#REF!</definedName>
    <definedName name="Johnstonjamestries">NEW!#REF!</definedName>
    <definedName name="Johnstonwaspts">WAS!#REF!</definedName>
    <definedName name="Johnstonwasptscorrect">WAS!#REF!</definedName>
    <definedName name="Johnstonwastries">WAS!#REF!</definedName>
    <definedName name="jonathanjosephtries">BTH!#REF!</definedName>
    <definedName name="Jones_Jsalpts">SAL!#REF!</definedName>
    <definedName name="Jones_Jsaltries">SAL!#REF!</definedName>
    <definedName name="Jonesadamharpts">HAR!$G$23</definedName>
    <definedName name="Jonesadamhartries">HAR!$B$23</definedName>
    <definedName name="Joneschrispts">WOR!#REF!</definedName>
    <definedName name="joneschristries">WOR!#REF!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marcpts">SAL!#REF!</definedName>
    <definedName name="Jonesmarctries">SAL!#REF!</definedName>
    <definedName name="Jonessalpts">SAL!#REF!</definedName>
    <definedName name="Jonessaltries">SAL!#REF!</definedName>
    <definedName name="Jonessampts">WAS!#REF!</definedName>
    <definedName name="Jonessamtries">WAS!#REF!</definedName>
    <definedName name="jonesworatt">WOR!#REF!</definedName>
    <definedName name="Jonesworgls">WOR!#REF!</definedName>
    <definedName name="Jonesworpts">WOR!#REF!</definedName>
    <definedName name="Joneswortries">WOR!#REF!</definedName>
    <definedName name="Josephbatpts">BTH!$G$22</definedName>
    <definedName name="Josephbattries">BTH!$B$22</definedName>
    <definedName name="josephbthatt">BTH!$M$7</definedName>
    <definedName name="Josephbthgls">BTH!$L$7</definedName>
    <definedName name="Josephjonathanptscorrect">BTH!#REF!</definedName>
    <definedName name="Josephjonathantriescorrect">BTH!#REF!</definedName>
    <definedName name="josephpts">BTH!#REF!</definedName>
    <definedName name="Josephpts2">BTH!#REF!</definedName>
    <definedName name="Jouberternstpts">NEW!$F$30</definedName>
    <definedName name="Jouberternsttries">NEW!$B$30</definedName>
    <definedName name="Jubbtompts">NEW!#REF!</definedName>
    <definedName name="Jubbtomtries">NEW!#REF!</definedName>
    <definedName name="Judgebthpts">BTH!$G$23</definedName>
    <definedName name="Judgebthtries">BTH!$B$23</definedName>
    <definedName name="Judgesarpts">NEW!#REF!</definedName>
    <definedName name="Judgesartries">NEW!#REF!</definedName>
    <definedName name="Kalamafonileipts">LEIC!#REF!</definedName>
    <definedName name="Kalamafonileitries">LEIC!#REF!</definedName>
    <definedName name="Kalamafonipts">GLO!#REF!</definedName>
    <definedName name="Kalamafonitries">GLO!#REF!</definedName>
    <definedName name="Kareaexepts">EXE!$F$22</definedName>
    <definedName name="Kareaexetries">EXE!$B$22</definedName>
    <definedName name="Kearlwepts">WOR!#REF!</definedName>
    <definedName name="Kearlwetries">WOR!#REF!</definedName>
    <definedName name="Keastexepts">EXE!$F$23</definedName>
    <definedName name="Keastexetries">EXE!$B$23</definedName>
    <definedName name="Kellawaynorpts">NOR!#REF!</definedName>
    <definedName name="Kellawaynortries">NOR!#REF!</definedName>
    <definedName name="Kenninghamharpts">HAR!$G$21</definedName>
    <definedName name="Kenninghamhartries">HAR!$B$21</definedName>
    <definedName name="Kerrleicpts">LEIC!$F$17</definedName>
    <definedName name="Kerrleictries">LEIC!$B$17</definedName>
    <definedName name="Kerrodworpts">WOR!#REF!</definedName>
    <definedName name="Kerrodwortries">WOR!#REF!</definedName>
    <definedName name="Kessellnorpts">NOR!#REF!</definedName>
    <definedName name="Kessellnortries">NOR!#REF!</definedName>
    <definedName name="Kibirigezachpts">LIR!$F$25</definedName>
    <definedName name="Kibirigezachtries">LIR!$B$25</definedName>
    <definedName name="Kilbridgewaspts">WAS!$F$16</definedName>
    <definedName name="Kilbridgewastries">WAS!$B$16</definedName>
    <definedName name="KingsPts">[1]SKG!$E$47</definedName>
    <definedName name="KingsTries">[1]SKG!$B$47</definedName>
    <definedName name="Kirstenexepts">EXE!$F$24</definedName>
    <definedName name="Kirstenexetries">EXE!$B$24</definedName>
    <definedName name="Kirwancarlpts">WOR!$F$18</definedName>
    <definedName name="Kirwancarltries">WOR!$B$18</definedName>
    <definedName name="Kitchenergrahamptscorrect">LEIC!$F$19</definedName>
    <definedName name="Kitchenergrahamtriescorrect">LEIC!$B$19</definedName>
    <definedName name="Kitchenerpts">LEIC!#REF!</definedName>
    <definedName name="kitchenertries">LEIC!#REF!</definedName>
    <definedName name="Kittoleipts">LEIC!#REF!</definedName>
    <definedName name="Kittoleitries">LEIC!#REF!</definedName>
    <definedName name="Knightglopts">BTH!#REF!</definedName>
    <definedName name="Knightglotries">BTH!#REF!</definedName>
    <definedName name="Knightpts">GLO!#REF!</definedName>
    <definedName name="Knighttries">GLO!#REF!</definedName>
    <definedName name="Kolo_ofainewpts">LIR!#REF!</definedName>
    <definedName name="Kolo_ofainewtries">LIR!#REF!</definedName>
    <definedName name="Kpoku__Jonathansarpts">NEW!$F$33</definedName>
    <definedName name="Kpoku__Jonathansartries">NEW!$B$33</definedName>
    <definedName name="Kpokusarpts">NEW!$F$32</definedName>
    <definedName name="Kpokusartries">NEW!$B$32</definedName>
    <definedName name="Krielglopts">GLO!$F$22</definedName>
    <definedName name="Krielglotries">GLO!$B$22</definedName>
    <definedName name="Kruisgeorgepts">NEW!$F$34</definedName>
    <definedName name="Kruisgeorgetries">NEW!$B$34</definedName>
    <definedName name="Kuleminsalpts">SAL!#REF!</definedName>
    <definedName name="Kuleminsaltries">SAL!#REF!</definedName>
    <definedName name="Kunataniharpts">HAR!#REF!</definedName>
    <definedName name="Kunatanihartries">HAR!#REF!</definedName>
    <definedName name="Kvesicmattpts">GLO!#REF!</definedName>
    <definedName name="Kvesicmatttries">GLO!#REF!</definedName>
    <definedName name="Lahiffmaxbthpts">BTH!$G$24</definedName>
    <definedName name="lahiffmaxbthtries">BTH!$B$24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LEIC!#REF!</definedName>
    <definedName name="Lambertharpts">HAR!#REF!</definedName>
    <definedName name="Lamberthartries">HAR!#REF!</definedName>
    <definedName name="lambgoals">LEIC!#REF!</definedName>
    <definedName name="Lambpts">LEIC!#REF!</definedName>
    <definedName name="Lambptscorrect">LEIC!#REF!</definedName>
    <definedName name="Lambripts">BRI!#REF!</definedName>
    <definedName name="Lambritries">BRI!#REF!</definedName>
    <definedName name="Lambryantries">WOR!#REF!</definedName>
    <definedName name="lambryanworatt">WOR!#REF!</definedName>
    <definedName name="Lambryanworgoals">WOR!#REF!</definedName>
    <definedName name="Lambryanworpts">WOR!#REF!</definedName>
    <definedName name="Lambworgoals">WOR!#REF!</definedName>
    <definedName name="Lamositelesarpts">NEW!$F$35</definedName>
    <definedName name="Lamositelesartries">NEW!$B$35</definedName>
    <definedName name="lanceworatt">WOR!#REF!</definedName>
    <definedName name="lanceworgls">WOR!#REF!</definedName>
    <definedName name="Lanceworpts">WOR!$F$24</definedName>
    <definedName name="Lancewortries">WOR!$B$24</definedName>
    <definedName name="Landajoharpts">HAR!$G$24</definedName>
    <definedName name="Landajohartries">HAR!$B$24</definedName>
    <definedName name="Lanebatpts">BTH!#REF!</definedName>
    <definedName name="Lanebattris">BTH!#REF!</definedName>
    <definedName name="Lanerichardpts">BTH!#REF!</definedName>
    <definedName name="Lanerichardtries">BTH!#REF!</definedName>
    <definedName name="Lanerichardtriescorrect">BTH!#REF!</definedName>
    <definedName name="Langdonsalpts">SAL!$F$21</definedName>
    <definedName name="Langdonsaltries">SAL!$B$21</definedName>
    <definedName name="langharatt">HAR!$M$5</definedName>
    <definedName name="Langhargls">HAR!$L$5</definedName>
    <definedName name="Langharpts">HAR!$G$25</definedName>
    <definedName name="Langhartries">HAR!$B$25</definedName>
    <definedName name="Langleywaspts">WAS!#REF!</definedName>
    <definedName name="Langleywastries">WAS!#REF!</definedName>
    <definedName name="lanharatt">HAR!$M$5</definedName>
    <definedName name="lanhargoals">HAR!$L$5</definedName>
    <definedName name="lanharpts">HAR!$M$5</definedName>
    <definedName name="Lasikeharpts">HAR!$G$26</definedName>
    <definedName name="Lasikehartries">HAR!$B$26</definedName>
    <definedName name="Latunewpts">LIR!#REF!</definedName>
    <definedName name="Latunewtries">LIR!#REF!</definedName>
    <definedName name="Launchburypts">WAS!#REF!</definedName>
    <definedName name="launchburytries">WAS!#REF!</definedName>
    <definedName name="Launchburywaspts">WAS!$F$17</definedName>
    <definedName name="Launchburywastries">WAS!$B$17</definedName>
    <definedName name="Lavaninileicpts">LEIC!$F$18</definedName>
    <definedName name="Lavaninileictries">LEIC!$B$18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NOR!$G$21</definedName>
    <definedName name="Lawesnortries">NOR!$B$21</definedName>
    <definedName name="Lawrencewaspts">WAS!#REF!</definedName>
    <definedName name="Lawrencewastries">WAS!#REF!</definedName>
    <definedName name="Lawrenceworpts">WOR!$F$25</definedName>
    <definedName name="Lawrencewortries">WOR!$B$25</definedName>
    <definedName name="Lawsonnewpts">LIR!#REF!</definedName>
    <definedName name="Lawsonnewtries">LIR!#REF!</definedName>
    <definedName name="Lawsonscottpts">LIR!#REF!</definedName>
    <definedName name="Lawsonscotttries">LIR!#REF!</definedName>
    <definedName name="Laybripts">BRI!$F$23</definedName>
    <definedName name="Laybritries">BRI!$B$23</definedName>
    <definedName name="Le_Bourgeoiswaspts">WAS!$F$18</definedName>
    <definedName name="Le_Bourgeoiswastries">WAS!$B$18</definedName>
    <definedName name="Le_Rouxwaspts">WAS!#REF!</definedName>
    <definedName name="Le_Rouxwastries">WAS!#REF!</definedName>
    <definedName name="Leesexepts">EXE!#REF!</definedName>
    <definedName name="Leesexetries">EXE!#REF!</definedName>
    <definedName name="LeicesterPts">LEIC!$F$49</definedName>
    <definedName name="LeicesterTries">LEIC!$B$49</definedName>
    <definedName name="leicspentriespts">LEIC!$F$31</definedName>
    <definedName name="leicspentriestries">LEIC!$B$31</definedName>
    <definedName name="LeinsterPts">[1]LEIN!$F$58</definedName>
    <definedName name="LeinsterTries">[1]LEIN!$B$58</definedName>
    <definedName name="Leiuaalapatiwaspts">WAS!#REF!</definedName>
    <definedName name="Leiuawaspts">WAS!#REF!</definedName>
    <definedName name="Leiuawasptscorrect">WAS!#REF!</definedName>
    <definedName name="Leiuawastries">WAS!#REF!</definedName>
    <definedName name="Lemipts">WOR!#REF!</definedName>
    <definedName name="lemitries">WOR!#REF!</definedName>
    <definedName name="Leolipts">BRI!#REF!</definedName>
    <definedName name="Leolitries">BRI!#REF!</definedName>
    <definedName name="Leotajohnnypts">SAL!#REF!</definedName>
    <definedName name="Leotajohnnytries">SAL!#REF!</definedName>
    <definedName name="Lewingtonalextries">BRI!#REF!</definedName>
    <definedName name="Lewingtonpts">BRI!#REF!</definedName>
    <definedName name="Lewingtonsarpts">NEW!#REF!</definedName>
    <definedName name="Lewingtonsartries">NEW!#REF!</definedName>
    <definedName name="Lewingtontries">BRI!$B$23</definedName>
    <definedName name="Lewis_">WOR!$F$23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HAR!$G$27</definedName>
    <definedName name="Lewisdavehartries">HAR!$B$27</definedName>
    <definedName name="Lewisdavepts">EXE!#REF!</definedName>
    <definedName name="Lewisdavetries">EXE!#REF!</definedName>
    <definedName name="Lewisjamespts">WOR!#REF!</definedName>
    <definedName name="Lewisjamestries">WOR!#REF!</definedName>
    <definedName name="Lewisleicpts">LEIC!$F$20</definedName>
    <definedName name="Lewisleictries">LEIC!$B$20</definedName>
    <definedName name="Lewisrobpts">WOR!$F$23</definedName>
    <definedName name="Lewisrobtries">WOR!$B$23</definedName>
    <definedName name="Liebenbergleicpts">LEIC!$F$21</definedName>
    <definedName name="Liebenbergleictries">LEIC!$B$21</definedName>
    <definedName name="Lindsay_Hagueolliepts">HAR!#REF!</definedName>
    <definedName name="Lindsay_Hagueollietries">HAR!#REF!</definedName>
    <definedName name="Lindsaysarpts">NEW!#REF!</definedName>
    <definedName name="Lindsaysartries">NEW!#REF!</definedName>
    <definedName name="Lindsaywaspts">WAS!#REF!</definedName>
    <definedName name="Lindsaywastries">WAS!#REF!</definedName>
    <definedName name="Listonjessepts">WOR!#REF!</definedName>
    <definedName name="Listonjessetries">WOR!#REF!</definedName>
    <definedName name="Litchfieldjimmiepts">WOR!#REF!</definedName>
    <definedName name="Litchfieldjimmietries">WOR!#REF!</definedName>
    <definedName name="LloydBriAtt">BRI!$K$5</definedName>
    <definedName name="LloydBriGls">BRI!$J$5</definedName>
    <definedName name="LloydBriPts">BRI!$F$26</definedName>
    <definedName name="LloydBriTries">BRI!$B$26</definedName>
    <definedName name="Lloydlirpts">BRI!$F$24</definedName>
    <definedName name="Lloydlirtries">BRI!$B$24</definedName>
    <definedName name="Loaderlirpts">BRI!$F$25</definedName>
    <definedName name="Loaderlirtries">BRI!$B$25</definedName>
    <definedName name="Loamanuleipts">LEIC!#REF!</definedName>
    <definedName name="Loamanuleitries">LEIC!#REF!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BRI!$F$42</definedName>
    <definedName name="londonirishpentriestries">BRI!$B$42</definedName>
    <definedName name="LondonIrishPts">LIR!$F$38</definedName>
    <definedName name="LondonIrishTres">LIR!$B$38</definedName>
    <definedName name="LondonIrishTries">LIR!$B$38</definedName>
    <definedName name="Longbottomsalpts">SAL!#REF!</definedName>
    <definedName name="Longbottomsaltries">SAL!#REF!</definedName>
    <definedName name="Longbottomsarpts">NEW!$F$36</definedName>
    <definedName name="LongbottomsarptsCORRECT">NEW!#REF!</definedName>
    <definedName name="Longbottomsartries">NEW!$B$36</definedName>
    <definedName name="LongbottomsartriesCORRECT">NEW!#REF!</definedName>
    <definedName name="Lonsdaleexepts">EXE!$F$25</definedName>
    <definedName name="Lonsdaleexetries">EXE!$B$25</definedName>
    <definedName name="Louwfrancoispts">BTH!#REF!</definedName>
    <definedName name="Louwfrancoistris">BTH!#REF!</definedName>
    <definedName name="Loweharpts">HAR!#REF!</definedName>
    <definedName name="Lowehartries">HAR!#REF!</definedName>
    <definedName name="Lowkierantries">BRI!$B$23</definedName>
    <definedName name="Lowlipts">BRI!$F$23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BRI!$B$14</definedName>
    <definedName name="Lozadawaspts">WAS!#REF!</definedName>
    <definedName name="Lozadawastries">WAS!#REF!</definedName>
    <definedName name="lozowskiwasatt">WAS!#REF!</definedName>
    <definedName name="lozowskiwasgoals">WAS!#REF!</definedName>
    <definedName name="Lozowskiwaspts">WAS!#REF!</definedName>
    <definedName name="Lozowskiwastries">WAS!#REF!</definedName>
    <definedName name="Ludlamnorpts">NOR!$G$22</definedName>
    <definedName name="Ludlamnortries">NOR!$B$22</definedName>
    <definedName name="Ludlowglopts">GLO!$F$23</definedName>
    <definedName name="Ludlowglotries">GLO!$B$23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Lynaghharpts">HAR!$G$30</definedName>
    <definedName name="Lynaghhartries">HAR!$B$30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NOR!$G$22</definedName>
    <definedName name="Ma_afusalesitries">NOR!$B$22</definedName>
    <definedName name="Maafunorpts">NOR!#REF!</definedName>
    <definedName name="Maafunortries">NOR!#REF!</definedName>
    <definedName name="Mackenwaspts">WAS!#REF!</definedName>
    <definedName name="Mackenwastries">WAS!#REF!</definedName>
    <definedName name="MacKenziephilpts">SAL!$F$22</definedName>
    <definedName name="MacKenziephiltries">SAL!$B$22</definedName>
    <definedName name="MacLeodnewpts">LIR!$F$27</definedName>
    <definedName name="MacLeodnewtries">LIR!$B$27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LIR!$F$24</definedName>
    <definedName name="Mafilirtries">LIR!$B$24</definedName>
    <definedName name="Mafipts">LEIC!$F$47</definedName>
    <definedName name="Mafistevepts">LEIC!#REF!</definedName>
    <definedName name="Mafistevetriescorrect">LEIC!#REF!</definedName>
    <definedName name="mafitries">LEIC!#REF!</definedName>
    <definedName name="Maitlandsarpts">NEW!$F$37</definedName>
    <definedName name="Maitlandsartries">NEW!$B$37</definedName>
    <definedName name="malinsbriatt">BRI!$K$7</definedName>
    <definedName name="Malinsbrigls">BRI!$J$7</definedName>
    <definedName name="malinssaratt">NEW!$K$8</definedName>
    <definedName name="malinssargls">NEW!$J$8</definedName>
    <definedName name="Malinssarpts">NEW!$F$38</definedName>
    <definedName name="Malinssartries">NEW!$B$38</definedName>
    <definedName name="mallindernoratt">NOR!$M$9</definedName>
    <definedName name="Mallindernorgoals">NOR!$L$9</definedName>
    <definedName name="Mallindernorpts">NOR!$G$23</definedName>
    <definedName name="Mallindernortries">NOR!$B$23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raisglopts">GLO!$F$24</definedName>
    <definedName name="Maraisglotries">GLO!$B$24</definedName>
    <definedName name="marchantharatt">HAR!$M$9</definedName>
    <definedName name="Marchanthargls">HAR!$L$9</definedName>
    <definedName name="Marchantharpts">HAR!$G$31</definedName>
    <definedName name="Marchanthartries">HAR!$B$31</definedName>
    <definedName name="Marfoharpts">HAR!$G$28</definedName>
    <definedName name="Marfohartries">HAR!$B$28</definedName>
    <definedName name="Marlerharpts">HAR!$G$32</definedName>
    <definedName name="Marlerpts">HAR!#REF!</definedName>
    <definedName name="marlertries">HAR!$B$32</definedName>
    <definedName name="Marshallglopts">GLO!#REF!</definedName>
    <definedName name="marshallliratt">BRI!#REF!</definedName>
    <definedName name="marshalllirgls">BRI!#REF!</definedName>
    <definedName name="Marshalllirpts">BRI!$F$27</definedName>
    <definedName name="Marshalllirtries">BRI!$B$27</definedName>
    <definedName name="Marshallnorpts">NOR!$G$24</definedName>
    <definedName name="Marshallnortries">NOR!$B$24</definedName>
    <definedName name="Marshalltomglo">GLO!#REF!</definedName>
    <definedName name="Martinleicpts">LEIC!$F$22</definedName>
    <definedName name="Martinleictries">LEIC!$B$22</definedName>
    <definedName name="Masiwaspts">WAS!#REF!</definedName>
    <definedName name="Masiwastries">WAS!#REF!</definedName>
    <definedName name="Matavesi__Joshnewpts">LIR!$B$28</definedName>
    <definedName name="Matavesi__JoshnewptsCORRECT">LIR!$F$28</definedName>
    <definedName name="Matavesi__Joshnewtries">LIR!$B$28</definedName>
    <definedName name="matavesibthatt">BTH!$M$8</definedName>
    <definedName name="Matavesibthgoals">BTH!$L$8</definedName>
    <definedName name="Matavesinewptscorrect">NEW!$F$22</definedName>
    <definedName name="Matavesinewtriescorrect">NEW!$B$22</definedName>
    <definedName name="Matavesipts">WOR!#REF!</definedName>
    <definedName name="matavesitries">WOR!#REF!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LEIC!#REF!</definedName>
    <definedName name="Materapablotries">LEIC!#REF!</definedName>
    <definedName name="Matthewsharpts">HAR!#REF!</definedName>
    <definedName name="Matthewshartries">HAR!#REF!</definedName>
    <definedName name="Matthewsnorpts">NOR!$G$25</definedName>
    <definedName name="Matthewsnortries">NOR!$B$25</definedName>
    <definedName name="Matthewswaspts">WAS!#REF!</definedName>
    <definedName name="Matthewswastries">WAS!#REF!</definedName>
    <definedName name="Matu_uglopts">GLO!#REF!</definedName>
    <definedName name="Matu_uglotries">GLO!#REF!</definedName>
    <definedName name="Maunderexepts">EXE!$F$26</definedName>
    <definedName name="Maunderexetries">EXE!$B$26</definedName>
    <definedName name="Mayglopts">GLO!#REF!</definedName>
    <definedName name="Mayhewlipts">BRI!$F$31</definedName>
    <definedName name="Mayhewlitries">BRI!$B$31</definedName>
    <definedName name="Mayhewrichardpts">LIR!#REF!</definedName>
    <definedName name="Mayhewrichardtries">LIR!#REF!</definedName>
    <definedName name="Mayleicpts">LEIC!$F$23</definedName>
    <definedName name="Mayleictries">LEIC!$B$23</definedName>
    <definedName name="Maypts">GLO!#REF!</definedName>
    <definedName name="Maytompts">WOR!$F$26</definedName>
    <definedName name="Maytomtries">WOR!$B$26</definedName>
    <definedName name="Maytris">GLO!#REF!</definedName>
    <definedName name="McAllisterglopts">GLO!#REF!</definedName>
    <definedName name="McAllisterglotries">GLO!#REF!</definedName>
    <definedName name="McCabebripts">BRI!$F$29</definedName>
    <definedName name="McCabebritrie">BRI!$B$29</definedName>
    <definedName name="McCaffreywelshpts">WOR!$F$27</definedName>
    <definedName name="McCaffreywelshtries">WOR!$B$27</definedName>
    <definedName name="McCollgloptsd">GLO!#REF!</definedName>
    <definedName name="McCollglotries">GLO!#REF!</definedName>
    <definedName name="McConnochiebthpts">BTH!$G$25</definedName>
    <definedName name="McConnochiebthtries">BTH!$B$25</definedName>
    <definedName name="McCuskerlirpts">BRI!#REF!</definedName>
    <definedName name="McCuskerlirtries">BRI!#REF!</definedName>
    <definedName name="McGuiganexepts">EXE!#REF!</definedName>
    <definedName name="McGuiganexetries">EXE!#REF!</definedName>
    <definedName name="McGuigannewpts">LIR!$F$30</definedName>
    <definedName name="McGuigannewtries">LIR!$B$30</definedName>
    <definedName name="McGuiganpts">LIR!#REF!</definedName>
    <definedName name="mcguigansalatt">SAL!$K$12</definedName>
    <definedName name="McGuigansalgoals">SAL!$J$12</definedName>
    <definedName name="McGuigansalpts">SAL!$F$23</definedName>
    <definedName name="McGuigansaltries">SAL!$B$23</definedName>
    <definedName name="McGuigantries">LIR!#REF!</definedName>
    <definedName name="McIntyresimonpts">WAS!$F$19</definedName>
    <definedName name="McIntyresimontries">WAS!#REF!</definedName>
    <definedName name="McIntyrewastries">WAS!$B$19</definedName>
    <definedName name="McKenziefraserpts">LIR!#REF!</definedName>
    <definedName name="McKenziefrasertries">LIR!#REF!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BRI!$F$28</definedName>
    <definedName name="McLeanlirtries">BRI!$B$28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LIR!$F$26</definedName>
    <definedName name="Mcmillanlirtries">LIR!$B$26</definedName>
    <definedName name="McMillannorpts">NOR!#REF!</definedName>
    <definedName name="McMillannortries">NOR!#REF!</definedName>
    <definedName name="McNallybthpts">BTH!$G$26</definedName>
    <definedName name="McNallybthtries">BTH!$B$26</definedName>
    <definedName name="McNallyjoshpts">WOR!#REF!</definedName>
    <definedName name="McNallyjoshtries">WOR!#REF!</definedName>
    <definedName name="McNallylirpts">BRI!$F$30</definedName>
    <definedName name="McNallylirtries">BRI!$B$30</definedName>
    <definedName name="McNultyharpts">HAR!$G$29</definedName>
    <definedName name="McNultyhartries">HAR!$B$29</definedName>
    <definedName name="Mcphilipsleipts">LEIC!$F$24</definedName>
    <definedName name="Mcphilipsleitries">LEIC!$B$24</definedName>
    <definedName name="Meakesglopts">GLO!#REF!</definedName>
    <definedName name="Meakesglotries">GLO!#REF!</definedName>
    <definedName name="Melcksarpts">NEW!#REF!</definedName>
    <definedName name="Melcksartries">NEW!#REF!</definedName>
    <definedName name="meleatt">LEIC!#REF!</definedName>
    <definedName name="Meledavidpts">LEIC!#REF!</definedName>
    <definedName name="Meledavidptscorrect">LEIC!#REF!</definedName>
    <definedName name="Meledavidtries">LEIC!#REF!</definedName>
    <definedName name="Meledaviestries">LEIC!#REF!</definedName>
    <definedName name="melegoals">LEIC!#REF!</definedName>
    <definedName name="Meleleipts">LEIC!#REF!</definedName>
    <definedName name="Melepts">LEIC!#REF!</definedName>
    <definedName name="meletries">LEIC!#REF!</definedName>
    <definedName name="Meletriescorrect">LEIC!#REF!</definedName>
    <definedName name="Meletriesthisiscorrect">LEIC!#REF!</definedName>
    <definedName name="Mercer_Gbthpts">BTH!#REF!</definedName>
    <definedName name="Mercer_Gbthtries">BTH!#REF!</definedName>
    <definedName name="Mercerbatpts">BTH!$G$27</definedName>
    <definedName name="Mercerbattries">BTH!$B$27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mozleicpts">LEIC!#REF!</definedName>
    <definedName name="Mermozleictries">LEIC!#REF!</definedName>
    <definedName name="Mermoznewpts">LIR!#REF!</definedName>
    <definedName name="Mermoznewtries">LIR!#REF!</definedName>
    <definedName name="Merrickharpts">HAR!#REF!</definedName>
    <definedName name="Merrickhartries">HAR!#REF!</definedName>
    <definedName name="mieresatt">WOR!#REF!</definedName>
    <definedName name="mieresgoals">WOR!#REF!</definedName>
    <definedName name="Mierespts">WOR!#REF!</definedName>
    <definedName name="mierestries">WOR!#REF!</definedName>
    <definedName name="mikepts">HAR!$F$4</definedName>
    <definedName name="Milasinovichworpts">WOR!#REF!</definedName>
    <definedName name="Milasinovichwortries">WOR!#REF!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WAS!$K$9</definedName>
    <definedName name="millerwasgoals">WAS!$J$9</definedName>
    <definedName name="Millerwaspts">WAS!$F$20</definedName>
    <definedName name="Millerwastries">WAS!$B$20</definedName>
    <definedName name="Millerworpts">WOR!$F$28</definedName>
    <definedName name="Millerwortries">WOR!$B$28</definedName>
    <definedName name="Millsjonathanpts">SAL!#REF!</definedName>
    <definedName name="Millsjonathantries">SAL!#REF!</definedName>
    <definedName name="millsworatt">WOR!#REF!</definedName>
    <definedName name="millsworgoals">WOR!#REF!</definedName>
    <definedName name="Mitchellnorpts">NOR!$G$26</definedName>
    <definedName name="Mitchellnortries">NOR!$B$26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WAS!#REF!</definedName>
    <definedName name="Moatespts">WAS!#REF!</definedName>
    <definedName name="Moatestries">WAS!#REF!</definedName>
    <definedName name="Moateswaspts">WAS!#REF!</definedName>
    <definedName name="Moateswastries">WAS!#REF!</definedName>
    <definedName name="Molenaartimpts">HAR!#REF!</definedName>
    <definedName name="Molenaartimtries">HAR!#REF!</definedName>
    <definedName name="Molenaarwelpts">WOR!#REF!</definedName>
    <definedName name="Molenaarweltries">WOR!#REF!</definedName>
    <definedName name="Monahanshanepts">GLO!#REF!</definedName>
    <definedName name="Monahanshanetries">GLO!#REF!</definedName>
    <definedName name="Montgomeryworpts">WOR!$F$29</definedName>
    <definedName name="Montgomerywortries">WOR!$B$29</definedName>
    <definedName name="Montoyaleicpts">LEIC!$F$25</definedName>
    <definedName name="Montoyaleictries">LEIC!$B$25</definedName>
    <definedName name="Monyeugopts">HAR!#REF!</definedName>
    <definedName name="Monyeugotries">HAR!#REF!</definedName>
    <definedName name="Moon_Anortries">NOR!$B$27</definedName>
    <definedName name="Moonnorpts">NOR!$G$27</definedName>
    <definedName name="Mooresalpts">SAL!$F$24</definedName>
    <definedName name="Mooresaltries">SAL!$B$24</definedName>
    <definedName name="Moorewaspts">WAS!#REF!</definedName>
    <definedName name="Moorewastries">WAS!#REF!</definedName>
    <definedName name="Mordtnilspts">NEW!#REF!</definedName>
    <definedName name="mordtsaratt">NEW!#REF!</definedName>
    <definedName name="mordtsargoals">NEW!#REF!</definedName>
    <definedName name="Mordtsartries">NEW!#REF!</definedName>
    <definedName name="Morganbenpts">GLO!$F$25</definedName>
    <definedName name="Morganbentries">GLO!$B$25</definedName>
    <definedName name="Moriartyglopts">GLO!$F$28</definedName>
    <definedName name="Moriartyglotries">GLO!$B$28</definedName>
    <definedName name="morleyexeatt">EXE!#REF!</definedName>
    <definedName name="Morleyexegls">EXE!#REF!</definedName>
    <definedName name="Moronileicpts">LEIC!$F$26</definedName>
    <definedName name="Moronileictries">LEIC!$B$26</definedName>
    <definedName name="Morrisbenwasgtries">WAS!$B$21</definedName>
    <definedName name="Morrisbenwaspts">WAS!$F$21</definedName>
    <definedName name="Morrisglopts">GLO!$F$27</definedName>
    <definedName name="Morrisglotries">GLO!$B$27</definedName>
    <definedName name="Morrisharpts">HAR!$G$33</definedName>
    <definedName name="Morrishartries">HAR!$B$33</definedName>
    <definedName name="morrisjgloatt">GLO!$K$7</definedName>
    <definedName name="Morrisjglogls">GLO!$J$7</definedName>
    <definedName name="Morrisjglopts">GLO!$F$26</definedName>
    <definedName name="Morrisjglotries">GLO!$B$26</definedName>
    <definedName name="Morrislwepts">WOR!#REF!</definedName>
    <definedName name="Morrislwetries">WOR!#REF!</definedName>
    <definedName name="Morrisniallpts">LEIC!#REF!</definedName>
    <definedName name="Morrisnialltries">LEIC!#REF!</definedName>
    <definedName name="Morriswaspts">WAS!#REF!</definedName>
    <definedName name="Morriswastries">WAS!#REF!</definedName>
    <definedName name="Morrisworpts">WOR!$F$31</definedName>
    <definedName name="Morriswortries">WOR!$B$31</definedName>
    <definedName name="Mortonsalpts">SAL!#REF!</definedName>
    <definedName name="Mortonsaltries">SAL!#REF!</definedName>
    <definedName name="Mudarikiworpts">WOR!$F$30</definedName>
    <definedName name="Mudarikiwortries">WOR!$B$30</definedName>
    <definedName name="Mugfordsalpts">SAL!#REF!</definedName>
    <definedName name="Mugfordsaltries">SAL!#REF!</definedName>
    <definedName name="Muirbthpts">BTH!$G$28</definedName>
    <definedName name="Muirbthtries">BTH!$B$28</definedName>
    <definedName name="Mujatisalpts">SAL!#REF!</definedName>
    <definedName name="Mujatisalptscorrect">SAL!#REF!</definedName>
    <definedName name="Mujatisaltries">SAL!#REF!</definedName>
    <definedName name="Mulchroneharpts">HAR!#REF!</definedName>
    <definedName name="Mulchronehartries">HAR!#REF!</definedName>
    <definedName name="Mulchronelipts">BRI!$F$32</definedName>
    <definedName name="MulchronelirtriesCORRECT">BRI!$B$32</definedName>
    <definedName name="Mulchronelitries">BRI!$B$32</definedName>
    <definedName name="Mulchronepts">BRI!#REF!</definedName>
    <definedName name="Mulchronetries">BRI!#REF!</definedName>
    <definedName name="Muldowneybripts">BRI!$F$31</definedName>
    <definedName name="Muldowneybritries">BRI!$B$31</definedName>
    <definedName name="mulipolaleicatt">LEIC!#REF!</definedName>
    <definedName name="Mulipolaleicgls">LEIC!#REF!</definedName>
    <definedName name="Mulipolaleipts">LEIC!#REF!</definedName>
    <definedName name="Mulipolaleitries">LEIC!#REF!</definedName>
    <definedName name="Mulipolanewpts">LIR!$F$31</definedName>
    <definedName name="Mulipolanewtries">LIR!$B$31</definedName>
    <definedName name="Mulipolapts">LEIC!#REF!</definedName>
    <definedName name="Mulipolatries">LEIC!#REF!</definedName>
    <definedName name="Mullanpts">WAS!#REF!</definedName>
    <definedName name="Mullantries">WAS!#REF!</definedName>
    <definedName name="Mullanwaspts">WAS!#REF!</definedName>
    <definedName name="Mullanwastries">WAS!#REF!</definedName>
    <definedName name="Mullennewpts">LIR!$F$32</definedName>
    <definedName name="Mullennewtries">LIR!$B$32</definedName>
    <definedName name="MullisGLOPTS">GLO!#REF!</definedName>
    <definedName name="MullisGLOTRIES">GLO!#REF!</definedName>
    <definedName name="Mummpts">EXE!$F$27</definedName>
    <definedName name="mummtries">EXE!$B$27</definedName>
    <definedName name="MunsterPts">[1]MUN!$F$55</definedName>
    <definedName name="MunsterTries">[1]MUN!$B$55</definedName>
    <definedName name="Murleyharpts">HAR!$G$34</definedName>
    <definedName name="Murleyhartries">HAR!$B$34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yallpts">WAS!#REF!</definedName>
    <definedName name="Myalltries">WAS!#REF!</definedName>
    <definedName name="myleratt">NOR!$M$4</definedName>
    <definedName name="mylergoals">NOR!$L$4</definedName>
    <definedName name="Mylerlirpts">LIR!#REF!</definedName>
    <definedName name="Mylerlirtries">LIR!#REF!</definedName>
    <definedName name="Mylernorpts">NOR!#REF!</definedName>
    <definedName name="Mylerpts">NOR!#REF!</definedName>
    <definedName name="Mylerstephentries">NOR!#REF!</definedName>
    <definedName name="Nagusanewpts">LIR!$F$33</definedName>
    <definedName name="Nagusanewtries">LIR!$B$33</definedName>
    <definedName name="Nahololirpts">LIR!$F$28</definedName>
    <definedName name="Nahololirtries">LIR!$B$28</definedName>
    <definedName name="Naiyaravoronorpts">NOR!$G$28</definedName>
    <definedName name="Naiyaravoronortries">NOR!$B$28</definedName>
    <definedName name="Nanaiworpts">WOR!$F$32</definedName>
    <definedName name="Nanaiwortries">WOR!$B$32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BRI!$AH$29</definedName>
    <definedName name="Naysarpts">NEW!$F$39</definedName>
    <definedName name="Naysartries">NEW!$B$39</definedName>
    <definedName name="Nealwaspts">WAS!$F$23</definedName>
    <definedName name="Nealwastries">WAS!$B$23</definedName>
    <definedName name="Neildsalpts">SAL!$F$25</definedName>
    <definedName name="Neildsaltries">SAL!$B$25</definedName>
    <definedName name="Nelsonnewpts">LIR!#REF!</definedName>
    <definedName name="Nelsonnewtries">LIR!#REF!</definedName>
    <definedName name="Nemsadzebstpts">BRI!#REF!</definedName>
    <definedName name="Nemsadzebsttries">BRI!#REF!</definedName>
    <definedName name="newcastlepenaltytriespts">LIR!#REF!</definedName>
    <definedName name="newcastlepenaltytriestries">LIR!#REF!</definedName>
    <definedName name="noakesliatt">BRI!#REF!</definedName>
    <definedName name="noakesligoals">BRI!#REF!</definedName>
    <definedName name="Noakeslipts">BRI!$F$35</definedName>
    <definedName name="Noakeslitries">BRI!$B$35</definedName>
    <definedName name="Noguerabthpts">BTH!#REF!</definedName>
    <definedName name="Noguerabthtries">BTH!#REF!</definedName>
    <definedName name="Noonemichaelpts">LEIC!#REF!</definedName>
    <definedName name="Noonemichaeltries">LEIC!#REF!</definedName>
    <definedName name="NorthamptonPts">NOR!$G$41</definedName>
    <definedName name="NorthamptonTries">NOR!$B$41</definedName>
    <definedName name="Northcote_Greenbthpts">BTH!#REF!</definedName>
    <definedName name="Northcote_Greenbthtries">BTH!#REF!</definedName>
    <definedName name="Northmoreharpts">HAR!$G$35</definedName>
    <definedName name="Northmorehartries">HAR!$B$35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LIR!#REF!</definedName>
    <definedName name="Nortonlirtries">LIR!#REF!</definedName>
    <definedName name="Nottlirpts">LIR!$F$29</definedName>
    <definedName name="Nottlirtries">LIR!$B$29</definedName>
    <definedName name="Nottsalpts">SAL!#REF!</definedName>
    <definedName name="Nottsaltries">SAL!#REF!</definedName>
    <definedName name="Nowellexepts">EXE!$F$28</definedName>
    <definedName name="Nowellexetries">EXE!$B$28</definedName>
    <definedName name="Nutleybenpts">NOR!#REF!</definedName>
    <definedName name="Nutleybentries">NOR!#REF!</definedName>
    <definedName name="O_Connorjamespts">BRI!#REF!</definedName>
    <definedName name="O_Connorptssal">SAL!#REF!</definedName>
    <definedName name="O_Connortriessal">SAL!#REF!</definedName>
    <definedName name="O_Connorwaspts">WAS!#REF!</definedName>
    <definedName name="O_Connorwastries">WAS!#REF!</definedName>
    <definedName name="O_Donnellrobpts">WOR!#REF!</definedName>
    <definedName name="O_Donnellrobptscorrect">WOR!#REF!</definedName>
    <definedName name="O_Donnellrobtries">WOR!$B$10</definedName>
    <definedName name="O_Learylipts">BRI!#REF!</definedName>
    <definedName name="O_Learylitries">BRI!#REF!</definedName>
    <definedName name="O_Sullivanwaspts">WAS!$F$24</definedName>
    <definedName name="O_Sullivanwastries">WAS!$B$24</definedName>
    <definedName name="Obanobthpts">BTH!$G$29</definedName>
    <definedName name="Obanobthtries">BTH!$B$29</definedName>
    <definedName name="Obatoysarpts">NEW!$F$41</definedName>
    <definedName name="Obatoysartries">NEW!$B$41</definedName>
    <definedName name="Obonnanewpts">NEW!$F$25</definedName>
    <definedName name="Obonnanewtries">NEW!$B$25</definedName>
    <definedName name="oconnoratt">BRI!#REF!</definedName>
    <definedName name="oconnorgoals">BRI!#REF!</definedName>
    <definedName name="OConnorjamestries">BRI!#REF!</definedName>
    <definedName name="Odogwusalpts">SAL!#REF!</definedName>
    <definedName name="Odogwusaltries">SAL!#REF!</definedName>
    <definedName name="Odogwuwaspts">WAS!$F$22</definedName>
    <definedName name="Odogwuwastries">WAS!$B$22</definedName>
    <definedName name="Ojotopsypts">BRI!$F$36</definedName>
    <definedName name="Ojotopsytries">BRI!$B$36</definedName>
    <definedName name="OLE_LINK1" localSheetId="0">BTH!#REF!</definedName>
    <definedName name="Olowofela_Jleicpts">LEIC!$F$28</definedName>
    <definedName name="Olowofela_Jleictries">LEIC!$B$28</definedName>
    <definedName name="olvernoratt">NOR!#REF!</definedName>
    <definedName name="olvernorgoals">NOR!#REF!</definedName>
    <definedName name="Olvernorpts">NOR!$G$29</definedName>
    <definedName name="Olvernortries">NOR!#REF!</definedName>
    <definedName name="Olvernortriescorrect">NOR!$B$29</definedName>
    <definedName name="olverworatt">WOR!#REF!</definedName>
    <definedName name="Olverworgls">WOR!#REF!</definedName>
    <definedName name="Olverworpts">WOR!#REF!</definedName>
    <definedName name="Olverwortries">WOR!#REF!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preysPts">[1]OSP!$F$50</definedName>
    <definedName name="OspreysTries">[1]OSP!$B$50</definedName>
    <definedName name="Ostrikovandreipts">SAL!#REF!</definedName>
    <definedName name="Ostrikovandreitries">SAL!$B$26</definedName>
    <definedName name="OStrikovsalpts">SAL!$F$26</definedName>
    <definedName name="Ovensjoshpts">BTH!#REF!</definedName>
    <definedName name="Ovensjoshtries">BTH!#REF!</definedName>
    <definedName name="Owenleicpts">LEIC!$F$30</definedName>
    <definedName name="Owenleictries">LEIC!$B$30</definedName>
    <definedName name="Owennewptscorrect">NEW!$F$27</definedName>
    <definedName name="Owennewtriescorrect">NEW!$B$27</definedName>
    <definedName name="Packmanhowardpts">NOR!#REF!</definedName>
    <definedName name="Packmanhowardtries">NOR!#REF!</definedName>
    <definedName name="PaiceDavidpts">BRI!$AF$39</definedName>
    <definedName name="PaiceDavidptts">BRI!$AI$34</definedName>
    <definedName name="Painternorpts">NOR!$G$30</definedName>
    <definedName name="Painternortries">NOR!$B$30</definedName>
    <definedName name="Palamobrispts">BRI!$F$40</definedName>
    <definedName name="Palamobristries">BRI!$B$40</definedName>
    <definedName name="Palframanworpts">WOR!$F$33</definedName>
    <definedName name="Palframanwortries">WOR!$B$33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pts">WAS!#REF!</definedName>
    <definedName name="palmertomtries">WAS!#REF!</definedName>
    <definedName name="Parlingexepts">EXE!$B$29</definedName>
    <definedName name="Parlingexetries">EXE!$B$29</definedName>
    <definedName name="Parlinggeoffexepts">EXE!$F$29</definedName>
    <definedName name="Parlingleipts">LEIC!$F$27</definedName>
    <definedName name="Parlingleitries">LEIC!$B$27</definedName>
    <definedName name="Parrmattpts">BRI!#REF!</definedName>
    <definedName name="Parrmatttries">BRI!#REF!</definedName>
    <definedName name="Pasqualileipts">LEIC!#REF!</definedName>
    <definedName name="Pasqualileitries">LEIC!#REF!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BRI!$F$41</definedName>
    <definedName name="paulolirtries">BRI!$B$41</definedName>
    <definedName name="Pearceleipts">LEIC!#REF!</definedName>
    <definedName name="Pearceleitries">LEIC!#REF!</definedName>
    <definedName name="Pearcesalpts">SAL!#REF!</definedName>
    <definedName name="Pearcesaltries">SAL!#REF!</definedName>
    <definedName name="Peeldwaynepts">SAL!#REF!</definedName>
    <definedName name="Peeldwaynetries">SAL!#REF!</definedName>
    <definedName name="Peeldwaynetriescorrect">SAL!#REF!</definedName>
    <definedName name="Penalty_Triesbath">BTH!$G$30</definedName>
    <definedName name="Penalty_Triesbripts">BRI!$F$33</definedName>
    <definedName name="Penalty_Triesbritries">BRI!$B$33</definedName>
    <definedName name="Penalty_Triesexepts">EXE!$F$30</definedName>
    <definedName name="Penalty_Triesexetries">EXE!$B$30</definedName>
    <definedName name="Penalty_Triesglopts">GLO!$F$29</definedName>
    <definedName name="Penalty_Triesglotries">GLO!$B$29</definedName>
    <definedName name="Penalty_Triesharpts">HAR!$G$36</definedName>
    <definedName name="Penalty_Trieshartries">HAR!$B$36</definedName>
    <definedName name="Penalty_Triesnewpts">LIR!$F$34</definedName>
    <definedName name="Penalty_Triesnewptscorrect">NEW!$F$28</definedName>
    <definedName name="Penalty_Triesnewtries">LIR!$B$34</definedName>
    <definedName name="Penalty_Triesnewtriescorrect">NEW!$B$28</definedName>
    <definedName name="Penalty_Triessaintspts">NOR!$G$31</definedName>
    <definedName name="Penalty_Triessaintstries">NOR!$B$31</definedName>
    <definedName name="Penalty_Triessalpts">SAL!$F$27</definedName>
    <definedName name="Penalty_Triessaltries">SAL!$B$27</definedName>
    <definedName name="Penalty_Triessarpts">NEW!#REF!</definedName>
    <definedName name="Penalty_Triessartries">NEW!#REF!</definedName>
    <definedName name="Penalty_Trieswaspts">WAS!$F$25</definedName>
    <definedName name="Penalty_Trieswastries">WAS!$B$25</definedName>
    <definedName name="Penalty_Triesworpts">WOR!$F$34</definedName>
    <definedName name="Penalty_Trieswortries">WOR!$B$34</definedName>
    <definedName name="pennellchrisatt">WOR!#REF!</definedName>
    <definedName name="Pennellchrisgoals">WOR!#REF!</definedName>
    <definedName name="Pennellchrispts">WOR!#REF!</definedName>
    <definedName name="Pennellchristries">WOR!$B$23</definedName>
    <definedName name="pennellworatt">WOR!$K$6</definedName>
    <definedName name="Pennellworgls">WOR!$J$6</definedName>
    <definedName name="Pennynewtries">LIR!#REF!</definedName>
    <definedName name="Pennytnewpts">NEW!$F$29</definedName>
    <definedName name="Pennytnewtries">NEW!$B$29</definedName>
    <definedName name="Pereniseanthonypts">BTH!#REF!</definedName>
    <definedName name="Perenisebthpts">BTH!#REF!</definedName>
    <definedName name="Perenisebthtries">BTH!#REF!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kinssarpts">NEW!#REF!</definedName>
    <definedName name="Perkinssartries">NEW!#REF!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EXE!$F$28</definedName>
    <definedName name="Phillipsjamessalpts">SAL!$F$28</definedName>
    <definedName name="Phillipsjamessaltries">SAL!$B$28</definedName>
    <definedName name="Phillipsjamestries">EXE!$B$28</definedName>
    <definedName name="Phillipssalpts">SAL!#REF!</definedName>
    <definedName name="Phillipssaltries">SAL!#REF!</definedName>
    <definedName name="Phillipsworpts">WOR!#REF!</definedName>
    <definedName name="Phillipswortries">WOR!#REF!</definedName>
    <definedName name="Picamolesnorpts">NOR!#REF!</definedName>
    <definedName name="Picamolesnortries">NOR!#REF!</definedName>
    <definedName name="Pienaarbenpts">WOR!#REF!</definedName>
    <definedName name="Pienaarbentries">WOR!#REF!</definedName>
    <definedName name="Pietersenleipts">LEIC!#REF!</definedName>
    <definedName name="Pietersenleitries">LEIC!#REF!</definedName>
    <definedName name="Pincusbripts">BRI!$F$34</definedName>
    <definedName name="Pincusbritries">BRI!$B$34</definedName>
    <definedName name="Pisi_Gnorpts">NOR!#REF!</definedName>
    <definedName name="Pisi_Gnortries">NOR!#REF!</definedName>
    <definedName name="Pisibripts">BRI!#REF!</definedName>
    <definedName name="Pisibritries">BRI!#REF!</definedName>
    <definedName name="Pisigeorgepts">NOR!#REF!</definedName>
    <definedName name="Pisigeorgeptscorrect">NOR!#REF!</definedName>
    <definedName name="pisigeorgetries">NOR!#REF!</definedName>
    <definedName name="Pisigeorgetriescorrect">NOR!#REF!</definedName>
    <definedName name="Pisikenpts">NOR!#REF!</definedName>
    <definedName name="Pisikenptscorrect">NOR!$G$32</definedName>
    <definedName name="pisikentries">NOR!#REF!</definedName>
    <definedName name="Pisikentriescorrect">NOR!$B$32</definedName>
    <definedName name="Piutau_Cbritriescorrect">BRI!$B$35</definedName>
    <definedName name="Piutau_Swaspts">WAS!#REF!</definedName>
    <definedName name="Piutau_Swastries">WAS!#REF!</definedName>
    <definedName name="Piutaubripts">BRI!$F$47</definedName>
    <definedName name="Piutaubritries">BRI!$B$47</definedName>
    <definedName name="Piutauwaspts">WAS!#REF!</definedName>
    <definedName name="Piutauwastries">WAS!#REF!</definedName>
    <definedName name="Polledriglopts">GLO!$F$30</definedName>
    <definedName name="Polledriglotries">GLO!$B$30</definedName>
    <definedName name="Poreckilirpts">BRI!$F$43</definedName>
    <definedName name="Poreckilirptscorrect">LIR!#REF!</definedName>
    <definedName name="Poreckilirtries">BRI!$B$43</definedName>
    <definedName name="Poreckilirtriescorrect">LIR!#REF!</definedName>
    <definedName name="Porterleicpts">LEIC!$F$29</definedName>
    <definedName name="Porterleictries">LEIC!$B$29</definedName>
    <definedName name="Postlethwaitesalpts">SAL!$F$29</definedName>
    <definedName name="Postlethwaitesaltries">SAL!$B$29</definedName>
    <definedName name="Potgieterworpts">WOR!#REF!</definedName>
    <definedName name="Potgieterwortries">WOR!#REF!</definedName>
    <definedName name="Powelladampts">LIR!#REF!</definedName>
    <definedName name="Powelladamtries">LIR!#REF!</definedName>
    <definedName name="Powellbripts">BRI!$F$37</definedName>
    <definedName name="Powellbritries">BRI!$B$37</definedName>
    <definedName name="priestlandbthatt">BTH!$M$11</definedName>
    <definedName name="Priestlandbthgoals">BTH!$L$11</definedName>
    <definedName name="Priestlandbthpts">BTH!$G$31</definedName>
    <definedName name="Priestlandbthtries">BTH!$B$31</definedName>
    <definedName name="priorharatt">HAR!#REF!</definedName>
    <definedName name="priorhargls">HAR!#REF!</definedName>
    <definedName name="Protheroebripts">BRI!#REF!</definedName>
    <definedName name="Protheroebritries">BRI!#REF!</definedName>
    <definedName name="pts">HAR!$AG$42</definedName>
    <definedName name="Puafisiglopts">GLO!#REF!</definedName>
    <definedName name="Puafisiglotries">GLO!#REF!</definedName>
    <definedName name="Purdybripts">BRI!$F$38</definedName>
    <definedName name="Purdybritries">BRI!$B$38</definedName>
    <definedName name="Purdyglospts">GLO!#REF!</definedName>
    <definedName name="Purdyglotries">GLO!#REF!</definedName>
    <definedName name="quinspentriespts">HAR!$G$36</definedName>
    <definedName name="quinspentriestries">HAR!$B$36</definedName>
    <definedName name="Quirkesalpts">SAL!$F$30</definedName>
    <definedName name="Quirkesaltries">SAL!$B$30</definedName>
    <definedName name="Radradrabripts">BRI!$F$39</definedName>
    <definedName name="Radradrabritries">BRI!$B$39</definedName>
    <definedName name="Radwannewpts">LIR!#REF!</definedName>
    <definedName name="Radwannewptscorrect">NEW!$F$31</definedName>
    <definedName name="Radwannewtries">LIR!#REF!</definedName>
    <definedName name="Radwannewtriescorrect">NEW!$B$31</definedName>
    <definedName name="Randallbripts">BRI!$F$40</definedName>
    <definedName name="Randallbritries">BRI!$B$40</definedName>
    <definedName name="Ransombenpts">NEW!#REF!</definedName>
    <definedName name="Ransombentries">NEW!#REF!</definedName>
    <definedName name="Ransomlirpts">BRI!#REF!</definedName>
    <definedName name="Ransomlirtries">BRI!#REF!</definedName>
    <definedName name="Rapava_Ruskinglopts">GLO!$F$31</definedName>
    <definedName name="Rapava_Ruskinglotries">GLO!$B$31</definedName>
    <definedName name="Rapava_Ruskinworpts">WOR!#REF!</definedName>
    <definedName name="Rapava_Ruskinwortries">WOR!#REF!</definedName>
    <definedName name="Ratuniyarawanorpts">NOR!$G$33</definedName>
    <definedName name="Ratuniyarawanortries">NOR!$B$33</definedName>
    <definedName name="Rawacasarpts">NEW!#REF!</definedName>
    <definedName name="Rawacasartries">NEW!#REF!</definedName>
    <definedName name="Readsalpts">SAL!$F$31</definedName>
    <definedName name="Readsaltries">SAL!$B$31</definedName>
    <definedName name="Reddishharpts">HAR!#REF!</definedName>
    <definedName name="Reddishhartries">HAR!#REF!</definedName>
    <definedName name="redpathbthatt">BTH!$M$9</definedName>
    <definedName name="Redpathbthpts">BTH!$G$32</definedName>
    <definedName name="Redpathbthtries">BTH!$B$32</definedName>
    <definedName name="redpathsalatt">SAL!$K$8</definedName>
    <definedName name="redpathsalegls">SAL!$J$8</definedName>
    <definedName name="Redpathsalpts">SAL!#REF!</definedName>
    <definedName name="Redpathsaltries">SAL!#REF!</definedName>
    <definedName name="Rees_Zammitglopts">GLO!$F$32</definedName>
    <definedName name="Rees_Zammitglotries">GLO!$B$32</definedName>
    <definedName name="Reevesrickypts">WOR!#REF!</definedName>
    <definedName name="Reevesrickytries">WOR!#REF!</definedName>
    <definedName name="Reffellsarpts">NEW!#REF!</definedName>
    <definedName name="Reffellsartries">NEW!#REF!</definedName>
    <definedName name="Reidleicatt">LEIC!#REF!</definedName>
    <definedName name="Reidleicgls">LEIC!#REF!</definedName>
    <definedName name="Reidleipts">LEIC!#REF!</definedName>
    <definedName name="Reidleitries">LEIC!#REF!</definedName>
    <definedName name="reinachnoratt">NOR!#REF!</definedName>
    <definedName name="reinachnorgls">NOR!#REF!</definedName>
    <definedName name="Reinachnorpts">NOR!#REF!</definedName>
    <definedName name="Reinachnortries">NOR!#REF!</definedName>
    <definedName name="repathbthgls">BTH!$L$9</definedName>
    <definedName name="Reynoldsnicpts">WOR!$F$35</definedName>
    <definedName name="Reynoldsnictries">WOR!$B$35</definedName>
    <definedName name="Reynoldsstefpts">GLO!#REF!</definedName>
    <definedName name="Reynoldssteftries">GLO!#REF!</definedName>
    <definedName name="Rhodessarpts">NEW!$F$43</definedName>
    <definedName name="Rhodessartries">NEW!$B$43</definedName>
    <definedName name="Ribbansnorpts">NOR!$G$34</definedName>
    <definedName name="Ribbansnortries">NOR!$B$34</definedName>
    <definedName name="Riederwaspts">WAS!$F$26</definedName>
    <definedName name="Riederwastries">WAS!$B$26</definedName>
    <definedName name="Rimmercarlpts">EXE!#REF!</definedName>
    <definedName name="Rimmercarltries">EXE!#REF!</definedName>
    <definedName name="Ripper_Smithworpts">WOR!#REF!</definedName>
    <definedName name="Ripper_Smithwortries">WOR!#REF!</definedName>
    <definedName name="Rizzoleipts">LEIC!#REF!</definedName>
    <definedName name="Rizzoleitries">LEIC!#REF!</definedName>
    <definedName name="Robertsbthpts">BTH!$G$33</definedName>
    <definedName name="Robertsbthtries">BTH!$B$33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tristanpts">WOR!#REF!</definedName>
    <definedName name="Robertstristantries">WOR!#REF!</definedName>
    <definedName name="robertswelatt">WOR!#REF!</definedName>
    <definedName name="robertswelgoals">WOR!#REF!</definedName>
    <definedName name="Robinsonnewpts">LIR!$F$36</definedName>
    <definedName name="Robinsonnewtries">LIR!$B$36</definedName>
    <definedName name="robinsonwelatt">WOR!#REF!</definedName>
    <definedName name="robinsonwelgoals">WOR!#REF!</definedName>
    <definedName name="Robinsonwillpts">WOR!#REF!</definedName>
    <definedName name="Robinsonwilltries">WOR!#REF!</definedName>
    <definedName name="Robshawharpts">HAR!#REF!</definedName>
    <definedName name="Robshawhartries">HAR!#REF!</definedName>
    <definedName name="robsobwasgoals">WAS!$J$6</definedName>
    <definedName name="Robsonglopts">GLO!#REF!</definedName>
    <definedName name="Robsonglotries">GLO!#REF!</definedName>
    <definedName name="Robsonharpts">HAR!#REF!</definedName>
    <definedName name="Robsonhartries">HAR!#REF!</definedName>
    <definedName name="robsonwasatt">WAS!$K$6</definedName>
    <definedName name="Robsonwaspts">WAS!$F$27</definedName>
    <definedName name="Robsonwastries">WAS!$B$27</definedName>
    <definedName name="Roddsalpts">SAL!$F$32</definedName>
    <definedName name="Roddsaltries">SAL!$B$32</definedName>
    <definedName name="Roebucksalpts">SAL!$F$33</definedName>
    <definedName name="Roebucksaltries">SAL!$B$33</definedName>
    <definedName name="Rogersnewpts">LIR!#REF!</definedName>
    <definedName name="Rogersnewtries">LIR!#REF!</definedName>
    <definedName name="Rokodugunibatpts">BTH!$G$34</definedName>
    <definedName name="Rokodugunibattries">BTH!$B$34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ssgordonpts">WOR!#REF!</definedName>
    <definedName name="Rossgordontries">WOR!#REF!</definedName>
    <definedName name="Rosssalpts">SAL!$F$34</definedName>
    <definedName name="Rosssaltries">SAL!$B$34</definedName>
    <definedName name="rosswelatt">WOR!#REF!</definedName>
    <definedName name="rosswelgoals">WOR!#REF!</definedName>
    <definedName name="Rouselipts">BRI!#REF!</definedName>
    <definedName name="Rouselitries">BRI!#REF!</definedName>
    <definedName name="Rousepts">BRI!#REF!</definedName>
    <definedName name="rousetries">BRI!$B$14</definedName>
    <definedName name="Rowanglopts">GLO!#REF!</definedName>
    <definedName name="Rowanglotries">GLO!#REF!</definedName>
    <definedName name="Rowlandswaspts">WAS!$F$28</definedName>
    <definedName name="Rowlandswastries">WAS!$B$28</definedName>
    <definedName name="Rowleypaulpts">WOR!$F$36</definedName>
    <definedName name="Rowleypaultries">WOR!$B$36</definedName>
    <definedName name="Sackeypaulpts">HAR!#REF!</definedName>
    <definedName name="Sackeypaultries">HAR!#REF!</definedName>
    <definedName name="Safeglopts">GLO!$F$33</definedName>
    <definedName name="Safeglotries">GLO!$B$33</definedName>
    <definedName name="SalePts">SAL!$F$43</definedName>
    <definedName name="Saletries">SAL!$B$43</definedName>
    <definedName name="Salmonexepts">EXE!$F$31</definedName>
    <definedName name="Salmonexetries">EXE!$B$31</definedName>
    <definedName name="Salvijulianpts">LEIC!$F$32</definedName>
    <definedName name="Salvijuliantries">LEIC!$B$32</definedName>
    <definedName name="Sandfordjamespts">WOR!#REF!</definedName>
    <definedName name="Sandfordjamestries">WOR!#REF!</definedName>
    <definedName name="saracenspenaltytriespts">NEW!#REF!</definedName>
    <definedName name="saracenspenaltytriestries">NEW!#REF!</definedName>
    <definedName name="SaracensPts">NEW!$F$44</definedName>
    <definedName name="SaracensTries">NEW!$B$44</definedName>
    <definedName name="Saullandypts">LIR!#REF!</definedName>
    <definedName name="Saullandytries">LIR!#REF!</definedName>
    <definedName name="Saulolirpts">BRI!$F$45</definedName>
    <definedName name="Saulolirtries">BRI!$B$45</definedName>
    <definedName name="Saunderssarpts">NEW!#REF!</definedName>
    <definedName name="Saunderssartries">NEW!#REF!</definedName>
    <definedName name="Savageglopts">GLO!#REF!</definedName>
    <definedName name="Savageglotries">GLO!#REF!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oemanbthatt">BTH!$M$10</definedName>
    <definedName name="Schoemanbthgls">BTH!$L$10</definedName>
    <definedName name="Schoemanbthpts">BTH!$G$35</definedName>
    <definedName name="Schoemanbthtries">BTH!$B$35</definedName>
    <definedName name="Schofieldwelpts">WOR!#REF!</definedName>
    <definedName name="Schofieldweltries">WOR!#REF!</definedName>
    <definedName name="ScotlandWilliamsonchristianpts">WOR!$F$26</definedName>
    <definedName name="ScotlandWilliamsonchristiantries">WOR!#REF!</definedName>
    <definedName name="Scottglopts">GLO!#REF!</definedName>
    <definedName name="Scottglotries">GLO!#REF!</definedName>
    <definedName name="Scottleicpts">LEIC!$F$33</definedName>
    <definedName name="Scottleictries">LEIC!$B$33</definedName>
    <definedName name="Scottnickpts">WOR!#REF!</definedName>
    <definedName name="Scottnicktries">WOR!#REF!</definedName>
    <definedName name="Scullyblainepts">LEIC!#REF!</definedName>
    <definedName name="Scullyblainetries">LEIC!#REF!</definedName>
    <definedName name="Scullypts">LEIC!$F$19</definedName>
    <definedName name="scullytries">LEIC!#REF!</definedName>
    <definedName name="Seabrookglopts">GLO!$F$34</definedName>
    <definedName name="Seabrookglotries">GLO!$B$34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wasatt">WAS!#REF!</definedName>
    <definedName name="Searlewasgls">WAS!#REF!</definedName>
    <definedName name="Searlewaspts">WAS!#REF!</definedName>
    <definedName name="Searlewastries">WAS!#REF!</definedName>
    <definedName name="searleworatt">WOR!$K$7</definedName>
    <definedName name="Searleworgls">WOR!$J$7</definedName>
    <definedName name="Searleworpts">WOR!$F$37</definedName>
    <definedName name="Searlewortris">WOR!$B$37</definedName>
    <definedName name="Searlswaspts">WAS!#REF!</definedName>
    <definedName name="Searlswastries">WAS!#REF!</definedName>
    <definedName name="Segunsarpts">NEW!#REF!</definedName>
    <definedName name="Segunsartries">NEW!#REF!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GLO!$F$35</definedName>
    <definedName name="Sharplesglotries">GLO!$B$35</definedName>
    <definedName name="Sharplespts">GLO!#REF!</definedName>
    <definedName name="Sharplestries">GLO!#REF!</definedName>
    <definedName name="Sheridaneamonnpts">BRI!$F$44</definedName>
    <definedName name="Sheridaneamonntries">BRI!$B$44</definedName>
    <definedName name="Sheriffsarpts">NEW!#REF!</definedName>
    <definedName name="Sheriffsartries">NEW!#REF!</definedName>
    <definedName name="Shervingtonwaspts">WAS!#REF!</definedName>
    <definedName name="Shervingtonwastries">WAS!#REF!</definedName>
    <definedName name="Shieldswaspts">WAS!$F$29</definedName>
    <definedName name="Shieldswastries">WAS!$B$29</definedName>
    <definedName name="Shiellsgrahambatpts">BTH!#REF!</definedName>
    <definedName name="Shiellsgrahambattries">BTH!#REF!</definedName>
    <definedName name="Shillcockworpts">WOR!$F$38</definedName>
    <definedName name="Shillcockwortries">WOR!$B$38</definedName>
    <definedName name="shilllcockworatt">WOR!$K$5</definedName>
    <definedName name="shilllcockworgoals">WOR!$J$5</definedName>
    <definedName name="Short_Alirpts">BRI!#REF!</definedName>
    <definedName name="Short_Alirtries">BRI!#REF!</definedName>
    <definedName name="Shortexepts">EXE!$F$32</definedName>
    <definedName name="Shortexetries">EXE!$B$32</definedName>
    <definedName name="Shortjamespts">WAS!#REF!</definedName>
    <definedName name="Shortjamestries">WAS!#REF!</definedName>
    <definedName name="Shortlandpts">LIR!#REF!</definedName>
    <definedName name="Shortlandryanpts">LIR!#REF!</definedName>
    <definedName name="Shortlandtries">LIR!#REF!</definedName>
    <definedName name="Shortlipts">BRI!#REF!</definedName>
    <definedName name="Shortlitries">BRI!#REF!</definedName>
    <definedName name="Simmonds_Sexepts">EXE!$F$34</definedName>
    <definedName name="Simmonds_Sexetries">EXE!$B$34</definedName>
    <definedName name="simmondsexeatt">EXE!$K$7</definedName>
    <definedName name="simmondsexegoals">EXE!$J$7</definedName>
    <definedName name="Simmondsexepts">EXE!$F$33</definedName>
    <definedName name="Simmondsexetries">EXE!$B$33</definedName>
    <definedName name="Simmonsleicpts">LEIC!$F$34</definedName>
    <definedName name="Simmonsleictries">LEIC!$B$34</definedName>
    <definedName name="Simpson_Danieljamespts">GLO!#REF!</definedName>
    <definedName name="Simpson_Danieljamestries">GLO!#REF!</definedName>
    <definedName name="Simpsonglopts">GLO!$F$36</definedName>
    <definedName name="Simpsonglotries">GLO!$B$36</definedName>
    <definedName name="Simpsonjoepts">WAS!#REF!</definedName>
    <definedName name="Simpsonjoetries">WAS!#REF!</definedName>
    <definedName name="Simpsonwaspts">WAS!#REF!</definedName>
    <definedName name="Simpsonwastries">WAS!#REF!</definedName>
    <definedName name="Sincklerharpts">HAR!#REF!</definedName>
    <definedName name="Sincklerhartries">HAR!#REF!</definedName>
    <definedName name="Sinclairjebbpts">BRI!$F$46</definedName>
    <definedName name="Sinclairjebbtries">BRI!$B$46</definedName>
    <definedName name="Singletonsarpts">NEW!#REF!</definedName>
    <definedName name="Singletonsartries">NEW!#REF!</definedName>
    <definedName name="Singletonworpts">WOR!$F$39</definedName>
    <definedName name="Singletonwortries">WOR!$B$39</definedName>
    <definedName name="Sinotisinotipts">LIR!#REF!</definedName>
    <definedName name="Sinotisinotitries">LIR!#REF!</definedName>
    <definedName name="Sioleipts">LEIC!#REF!</definedName>
    <definedName name="Sioleitries">LEIC!#REF!</definedName>
    <definedName name="Sirkerwaspts">WAS!$F$30</definedName>
    <definedName name="Sirkerwastries">WAS!$B$30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NEW!#REF!</definedName>
    <definedName name="Skeltonsartries">NEW!#REF!</definedName>
    <definedName name="Skinner_Hexepts">EXE!$F$35</definedName>
    <definedName name="Skinner_Hexetries">EXE!$B$35</definedName>
    <definedName name="Skinnerexeatt">EXE!$K$8</definedName>
    <definedName name="Skinnerexegls">EXE!$J$8</definedName>
    <definedName name="Skinnerexepts">EXE!$F$36</definedName>
    <definedName name="Skinnerexetries">EXE!$B$36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EXE!$K$6</definedName>
    <definedName name="Sladeexepts">EXE!$F$37</definedName>
    <definedName name="Sladeexetries">EXE!$B$37</definedName>
    <definedName name="sladegoals">EXE!$J$6</definedName>
    <definedName name="Sladehenrypts">EXE!#REF!</definedName>
    <definedName name="Slaterglopts">GLO!$F$37</definedName>
    <definedName name="Slaterglotries">GLO!$B$37</definedName>
    <definedName name="Slaterpts">LEIC!#REF!</definedName>
    <definedName name="Slaterptscorrect">LEIC!#REF!</definedName>
    <definedName name="slatertries">LEIC!#REF!</definedName>
    <definedName name="Slatertriescorrect">LEIC!#REF!</definedName>
    <definedName name="Sleightholmenorpts">NOR!$G$35</definedName>
    <definedName name="Sleightholmenortries">NOR!$B$35</definedName>
    <definedName name="Sloanharrypts">HAR!#REF!</definedName>
    <definedName name="Sloanharrytries">HAR!#REF!</definedName>
    <definedName name="Slowikworpts">WOR!#REF!</definedName>
    <definedName name="Slowikwortries">WOR!#REF!</definedName>
    <definedName name="Smithbripts">BRI!#REF!</definedName>
    <definedName name="Smithbritries">BRI!#REF!</definedName>
    <definedName name="Smithharpts">HAR!$G$37</definedName>
    <definedName name="Smithhartries">HAR!$B$37</definedName>
    <definedName name="smithleeatt">LIR!#REF!</definedName>
    <definedName name="Smithleegoals">LIR!#REF!</definedName>
    <definedName name="Smithleepts">LIR!#REF!</definedName>
    <definedName name="Smithleipts">LEIC!#REF!</definedName>
    <definedName name="Smithleitries">LEIC!#REF!</definedName>
    <definedName name="Smithnewtries">LIR!#REF!</definedName>
    <definedName name="Smithsampts">HAR!#REF!</definedName>
    <definedName name="Smithsamtries">HAR!#REF!</definedName>
    <definedName name="Smithsarpts">NEW!#REF!</definedName>
    <definedName name="Smithsartries">NEW!#REF!</definedName>
    <definedName name="Smithwaspts">WAS!#REF!</definedName>
    <definedName name="Smithwastries">WAS!#REF!</definedName>
    <definedName name="smithworatt">WOR!$K$8</definedName>
    <definedName name="Smithworgls">WOR!$J$8</definedName>
    <definedName name="Smithworpts">WOR!$F$40</definedName>
    <definedName name="Smithwortries">WOR!$B$40</definedName>
    <definedName name="Socino_Snewpts">LIR!#REF!</definedName>
    <definedName name="Socino_Snewtries">LIR!#REF!</definedName>
    <definedName name="Socinoglopts">GLO!$F$39</definedName>
    <definedName name="Socinoglotries">GLO!$B$39</definedName>
    <definedName name="socinonewatt">LIR!#REF!</definedName>
    <definedName name="socinonewgoals">LIR!#REF!</definedName>
    <definedName name="Socinonewpts">LIR!#REF!</definedName>
    <definedName name="Socinonewtries">LIR!#REF!</definedName>
    <definedName name="Solomonasalpts">SAL!$F$35</definedName>
    <definedName name="Solomonasaltries">SAL!$B$35</definedName>
    <definedName name="SopoagaGLSWAS">WAS!$J$7</definedName>
    <definedName name="SOPOAGAWASATT">WAS!$K$7</definedName>
    <definedName name="Sopoagawaspts">WAS!$F$31</definedName>
    <definedName name="Sopoagawastries">WAS!$B$31</definedName>
    <definedName name="Southworthexepts">EXE!$F$38</definedName>
    <definedName name="Southworthexetries">EXE!$B$38</definedName>
    <definedName name="Sowreynewpts">LIR!$F$37</definedName>
    <definedName name="Sowreynewtries">LIR!$B$37</definedName>
    <definedName name="Spencer_Bbthpts">BTH!$G$36</definedName>
    <definedName name="Spencer_Bbthtries">BTH!$B$36</definedName>
    <definedName name="Spencer_Wbthpts">BTH!$G$37</definedName>
    <definedName name="Spencer_Wbthtries">BTH!$B$37</definedName>
    <definedName name="spencerbenatt">NEW!$K$7</definedName>
    <definedName name="spencerbengoals">NEW!$J$7</definedName>
    <definedName name="Spencerbenpts">NEW!#REF!</definedName>
    <definedName name="Spencerbentries">NEW!#REF!</definedName>
    <definedName name="Spencerleicpts">LEIC!#REF!</definedName>
    <definedName name="Spencerleictries">LEIC!#REF!</definedName>
    <definedName name="Spencersarpts">NEW!#REF!</definedName>
    <definedName name="Spencerwillpts">BTH!$G$38</definedName>
    <definedName name="Spencerwilltries">BTH!$B$38</definedName>
    <definedName name="Spurlingsarpts">NEW!#REF!</definedName>
    <definedName name="Spurlingsartries">NEW!#REF!</definedName>
    <definedName name="Stanleyglopts">GLO!$F$40</definedName>
    <definedName name="Stanleyglotries">GLO!$B$40</definedName>
    <definedName name="Stedmanolliepts">WOR!#REF!</definedName>
    <definedName name="Stedmanollietrie">WOR!#REF!</definedName>
    <definedName name="Steelelipts">BRI!$F$48</definedName>
    <definedName name="Steelelirpts">LIR!#REF!</definedName>
    <definedName name="Steelelirtries">LIR!#REF!</definedName>
    <definedName name="Steelelitries">BRI!$B$48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WOR!#REF!</definedName>
    <definedName name="Stegmannsebtries">WOR!#REF!</definedName>
    <definedName name="Stellingmaxpts">WOR!#REF!</definedName>
    <definedName name="Stellingmaxtries">WOR!#REF!</definedName>
    <definedName name="stellingworatt">WOR!#REF!</definedName>
    <definedName name="stellingworgoals">WOR!#REF!</definedName>
    <definedName name="Stephensonjamespts">WOR!#REF!</definedName>
    <definedName name="Stephensonjamestries">WOR!$B$26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LEIC!$F$35</definedName>
    <definedName name="Stevensleictries">LEIC!$B$35</definedName>
    <definedName name="Stevenslipts">BRI!#REF!</definedName>
    <definedName name="Stevenslitries">BRI!#REF!</definedName>
    <definedName name="Stevensmattpts">NEW!#REF!</definedName>
    <definedName name="Stevensonnewpts">LIR!#REF!</definedName>
    <definedName name="Stevensonnewtries">LIR!#REF!</definedName>
    <definedName name="Stevensonwaspts">WAS!#REF!</definedName>
    <definedName name="Stevensonwastries">WAS!#REF!</definedName>
    <definedName name="stevenstries">NEW!#REF!</definedName>
    <definedName name="stewardleicatt">LEIC!$K$9</definedName>
    <definedName name="Stewardleicgls">LEIC!$J$9</definedName>
    <definedName name="Stirzakerbripts">BRI!$F$42</definedName>
    <definedName name="Stirzakerbritries">BRI!$B$42</definedName>
    <definedName name="Stokeslirpts">LIR!$F$35</definedName>
    <definedName name="Stokeslirtries">LIR!$B$35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rainnewpts">LIR!#REF!</definedName>
    <definedName name="Strainnewtries">LIR!#REF!</definedName>
    <definedName name="Streathertimpts">NEW!#REF!</definedName>
    <definedName name="Streathertimtries">NEW!#REF!</definedName>
    <definedName name="Streetexepts">EXE!$F$39</definedName>
    <definedName name="Streetexetries">EXE!$B$39</definedName>
    <definedName name="Strettlepts">NEW!#REF!</definedName>
    <definedName name="Strettlesarpts">NEW!#REF!</definedName>
    <definedName name="Strettlesarptscorrect">NEW!#REF!</definedName>
    <definedName name="Strettlesartries">NEW!#REF!</definedName>
    <definedName name="strettletries">NEW!#REF!</definedName>
    <definedName name="Strettllesartries">NEW!#REF!</definedName>
    <definedName name="Stringerpeterpts">BTH!#REF!</definedName>
    <definedName name="Stringerpetertries">BTH!#REF!</definedName>
    <definedName name="Stringersalpts">SAL!#REF!</definedName>
    <definedName name="Stringersaltries">SAL!#REF!</definedName>
    <definedName name="Stringerworpts">WOR!#REF!</definedName>
    <definedName name="Stringerwortries">WOR!#REF!</definedName>
    <definedName name="Strongexepts">EXE!#REF!</definedName>
    <definedName name="Strongexetries">EXE!#REF!</definedName>
    <definedName name="Stuartbthpts">BTH!$G$39</definedName>
    <definedName name="Stuartbthtries">BTH!$B$39</definedName>
    <definedName name="Stuartharpts">HAR!#REF!</definedName>
    <definedName name="Stuarthartries">HAR!#REF!</definedName>
    <definedName name="stuartnewatt">LIR!#REF!</definedName>
    <definedName name="Stuartnewgls">LIR!#REF!</definedName>
    <definedName name="Stuartnewpts">LIR!#REF!</definedName>
    <definedName name="Stuartnewtries">LIR!#REF!</definedName>
    <definedName name="Stuartwaspts">WAS!$F$32</definedName>
    <definedName name="Stuartwastries">WAS!$B$32</definedName>
    <definedName name="Sturgessexepts">EXE!#REF!</definedName>
    <definedName name="Sturgessexetries">EXE!#REF!</definedName>
    <definedName name="suajeremypts">WOR!#REF!</definedName>
    <definedName name="suajeremytries">WOR!#REF!</definedName>
    <definedName name="Suniulawaspts">WAS!#REF!</definedName>
    <definedName name="Suniulawastries">WAS!#REF!</definedName>
    <definedName name="Swainstonharpts">HAR!$G$38</definedName>
    <definedName name="Swainstonhartries">HAR!$B$38</definedName>
    <definedName name="Swainstonwapts">WAS!#REF!</definedName>
    <definedName name="Swainstonwastries">WAS!#REF!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LIR!#REF!</definedName>
    <definedName name="Swielnewgls">LIR!#REF!</definedName>
    <definedName name="Swielnewpts">LIR!#REF!</definedName>
    <definedName name="Swielnewtries">LIR!#REF!</definedName>
    <definedName name="Symonsandypts">WOR!$F$35</definedName>
    <definedName name="Symonsandytries">WOR!#REF!</definedName>
    <definedName name="Symonsharpts">HAR!$G$39</definedName>
    <definedName name="Symonshartries">HAR!$B$39</definedName>
    <definedName name="Symonslirpts">BRI!#REF!</definedName>
    <definedName name="Symonslirtries">BRI!#REF!</definedName>
    <definedName name="Symonsnorpts">NOR!#REF!</definedName>
    <definedName name="Symonsnortries">NOR!#REF!</definedName>
    <definedName name="Symonswaspts">WAS!#REF!</definedName>
    <definedName name="Symonswastries">WAS!#REF!</definedName>
    <definedName name="symonsworatt">WOR!#REF!</definedName>
    <definedName name="Symonsworgoals">WOR!#REF!</definedName>
    <definedName name="Tagicakibausailosipts">BRI!#REF!</definedName>
    <definedName name="Tagicakibausailositries">BRI!#REF!</definedName>
    <definedName name="Tagicakibausarpts">NEW!#REF!</definedName>
    <definedName name="Tagicakibausartries">NEW!#REF!</definedName>
    <definedName name="Tagicakibauwaspts">WAS!#REF!</definedName>
    <definedName name="Tagucakibauwastries">WAS!#REF!</definedName>
    <definedName name="Taioneexepts">EXE!$F$40</definedName>
    <definedName name="Taioneexetries">EXE!$B$40</definedName>
    <definedName name="Taitalexpts">LIR!#REF!</definedName>
    <definedName name="Taitalextries">LIR!#REF!</definedName>
    <definedName name="Taitmathewpts">LEIC!#REF!</definedName>
    <definedName name="Taitmathewtries">LEIC!#REF!</definedName>
    <definedName name="Taitnewpts">LIR!#REF!</definedName>
    <definedName name="Taitnewtris">LIR!#REF!</definedName>
    <definedName name="Takaluanewpts">LIR!#REF!</definedName>
    <definedName name="takaluanewtries">LIR!#REF!</definedName>
    <definedName name="takuluanewatt">LIR!#REF!</definedName>
    <definedName name="takuluanewgoals">LIR!#REF!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HAR!$L$18</definedName>
    <definedName name="tapuaiharglsatt">HAR!$M$10</definedName>
    <definedName name="tapuaiharglscorrect">HAR!$L$10</definedName>
    <definedName name="Tapuaiharpts">HAR!$G$40</definedName>
    <definedName name="Tapuaihartries">HAR!$B$40</definedName>
    <definedName name="Taufete_eworpts">WOR!#REF!</definedName>
    <definedName name="Taufete_ewortries">WOR!#REF!</definedName>
    <definedName name="Taulavasemisipts">WOR!#REF!</definedName>
    <definedName name="Taulavasemisitries">WOR!#REF!</definedName>
    <definedName name="Taylorduncanpts">NEW!#REF!</definedName>
    <definedName name="Taylorduncantries">NEW!#REF!</definedName>
    <definedName name="Taylornathanpts">WOR!#REF!</definedName>
    <definedName name="Taylornathantries">WOR!#REF!</definedName>
    <definedName name="Taylornorpts">NOR!$G$36</definedName>
    <definedName name="Taylornortries">NOR!$B$36</definedName>
    <definedName name="Taylorsalpts">SAL!#REF!</definedName>
    <definedName name="Taylorsaltries">SAL!#REF!</definedName>
    <definedName name="Taylorsarpts">NEW!#REF!</definedName>
    <definedName name="Taylorsartries">NEW!#REF!</definedName>
    <definedName name="Taylortommywaspts">WAS!$F$33</definedName>
    <definedName name="Taylortommywastries">WAS!$B$33</definedName>
    <definedName name="Taylorwaspts">WAS!#REF!</definedName>
    <definedName name="Taylorwastries">WAS!#REF!</definedName>
    <definedName name="Taylorworpts">WOR!#REF!</definedName>
    <definedName name="Taylorwortries">WOR!#REF!</definedName>
    <definedName name="Temmnewpts">LIR!#REF!</definedName>
    <definedName name="Temmnewtries">LIR!#REF!</definedName>
    <definedName name="Terryglopts">GLO!$F$38</definedName>
    <definedName name="Terryglotries">GLO!$B$38</definedName>
    <definedName name="test">BTH!#REF!</definedName>
    <definedName name="Thacker_Cleicpts">LEIC!$F$36</definedName>
    <definedName name="Thacker_Cleictries">LEIC!$B$36</definedName>
    <definedName name="Thacker_Hleipts">LEIC!#REF!</definedName>
    <definedName name="Thacker_Hleitries">LEIC!#REF!</definedName>
    <definedName name="Thielsarpts">NEW!#REF!</definedName>
    <definedName name="Thielsartries">NEW!#REF!</definedName>
    <definedName name="Thomas_Dbripts">BRI!$F$44</definedName>
    <definedName name="Thomas_Dbritries">BRI!$B$44</definedName>
    <definedName name="Thomas_DBRITRIESCORRECT">BRI!$B$44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haydnpts">EXE!#REF!</definedName>
    <definedName name="Thomashaydntries">EXE!#REF!</definedName>
    <definedName name="Thomashenrybatpts">BTH!$G$40</definedName>
    <definedName name="Thomashenrybattries">BTH!$B$40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pson_Stringersarpts">NEW!#REF!</definedName>
    <definedName name="Thompson_Stringersartries">NEW!#REF!</definedName>
    <definedName name="Thompsonleicpts">LEIC!$F$37</definedName>
    <definedName name="Thompsonleictries">LEIC!$B$37</definedName>
    <definedName name="Thompsonnewpts">LIR!#REF!</definedName>
    <definedName name="Thompsonnewtries">LIR!#REF!</definedName>
    <definedName name="Thompsonpts">WAS!#REF!</definedName>
    <definedName name="Thompsontries">WAS!#REF!</definedName>
    <definedName name="Thompsonwaspts">WAS!#REF!</definedName>
    <definedName name="Thompsonwastries">WAS!#REF!</definedName>
    <definedName name="Thompstoneleipts">LEIC!#REF!</definedName>
    <definedName name="Thompstoneleitries">LEIC!#REF!</definedName>
    <definedName name="Thompstonepts">LEIC!#REF!</definedName>
    <definedName name="Thompstoneptscorrect">LEIC!#REF!</definedName>
    <definedName name="thompstonetries">LEIC!$B$19</definedName>
    <definedName name="Thorleyglopts">GLO!#REF!</definedName>
    <definedName name="Thorleygloptscorrect">GLO!$F$41</definedName>
    <definedName name="Thorleyglotries">GLO!#REF!</definedName>
    <definedName name="Thorleyglotriescorrect">GLO!$B$41</definedName>
    <definedName name="Thornleipts">LEIC!#REF!</definedName>
    <definedName name="Thornleitries">LEIC!#REF!</definedName>
    <definedName name="Thorperichardpts">WOR!#REF!</definedName>
    <definedName name="Thorperichardtries">WOR!#REF!</definedName>
    <definedName name="Tiesinewpts">LIR!#REF!</definedName>
    <definedName name="Tiesinewtries">LIR!#REF!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ncknelljamespts">WOR!$F$42</definedName>
    <definedName name="Tincknelljamestries">WOR!$B$42</definedName>
    <definedName name="tindallgloatt">GLO!$K$9</definedName>
    <definedName name="tindallglogoals">GLO!$J$9</definedName>
    <definedName name="Tindallmikepts">GLO!#REF!</definedName>
    <definedName name="Tindallmiketries">GLO!#REF!</definedName>
    <definedName name="Tipunanewpts">LIR!#REF!</definedName>
    <definedName name="Tipunanewtries">LIR!#REF!</definedName>
    <definedName name="Tolofuasarpts">NEW!#REF!</definedName>
    <definedName name="Tolofuasartries">NEW!#REF!</definedName>
    <definedName name="Tomaszczyknewpts">LIR!#REF!</definedName>
    <definedName name="Tomaszczyknewtries">LIR!#REF!</definedName>
    <definedName name="Tomesnewpts">LIR!#REF!</definedName>
    <definedName name="Tomesnewtries">LIR!#REF!</definedName>
    <definedName name="Tomkinsjoelpts">NEW!#REF!</definedName>
    <definedName name="tomkinstries">NEW!#REF!</definedName>
    <definedName name="Tompkinsnickpts">NEW!#REF!</definedName>
    <definedName name="Tompkinsnicktries">NEW!#REF!</definedName>
    <definedName name="Tompkinssarpts">NEW!#REF!</definedName>
    <definedName name="Tompkinssarptscorrect">NEW!#REF!</definedName>
    <definedName name="Tompkinssartries">NEW!#REF!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omualeicatt">LEIC!#REF!</definedName>
    <definedName name="Toomualeicgls">LEIC!#REF!</definedName>
    <definedName name="Toomualeipts">LEIC!#REF!</definedName>
    <definedName name="Toomualeitries">LEIC!#REF!</definedName>
    <definedName name="Townsendexepts">EXE!$F$41</definedName>
    <definedName name="Townsendexetries">EXE!$B$41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vettnathanpts">WOR!#REF!</definedName>
    <definedName name="Trevettnathantries">WOR!#REF!</definedName>
    <definedName name="Treviranuspts">BRI!#REF!</definedName>
    <definedName name="Treviranustries">BRI!#REF!</definedName>
    <definedName name="Trinderglopts">GLO!$F$42</definedName>
    <definedName name="Trinderhenrypts">GLO!#REF!</definedName>
    <definedName name="Trinderpts">GLO!#REF!</definedName>
    <definedName name="trindertries">GLO!#REF!</definedName>
    <definedName name="Trindertriestries">GLO!$B$42</definedName>
    <definedName name="Tualanorpts">NOR!$G$37</definedName>
    <definedName name="TualaNORTRIES">NOR!$B$37</definedName>
    <definedName name="Tuilagi__Alesananewgoals">LIR!#REF!</definedName>
    <definedName name="Tuilagi_Alesananewpts">LIR!#REF!</definedName>
    <definedName name="Tuilagi_Alesananewtries">LIR!#REF!</definedName>
    <definedName name="Tuilagi_Aniteleanewpts">LIR!#REF!</definedName>
    <definedName name="Tuilagi_Aniteleanewtries">LIR!#REF!</definedName>
    <definedName name="Tuilagi_Fleicpts">LEIC!#REF!</definedName>
    <definedName name="Tuilagi_Fleictries">LEIC!#REF!</definedName>
    <definedName name="tuilagialesananewatt">LIR!#REF!</definedName>
    <definedName name="Tuilagimanupts">LEIC!#REF!</definedName>
    <definedName name="Tuilagimanutries">LEIC!#REF!</definedName>
    <definedName name="Tuitavakenorpts">NOR!#REF!</definedName>
    <definedName name="Tuitavakenortries">NOR!#REF!</definedName>
    <definedName name="Tuitupousampts">SAL!$F$36</definedName>
    <definedName name="Tuitupousamtries">SAL!$B$36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welvetreesatt">GLO!$K$8</definedName>
    <definedName name="Twelvetreesglopts">GLO!$F$43</definedName>
    <definedName name="Twelvetreesglotries">GLO!$B$43</definedName>
    <definedName name="twelvetreesgoals">GLO!$J$8</definedName>
    <definedName name="Twelvetreespts">GLO!#REF!</definedName>
    <definedName name="Twelvetreestries">GLO!#REF!</definedName>
    <definedName name="Twomeyharpts">HAR!#REF!</definedName>
    <definedName name="Twomeyhartries">HAR!#REF!</definedName>
    <definedName name="UlsterPts">[1]ULS!$F$59</definedName>
    <definedName name="UlsterTries">[1]ULS!$B$59</definedName>
    <definedName name="umagawasatt">WAS!$K$8</definedName>
    <definedName name="umagawasgoals">WAS!$J$8</definedName>
    <definedName name="Umagawaspts">WAS!$F$34</definedName>
    <definedName name="Umagawastries">WAS!$B$34</definedName>
    <definedName name="Underhillbthpts">BTH!$G$41</definedName>
    <definedName name="Underhillbthtries">BTH!$B$41</definedName>
    <definedName name="UrenBRITRIES">BRI!$B$46</definedName>
    <definedName name="Uzokwenewpts">LIR!#REF!</definedName>
    <definedName name="Uzokwenewtries">LIR!#REF!</definedName>
    <definedName name="Vailanusarpts">NEW!#REF!</definedName>
    <definedName name="Vailanusartries">NEW!#REF!</definedName>
    <definedName name="Vailanuwaspts">WAS!$F$35</definedName>
    <definedName name="Vailanuwastries">WAS!$B$35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WOR!$F$41</definedName>
    <definedName name="Van_Bredawortries">WOR!$B$41</definedName>
    <definedName name="Van_der_Merwe_Asalpts">SAL!$F$38</definedName>
    <definedName name="Van_der_Merwe_Asaltries">SAL!$B$38</definedName>
    <definedName name="van_der_Merwelirpts">LIR!#REF!</definedName>
    <definedName name="van_der_Merwelirtries">LIR!#REF!</definedName>
    <definedName name="van_der_Sluysexepts">EXE!$F$42</definedName>
    <definedName name="van_der_Sluysexetries">EXE!$B$42</definedName>
    <definedName name="van_Poortvlietleicpts">LEIC!$F$38</definedName>
    <definedName name="van_Poortvlietleictries">LEIC!$B$38</definedName>
    <definedName name="van_Rensburgsalpts">SAL!$F$37</definedName>
    <definedName name="van_Rensburgsaltries">SAL!$B$37</definedName>
    <definedName name="van_Rooyenbthpts">BTH!#REF!</definedName>
    <definedName name="van_Rooyenbthtries">BTH!#REF!</definedName>
    <definedName name="van_Velzegjpts">NOR!#REF!</definedName>
    <definedName name="van_Velzegjtries">NOR!#REF!</definedName>
    <definedName name="van_Vuurenbthpts">BTH!$G$42</definedName>
    <definedName name="van_Vuurenbthtries">BTH!$B$42</definedName>
    <definedName name="van_Wykkobusleicpts">LEIC!$F$39</definedName>
    <definedName name="van_Wykkobusleictries">LEIC!$B$39</definedName>
    <definedName name="van_Wyknorpts">NOR!$G$38</definedName>
    <definedName name="van_Wyknortries">NOR!$B$38</definedName>
    <definedName name="van_Zyllirpts">BRI!#REF!</definedName>
    <definedName name="van_Zyllirtries">BRI!#REF!</definedName>
    <definedName name="vanbredaworatt">WOR!$K$9</definedName>
    <definedName name="vanbredaworgls">WOR!$J$9</definedName>
    <definedName name="Varndelltompts">WAS!#REF!</definedName>
    <definedName name="Varndelltomtries">WAS!#REF!</definedName>
    <definedName name="Veainuleipts">LEIC!#REF!</definedName>
    <definedName name="Veainuleitries">LEIC!#REF!</definedName>
    <definedName name="Veanewpts">LIR!#REF!</definedName>
    <definedName name="Veanewtries">LIR!#REF!</definedName>
    <definedName name="Veataionelwelshpts">WOR!#REF!</definedName>
    <definedName name="Veataionelwelshtries">WOR!#REF!</definedName>
    <definedName name="Veataionepts">WAS!#REF!</definedName>
    <definedName name="Veataionetroes">WAS!#REF!</definedName>
    <definedName name="Vellacottglopts">GLO!$F$44</definedName>
    <definedName name="Vellacottglotries">GLO!$B$44</definedName>
    <definedName name="Vellacottwaspts">WAS!$F$36</definedName>
    <definedName name="Vellacottwastries">WAS!$B$36</definedName>
    <definedName name="Vellanathanpts">WOR!#REF!</definedName>
    <definedName name="Vellanathantries">WOR!#REF!</definedName>
    <definedName name="Vendittinewpts">LIR!#REF!</definedName>
    <definedName name="Vendittinewtries">LIR!#REF!</definedName>
    <definedName name="VennerGLOPTS">GLO!$F$45</definedName>
    <definedName name="VennerGLOTRIES">GLO!$B$45</definedName>
    <definedName name="Venterworpts">WOR!$F$43</definedName>
    <definedName name="Venterwortries">WOR!$B$43</definedName>
    <definedName name="Verbakelnorpts">NOR!#REF!</definedName>
    <definedName name="Verbakelnortries">NOR!#REF!</definedName>
    <definedName name="Vermeulenexepts">EXE!#REF!</definedName>
    <definedName name="Vermeulenexetries">EXE!#REF!</definedName>
    <definedName name="Vickersnewpts">LIR!#REF!</definedName>
    <definedName name="Vickersnewtries">LIR!#REF!</definedName>
    <definedName name="Viljoen_EWleicatt">LEIC!#REF!</definedName>
    <definedName name="Viljoen_EWleicgls">LEIC!#REF!</definedName>
    <definedName name="Visagieglopts">GLO!$F$46</definedName>
    <definedName name="Visagieglotries">GLO!$B$46</definedName>
    <definedName name="Vossleicpts">LEIC!$F$40</definedName>
    <definedName name="Vossleictries">LEIC!$B$40</definedName>
    <definedName name="Vuibripts">BRI!$F$47</definedName>
    <definedName name="Vuibritries">BRI!$B$47</definedName>
    <definedName name="Vunabthpts">BTH!#REF!</definedName>
    <definedName name="Vunabthtries">BTH!#REF!</definedName>
    <definedName name="Vunipola__Makosarpts">NEW!#REF!</definedName>
    <definedName name="Vunipola__Makosartries">NEW!#REF!</definedName>
    <definedName name="Vunipola_Bsarpts">NEW!#REF!</definedName>
    <definedName name="Vunipola_Bsartries">NEW!#REF!</definedName>
    <definedName name="Vunipola_Msaratt">NEW!$K$10</definedName>
    <definedName name="Vunipola_Msargls">NEW!$J$10</definedName>
    <definedName name="Vunipola_Msarpts">NEW!#REF!</definedName>
    <definedName name="Vunipola_Msartries">NEW!#REF!</definedName>
    <definedName name="Vunipolabillypts">NEW!#REF!</definedName>
    <definedName name="vunipolabillytries">NEW!#REF!</definedName>
    <definedName name="Vunipolamakopts">NEW!#REF!</definedName>
    <definedName name="vunipolamakotries">NEW!#REF!</definedName>
    <definedName name="Vunisasarpts">NEW!#REF!</definedName>
    <definedName name="Vunisasartries">NEW!#REF!</definedName>
    <definedName name="Wacokecokenewpts">NEW!$F$40</definedName>
    <definedName name="Wacokecokenewtries">NEW!$B$40</definedName>
    <definedName name="Wadepts">WAS!#REF!</definedName>
    <definedName name="wadetries">WAS!#REF!</definedName>
    <definedName name="wadewasatt">WAS!#REF!</definedName>
    <definedName name="Wadewasgls">WAS!#REF!</definedName>
    <definedName name="Wadewaspts">WAS!#REF!</definedName>
    <definedName name="Wadewastries">WAS!#REF!</definedName>
    <definedName name="Waldoucklirpts">BRI!#REF!</definedName>
    <definedName name="Waldoucklirtries">BRI!#REF!</definedName>
    <definedName name="Waldoucknewpts">LIR!#REF!</definedName>
    <definedName name="Waldoucknewtries">LIR!#REF!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LEIC!#REF!</definedName>
    <definedName name="Waldromptscorrect">LEIC!#REF!</definedName>
    <definedName name="waldromtries">LEIC!#REF!</definedName>
    <definedName name="Waldromtriescorrect">LEIC!#REF!</definedName>
    <definedName name="Walkerbthpts">BTH!$G$43</definedName>
    <definedName name="Walkerbthtries">BTH!$B$43</definedName>
    <definedName name="Walkercharliehqtries">HAR!#REF!</definedName>
    <definedName name="Walkercharliepts">HAR!#REF!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HAR!#REF!</definedName>
    <definedName name="Wallaceluketries">HAR!#REF!</definedName>
    <definedName name="wallerethanpts">NOR!#REF!</definedName>
    <definedName name="wallerethantries">NOR!#REF!</definedName>
    <definedName name="Wallerworpts">WOR!$F$44</definedName>
    <definedName name="Wallerwortries">WOR!$B$44</definedName>
    <definedName name="Walshexegls">EXE!$J$9</definedName>
    <definedName name="Warddavepts">HAR!#REF!</definedName>
    <definedName name="warddavetries">HAR!#REF!</definedName>
    <definedName name="warwickatt">WOR!#REF!</definedName>
    <definedName name="warwickgoals">WOR!#REF!</definedName>
    <definedName name="Warwickpaulpts">WOR!#REF!</definedName>
    <definedName name="Warwickpaultries">WOR!$B$35</definedName>
    <definedName name="waslhexeatt">EXE!$K$9</definedName>
    <definedName name="waspspenaltytriespts">WAS!#REF!</definedName>
    <definedName name="waspspenaltytriestries">WAS!#REF!</definedName>
    <definedName name="waspspentries">WAS!#REF!</definedName>
    <definedName name="Waspspentriespts">WAS!#REF!</definedName>
    <definedName name="WaspsPts">WAS!$F$44</definedName>
    <definedName name="WaspsTries">WAS!$B$44</definedName>
    <definedName name="Watersharpts">HAR!$G$41</definedName>
    <definedName name="Watershartries">HAR!$B$41</definedName>
    <definedName name="Waterswelpts">WOR!#REF!</definedName>
    <definedName name="Watersweltries">WOR!#REF!</definedName>
    <definedName name="Watsonanthonypts">BTH!$G$44</definedName>
    <definedName name="Watsonanthonytries">BTH!$B$44</definedName>
    <definedName name="Watsonnewpts">LIR!#REF!</definedName>
    <definedName name="Watsonnewtriwes">LIR!#REF!</definedName>
    <definedName name="Watsonsarpts">NEW!#REF!</definedName>
    <definedName name="Watsonsartries">NEW!#REF!</definedName>
    <definedName name="Watsonwaspts">WAS!$F$37</definedName>
    <definedName name="Watsonwastries">WAS!$B$37</definedName>
    <definedName name="Webberpts">BTH!#REF!</definedName>
    <definedName name="Webberrobtries">BTH!#REF!</definedName>
    <definedName name="Webbersalpts">SAL!$F$39</definedName>
    <definedName name="Webbersaltries">SAL!$B$39</definedName>
    <definedName name="Webbertries">BTH!#REF!</definedName>
    <definedName name="Weepuwelshpts">WOR!#REF!</definedName>
    <definedName name="Weepuwelshtries">WOR!#REF!</definedName>
    <definedName name="Weirworpts">WOR!$F$45</definedName>
    <definedName name="Weirwortries">WOR!$B$45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LIR!#REF!</definedName>
    <definedName name="Welchwilltries">LIR!#REF!</definedName>
    <definedName name="Wellsharrypts">LEIC!$F$45</definedName>
    <definedName name="Wellsharrytries">LEIC!$B$45</definedName>
    <definedName name="Wellsleicpts">LEIC!$F$41</definedName>
    <definedName name="Wellsleictries">LEIC!$B$41</definedName>
    <definedName name="Welshnewpts">LIR!#REF!</definedName>
    <definedName name="Welshnewtries">LIR!#REF!</definedName>
    <definedName name="Westbenpts">WOR!#REF!</definedName>
    <definedName name="Westbentries">WOR!#REF!</definedName>
    <definedName name="Westwaspts">WAS!$F$38</definedName>
    <definedName name="Westwastries">WAS!$B$38</definedName>
    <definedName name="White_NexeptsCORRECT">EXE!$F$43</definedName>
    <definedName name="White_Nicexepts">EXE!$E$43</definedName>
    <definedName name="White_Nicexetries">EXE!$B$43</definedName>
    <definedName name="Whiteexepts">EXE!#REF!</definedName>
    <definedName name="Whiteharpts">HAR!$G$42</definedName>
    <definedName name="Whitehartries">HAR!$B$42</definedName>
    <definedName name="Whiteheadchrispts">EXE!#REF!</definedName>
    <definedName name="Whiteheadchristries">EXE!#REF!</definedName>
    <definedName name="Whiteleicpts">LEIC!$F$42</definedName>
    <definedName name="Whiteleictries">LEIC!$B$42</definedName>
    <definedName name="whiteleysaratt">NEW!$K$9</definedName>
    <definedName name="Whiteleysargls">NEW!$J$9</definedName>
    <definedName name="Whiteleysarpts">NEW!#REF!</definedName>
    <definedName name="Whiteleysartries">NEW!#REF!</definedName>
    <definedName name="Whitepts">EXE!#REF!</definedName>
    <definedName name="whitetrie">EXE!#REF!</definedName>
    <definedName name="Whittenpts">EXE!$F$44</definedName>
    <definedName name="Whittentries">EXE!$B$44</definedName>
    <definedName name="Wieseleicpts">LEIC!$F$43</definedName>
    <definedName name="Wieseleictries">LEIC!$B$43</definedName>
    <definedName name="Wigglesworthleictries">LEIC!$B$44</definedName>
    <definedName name="Wigglesworthlicpts">LEIC!$F$44</definedName>
    <definedName name="Wigglesworthrichardpts">NEW!#REF!</definedName>
    <definedName name="Wigglesworthrichardtries">NEW!#REF!</definedName>
    <definedName name="wigglesworthsaratt">NEW!#REF!</definedName>
    <definedName name="Wigglesworthsargoals">NEW!#REF!</definedName>
    <definedName name="Wiliamsnewtries">LIR!#REF!</definedName>
    <definedName name="wilkinsonsalatt">SAL!$K$10</definedName>
    <definedName name="wilkinsonsalgls">SAL!$J$10</definedName>
    <definedName name="Wilkinsonsalpts">SAL!$F$40</definedName>
    <definedName name="Wilkinsonsaltries">SAL!$B$40</definedName>
    <definedName name="Willemsesarpts">NEW!#REF!</definedName>
    <definedName name="Willemsesartries">NEW!#REF!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BTH!$G$45</definedName>
    <definedName name="Williamsbentries">BTH!$B$45</definedName>
    <definedName name="Williamsexepts">EXE!$F$45</definedName>
    <definedName name="Williamsexetries">EXE!$B$45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LEIC!#REF!</definedName>
    <definedName name="Williamsleitries">LEIC!#REF!</definedName>
    <definedName name="Williamsmikepts">WOR!#REF!</definedName>
    <definedName name="Williamsmiketries">WOR!#REF!</definedName>
    <definedName name="Williamsmiketriescorrect">WOR!#REF!</definedName>
    <definedName name="williamsnewatt">LIR!#REF!</definedName>
    <definedName name="Williamsnewgls">LIR!#REF!</definedName>
    <definedName name="Williamsnewpts">LIR!#REF!</definedName>
    <definedName name="Williamsnorpts">NOR!#REF!</definedName>
    <definedName name="Williamsnortries">NOR!#REF!</definedName>
    <definedName name="williamsowenatt">LEIC!#REF!</definedName>
    <definedName name="williamsowengoals">LEIC!#REF!</definedName>
    <definedName name="Williamsowenpts">LEIC!$F$11</definedName>
    <definedName name="Williamsowenptscorrect">LEIC!#REF!</definedName>
    <definedName name="williamssalatt">SAL!$K$10</definedName>
    <definedName name="williamssalgls">SAL!$J$10</definedName>
    <definedName name="Williamssalpts">SAL!$F$41</definedName>
    <definedName name="Williamssaltries">SAL!$B$41</definedName>
    <definedName name="Williamssarpts">NEW!#REF!</definedName>
    <definedName name="Williamssartries">NEW!#REF!</definedName>
    <definedName name="Williamstompts">HAR!#REF!</definedName>
    <definedName name="Williamstomtries">HAR!#REF!</definedName>
    <definedName name="Williamstomtriescorrect">HAR!#REF!</definedName>
    <definedName name="Williamsworpts">WOR!$F$46</definedName>
    <definedName name="Williamswortries">WOR!$B$46</definedName>
    <definedName name="Willis_Twaspts">WAS!$F$40</definedName>
    <definedName name="Willis_Twastries">WAS!$B$40</definedName>
    <definedName name="Willismewtries">LIR!#REF!</definedName>
    <definedName name="willisnewatt">LIR!#REF!</definedName>
    <definedName name="Willisnewgoals">LIR!#REF!</definedName>
    <definedName name="Willisnewpts">LIR!#REF!</definedName>
    <definedName name="Willisonbthpts">BTH!$G$45</definedName>
    <definedName name="Willisonbthtries">BTH!$B$45</definedName>
    <definedName name="Willisonworpts">WOR!#REF!</definedName>
    <definedName name="Willisonwortries">WOR!#REF!</definedName>
    <definedName name="Williswaspts">WAS!$F$39</definedName>
    <definedName name="Williswastries">WAS!$B$39</definedName>
    <definedName name="Wilson__Jamesbthgls">BTH!#REF!</definedName>
    <definedName name="Wilson__Jamesbthpts">BTH!$G$46</definedName>
    <definedName name="Wilson__Jamesbthptscorrect">BTH!#REF!</definedName>
    <definedName name="Wilson__Jamesbthtries">BTH!$B$46</definedName>
    <definedName name="Wilson__Jamesbthtriescorrect">BTH!#REF!</definedName>
    <definedName name="Wilson_Dnewpts">LIR!#REF!</definedName>
    <definedName name="Wilson_Dnewtries">LIR!#REF!</definedName>
    <definedName name="Wilson_Markpts">LIR!#REF!</definedName>
    <definedName name="Wilson_Marktries">LIR!#REF!</definedName>
    <definedName name="Wilson_Snewpts">LIR!#REF!</definedName>
    <definedName name="Wilson_Snewtries">LIR!#REF!</definedName>
    <definedName name="Wilsonbatpts">BTH!#REF!</definedName>
    <definedName name="Wilsonbattries">BTH!#REF!</definedName>
    <definedName name="Wilsondavidpts">BTH!#REF!</definedName>
    <definedName name="Wilsondavidtries">BTH!#REF!</definedName>
    <definedName name="Wilsonjackpts">NEW!#REF!</definedName>
    <definedName name="Wilsonjacktries">NEW!#REF!</definedName>
    <definedName name="Wilsonjacktriescorr">NEW!#REF!</definedName>
    <definedName name="Wilsonjacktriescorrect">NEW!#REF!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lsonnewpts">NEW!$F$42</definedName>
    <definedName name="Wilsonnewtries">NEW!$B$42</definedName>
    <definedName name="Wittyexepts">EXE!$F$46</definedName>
    <definedName name="Wittyexetries">EXE!$B$46</definedName>
    <definedName name="Wittynewpts">LIR!#REF!</definedName>
    <definedName name="Wittynewtries">LIR!#REF!</definedName>
    <definedName name="Wolstenholmewaspts">WAS!$F$41</definedName>
    <definedName name="Wolstenholmewastries">WAS!$B$41</definedName>
    <definedName name="Wolstenhomewaspts">WAS!$F$41</definedName>
    <definedName name="Woodburnexepts">EXE!$F$47</definedName>
    <definedName name="Woodburnexetries">EXE!$B$47</definedName>
    <definedName name="Woodburnollypts">BTH!#REF!</definedName>
    <definedName name="woodburnollytries">BTH!#REF!</definedName>
    <definedName name="Woodburnworpts">WOR!#REF!</definedName>
    <definedName name="Woodburnwortries">WOR!#REF!</definedName>
    <definedName name="Woodglopts">GLO!#REF!</definedName>
    <definedName name="Woodglotries">GLO!#REF!</definedName>
    <definedName name="Woodtompts">NOR!#REF!</definedName>
    <definedName name="Woodtomptscorrect">NOR!$G$40</definedName>
    <definedName name="woodtomtries">NOR!#REF!</definedName>
    <definedName name="Woodtomtriescorrect">NOR!$B$40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GLO!$F$47</definedName>
    <definedName name="Woodwardglotries">GLO!$B$47</definedName>
    <definedName name="Woolfordnorpts">NOR!#REF!</definedName>
    <definedName name="Woolfordnortries">NOR!#REF!</definedName>
    <definedName name="Woolmoreexepts">EXE!#REF!</definedName>
    <definedName name="Woolmoreexetries">EXE!#REF!</definedName>
    <definedName name="Woolstencroftsarpts">NEW!#REF!</definedName>
    <definedName name="Woolstencroftsartries">NEW!#REF!</definedName>
    <definedName name="Woolstencroftwaspts">WAS!$F$40</definedName>
    <definedName name="Woolstencroftwastries">WAS!$B$40</definedName>
    <definedName name="woratt">WOR!#REF!</definedName>
    <definedName name="worcesterpentries">WOR!#REF!</definedName>
    <definedName name="worcesterpentriespts">WOR!$F$10</definedName>
    <definedName name="WorcesterPts">WOR!$F$47</definedName>
    <definedName name="WorcesterTries">WOR!$B$47</definedName>
    <definedName name="Worleynorpts">NOR!#REF!</definedName>
    <definedName name="Worleynortries">NOR!#REF!</definedName>
    <definedName name="worthleiatt">LEIC!$K$10</definedName>
    <definedName name="worthleigoals">LEIC!$J$10</definedName>
    <definedName name="Worthleipts">LEIC!$F$46</definedName>
    <definedName name="Worthleitries">LEIC!$B$46</definedName>
    <definedName name="Wrayjacksonpts">NEW!#REF!</definedName>
    <definedName name="Wrayjacksontries">NEW!#REF!</definedName>
    <definedName name="Wyattexepts">EXE!$F$48</definedName>
    <definedName name="Wyattexetries">EXE!$B$48</definedName>
    <definedName name="Wylespts">NEW!#REF!</definedName>
    <definedName name="wylestries">NEW!#REF!</definedName>
    <definedName name="Yappwaspts">WAS!#REF!</definedName>
    <definedName name="Yappwastries">WAS!#REF!</definedName>
    <definedName name="Yardeharpts">HAR!#REF!</definedName>
    <definedName name="Yardehartries">HAR!#REF!</definedName>
    <definedName name="Yardepts">BRI!#REF!</definedName>
    <definedName name="Yardesalpts">SAL!$F$42</definedName>
    <definedName name="Yardesaltries">SAL!$B$42</definedName>
    <definedName name="yardetries">BRI!#REF!</definedName>
    <definedName name="Yeandlejackpts">EXE!$F$49</definedName>
    <definedName name="Yeandlejacktries">EXE!$B$49</definedName>
    <definedName name="Yorkchrispts">LIR!#REF!</definedName>
    <definedName name="Yorkchristries">LIR!#REF!</definedName>
    <definedName name="Young_Gnewpts">LIR!#REF!</definedName>
    <definedName name="Young_Gnewtries">LIR!#REF!</definedName>
    <definedName name="Youngmickypts">BTH!#REF!</definedName>
    <definedName name="Youngmickytries">BTH!#REF!</definedName>
    <definedName name="youngsbatt">LEIC!$K$11</definedName>
    <definedName name="Youngsbenpts">LEIC!#REF!</definedName>
    <definedName name="Youngsbenptscorrect">LEIC!$F$47</definedName>
    <definedName name="youngsbentries">LEIC!$B$47</definedName>
    <definedName name="youngsbgoals">LEIC!$J$11</definedName>
    <definedName name="youngstompts">LEIC!$F$48</definedName>
    <definedName name="youngstomtries">LEIC!$B$48</definedName>
    <definedName name="Youngwaspts">WAS!$F$42</definedName>
    <definedName name="Youngwastries">WAS!$B$42</definedName>
    <definedName name="ZebrePts">[1]ZEB!$F$49</definedName>
    <definedName name="ZebreTries">[1]ZEB!$B$49</definedName>
    <definedName name="Zhvaniawaspts">WAS!$F$43</definedName>
    <definedName name="Zhvaniawastries">WAS!$B$43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9" i="14" l="1"/>
  <c r="F69" i="14"/>
  <c r="B69" i="14"/>
  <c r="C69" i="14"/>
  <c r="F67" i="14"/>
  <c r="C65" i="14"/>
  <c r="F54" i="14"/>
  <c r="C52" i="14"/>
  <c r="F49" i="14"/>
  <c r="C47" i="14"/>
  <c r="F40" i="14"/>
  <c r="C68" i="14"/>
  <c r="F66" i="14"/>
  <c r="C64" i="14"/>
  <c r="F48" i="14"/>
  <c r="C46" i="14"/>
  <c r="F65" i="14"/>
  <c r="C63" i="14"/>
  <c r="F42" i="14"/>
  <c r="C40" i="14"/>
  <c r="F64" i="14"/>
  <c r="C62" i="14"/>
  <c r="F63" i="14"/>
  <c r="C61" i="14"/>
  <c r="F62" i="14"/>
  <c r="C60" i="14"/>
  <c r="F57" i="14"/>
  <c r="C55" i="14"/>
  <c r="F61" i="14"/>
  <c r="C59" i="14"/>
  <c r="F56" i="14"/>
  <c r="C54" i="14"/>
  <c r="F43" i="14"/>
  <c r="C45" i="14"/>
  <c r="F53" i="14"/>
  <c r="C51" i="14"/>
  <c r="F52" i="14"/>
  <c r="C50" i="14"/>
  <c r="F60" i="14"/>
  <c r="C58" i="14"/>
  <c r="F41" i="14"/>
  <c r="C39" i="14"/>
  <c r="F39" i="14"/>
  <c r="C38" i="14"/>
  <c r="F51" i="14"/>
  <c r="C49" i="14"/>
  <c r="F47" i="14"/>
  <c r="C44" i="14"/>
  <c r="F59" i="14"/>
  <c r="C57" i="14"/>
  <c r="F68" i="14"/>
  <c r="C67" i="14"/>
  <c r="F45" i="14"/>
  <c r="C42" i="14"/>
  <c r="F38" i="14"/>
  <c r="C66" i="14"/>
  <c r="F44" i="14"/>
  <c r="C41" i="14"/>
  <c r="F46" i="14"/>
  <c r="C43" i="14"/>
  <c r="F55" i="14"/>
  <c r="C53" i="14"/>
  <c r="F50" i="14"/>
  <c r="C48" i="14"/>
  <c r="F58" i="14"/>
  <c r="C56" i="14"/>
  <c r="M6" i="14"/>
  <c r="M4" i="14"/>
  <c r="F29" i="14"/>
  <c r="C29" i="14"/>
  <c r="F20" i="14"/>
  <c r="C20" i="14"/>
  <c r="J5" i="14"/>
  <c r="F23" i="14"/>
  <c r="C23" i="14"/>
  <c r="F15" i="14"/>
  <c r="C15" i="14"/>
  <c r="J4" i="14"/>
  <c r="F26" i="14"/>
  <c r="C26" i="14"/>
  <c r="F33" i="14"/>
  <c r="C33" i="14"/>
  <c r="F21" i="14"/>
  <c r="C21" i="14"/>
  <c r="F25" i="14"/>
  <c r="C25" i="14"/>
  <c r="E34" i="14"/>
  <c r="F34" i="14"/>
  <c r="B34" i="14"/>
  <c r="C34" i="14"/>
  <c r="F32" i="14"/>
  <c r="C32" i="14"/>
  <c r="F31" i="14"/>
  <c r="C31" i="14"/>
  <c r="F30" i="14"/>
  <c r="C30" i="14"/>
  <c r="F28" i="14"/>
  <c r="C28" i="14"/>
  <c r="F27" i="14"/>
  <c r="C27" i="14"/>
  <c r="F24" i="14"/>
  <c r="C24" i="14"/>
  <c r="F22" i="14"/>
  <c r="C22" i="14"/>
  <c r="F19" i="14"/>
  <c r="C19" i="14"/>
  <c r="F18" i="14"/>
  <c r="C18" i="14"/>
  <c r="F17" i="14"/>
  <c r="C17" i="14"/>
  <c r="F16" i="14"/>
  <c r="C16" i="14"/>
  <c r="F14" i="14"/>
  <c r="C14" i="14"/>
  <c r="F13" i="14"/>
  <c r="C13" i="14"/>
  <c r="F12" i="14"/>
  <c r="C12" i="14"/>
  <c r="F11" i="14"/>
  <c r="C11" i="14"/>
  <c r="F10" i="14"/>
  <c r="C10" i="14"/>
  <c r="F9" i="14"/>
  <c r="C9" i="14"/>
  <c r="F8" i="14"/>
  <c r="C8" i="14"/>
  <c r="F7" i="14"/>
  <c r="C7" i="14"/>
  <c r="F6" i="14"/>
  <c r="C6" i="14"/>
  <c r="F5" i="14"/>
  <c r="C5" i="14"/>
  <c r="F4" i="14"/>
  <c r="C4" i="14"/>
  <c r="J6" i="14"/>
  <c r="F3" i="14"/>
  <c r="C3" i="14"/>
  <c r="Q9" i="4"/>
  <c r="G87" i="4"/>
  <c r="H87" i="4"/>
  <c r="I87" i="4"/>
  <c r="J87" i="4"/>
  <c r="B87" i="4"/>
  <c r="C87" i="4"/>
  <c r="D87" i="4"/>
  <c r="E87" i="4"/>
  <c r="J86" i="4"/>
  <c r="E86" i="4"/>
  <c r="J85" i="4"/>
  <c r="E85" i="4"/>
  <c r="J74" i="4"/>
  <c r="E84" i="4"/>
  <c r="J84" i="4"/>
  <c r="E83" i="4"/>
  <c r="J65" i="4"/>
  <c r="E63" i="4"/>
  <c r="J47" i="4"/>
  <c r="E51" i="4"/>
  <c r="J54" i="4"/>
  <c r="E56" i="4"/>
  <c r="J55" i="4"/>
  <c r="E54" i="4"/>
  <c r="J64" i="4"/>
  <c r="E62" i="4"/>
  <c r="J73" i="4"/>
  <c r="E73" i="4"/>
  <c r="J83" i="4"/>
  <c r="E82" i="4"/>
  <c r="J50" i="4"/>
  <c r="E49" i="4"/>
  <c r="J53" i="4"/>
  <c r="E53" i="4"/>
  <c r="J67" i="4"/>
  <c r="E66" i="4"/>
  <c r="J63" i="4"/>
  <c r="E61" i="4"/>
  <c r="J72" i="4"/>
  <c r="E72" i="4"/>
  <c r="J82" i="4"/>
  <c r="E81" i="4"/>
  <c r="J62" i="4"/>
  <c r="E65" i="4"/>
  <c r="J61" i="4"/>
  <c r="E60" i="4"/>
  <c r="J81" i="4"/>
  <c r="E80" i="4"/>
  <c r="J80" i="4"/>
  <c r="E79" i="4"/>
  <c r="J60" i="4"/>
  <c r="E59" i="4"/>
  <c r="J57" i="4"/>
  <c r="E71" i="4"/>
  <c r="J51" i="4"/>
  <c r="E50" i="4"/>
  <c r="J71" i="4"/>
  <c r="E70" i="4"/>
  <c r="J59" i="4"/>
  <c r="E58" i="4"/>
  <c r="J58" i="4"/>
  <c r="E57" i="4"/>
  <c r="J70" i="4"/>
  <c r="E69" i="4"/>
  <c r="J79" i="4"/>
  <c r="E78" i="4"/>
  <c r="J68" i="4"/>
  <c r="E68" i="4"/>
  <c r="J56" i="4"/>
  <c r="E55" i="4"/>
  <c r="J49" i="4"/>
  <c r="E48" i="4"/>
  <c r="J78" i="4"/>
  <c r="E77" i="4"/>
  <c r="J77" i="4"/>
  <c r="E76" i="4"/>
  <c r="J66" i="4"/>
  <c r="E64" i="4"/>
  <c r="J76" i="4"/>
  <c r="E75" i="4"/>
  <c r="J48" i="4"/>
  <c r="E47" i="4"/>
  <c r="J75" i="4"/>
  <c r="E74" i="4"/>
  <c r="J52" i="4"/>
  <c r="E52" i="4"/>
  <c r="J69" i="4"/>
  <c r="E67" i="4"/>
  <c r="H76" i="2"/>
  <c r="H85" i="2"/>
  <c r="H77" i="2"/>
  <c r="H72" i="2"/>
  <c r="H73" i="2"/>
  <c r="H66" i="2"/>
  <c r="H58" i="2"/>
  <c r="H57" i="2"/>
  <c r="H78" i="2"/>
  <c r="H61" i="2"/>
  <c r="H79" i="2"/>
  <c r="H86" i="2"/>
  <c r="H80" i="2"/>
  <c r="H62" i="2"/>
  <c r="H87" i="2"/>
  <c r="H81" i="2"/>
  <c r="H59" i="2"/>
  <c r="H88" i="2"/>
  <c r="H89" i="2"/>
  <c r="H90" i="2"/>
  <c r="H91" i="2"/>
  <c r="H82" i="2"/>
  <c r="H83" i="2"/>
  <c r="H92" i="2"/>
  <c r="H93" i="2"/>
  <c r="H74" i="2"/>
  <c r="H56" i="2"/>
  <c r="H71" i="2"/>
  <c r="H94" i="2"/>
  <c r="H95" i="2"/>
  <c r="H54" i="2"/>
  <c r="H55" i="2"/>
  <c r="H65" i="2"/>
  <c r="H60" i="2"/>
  <c r="H67" i="2"/>
  <c r="H96" i="2"/>
  <c r="H97" i="2"/>
  <c r="H98" i="2"/>
  <c r="H63" i="2"/>
  <c r="H64" i="2"/>
  <c r="H84" i="2"/>
  <c r="H68" i="2"/>
  <c r="H75" i="2"/>
  <c r="H99" i="2"/>
  <c r="H69" i="2"/>
  <c r="H100" i="2"/>
  <c r="H70" i="2"/>
  <c r="H101" i="2"/>
  <c r="G101" i="2"/>
  <c r="F101" i="2"/>
  <c r="D76" i="2"/>
  <c r="D84" i="2"/>
  <c r="D77" i="2"/>
  <c r="D70" i="2"/>
  <c r="D71" i="2"/>
  <c r="D64" i="2"/>
  <c r="D57" i="2"/>
  <c r="D56" i="2"/>
  <c r="D78" i="2"/>
  <c r="D60" i="2"/>
  <c r="D79" i="2"/>
  <c r="D85" i="2"/>
  <c r="D80" i="2"/>
  <c r="D61" i="2"/>
  <c r="D86" i="2"/>
  <c r="D81" i="2"/>
  <c r="D58" i="2"/>
  <c r="D87" i="2"/>
  <c r="D88" i="2"/>
  <c r="D89" i="2"/>
  <c r="D90" i="2"/>
  <c r="D82" i="2"/>
  <c r="D83" i="2"/>
  <c r="D91" i="2"/>
  <c r="D92" i="2"/>
  <c r="D72" i="2"/>
  <c r="D55" i="2"/>
  <c r="D73" i="2"/>
  <c r="D93" i="2"/>
  <c r="D94" i="2"/>
  <c r="D65" i="2"/>
  <c r="D54" i="2"/>
  <c r="D74" i="2"/>
  <c r="D59" i="2"/>
  <c r="D66" i="2"/>
  <c r="D95" i="2"/>
  <c r="D96" i="2"/>
  <c r="D97" i="2"/>
  <c r="D62" i="2"/>
  <c r="D63" i="2"/>
  <c r="D98" i="2"/>
  <c r="D67" i="2"/>
  <c r="D75" i="2"/>
  <c r="D99" i="2"/>
  <c r="D68" i="2"/>
  <c r="D100" i="2"/>
  <c r="D69" i="2"/>
  <c r="D101" i="2"/>
  <c r="C101" i="2"/>
  <c r="B101" i="2"/>
  <c r="H71" i="6"/>
  <c r="H83" i="6"/>
  <c r="H84" i="6"/>
  <c r="H74" i="6"/>
  <c r="H85" i="6"/>
  <c r="H67" i="6"/>
  <c r="H56" i="6"/>
  <c r="H75" i="6"/>
  <c r="H86" i="6"/>
  <c r="H87" i="6"/>
  <c r="H88" i="6"/>
  <c r="H60" i="6"/>
  <c r="H64" i="6"/>
  <c r="H89" i="6"/>
  <c r="H76" i="6"/>
  <c r="H90" i="6"/>
  <c r="H72" i="6"/>
  <c r="H77" i="6"/>
  <c r="H68" i="6"/>
  <c r="H78" i="6"/>
  <c r="H79" i="6"/>
  <c r="H91" i="6"/>
  <c r="H92" i="6"/>
  <c r="H54" i="6"/>
  <c r="H80" i="6"/>
  <c r="H55" i="6"/>
  <c r="H93" i="6"/>
  <c r="H61" i="6"/>
  <c r="H57" i="6"/>
  <c r="H58" i="6"/>
  <c r="H59" i="6"/>
  <c r="H94" i="6"/>
  <c r="H65" i="6"/>
  <c r="H69" i="6"/>
  <c r="H95" i="6"/>
  <c r="H70" i="6"/>
  <c r="H62" i="6"/>
  <c r="H63" i="6"/>
  <c r="H53" i="6"/>
  <c r="H81" i="6"/>
  <c r="H96" i="6"/>
  <c r="H82" i="6"/>
  <c r="H97" i="6"/>
  <c r="H66" i="6"/>
  <c r="H73" i="6"/>
  <c r="H98" i="6"/>
  <c r="H99" i="6"/>
  <c r="G99" i="6"/>
  <c r="F99" i="6"/>
  <c r="D68" i="6"/>
  <c r="D80" i="6"/>
  <c r="D81" i="6"/>
  <c r="D71" i="6"/>
  <c r="D82" i="6"/>
  <c r="D83" i="6"/>
  <c r="D54" i="6"/>
  <c r="D72" i="6"/>
  <c r="D84" i="6"/>
  <c r="D85" i="6"/>
  <c r="D86" i="6"/>
  <c r="D57" i="6"/>
  <c r="D87" i="6"/>
  <c r="D88" i="6"/>
  <c r="D73" i="6"/>
  <c r="D89" i="6"/>
  <c r="D69" i="6"/>
  <c r="D74" i="6"/>
  <c r="D64" i="6"/>
  <c r="D75" i="6"/>
  <c r="D76" i="6"/>
  <c r="D90" i="6"/>
  <c r="D91" i="6"/>
  <c r="D65" i="6"/>
  <c r="D77" i="6"/>
  <c r="D53" i="6"/>
  <c r="D92" i="6"/>
  <c r="D58" i="6"/>
  <c r="D55" i="6"/>
  <c r="D56" i="6"/>
  <c r="D61" i="6"/>
  <c r="D93" i="6"/>
  <c r="D62" i="6"/>
  <c r="D66" i="6"/>
  <c r="D94" i="6"/>
  <c r="D67" i="6"/>
  <c r="D59" i="6"/>
  <c r="D60" i="6"/>
  <c r="D95" i="6"/>
  <c r="D78" i="6"/>
  <c r="D96" i="6"/>
  <c r="D79" i="6"/>
  <c r="D97" i="6"/>
  <c r="D63" i="6"/>
  <c r="D70" i="6"/>
  <c r="D98" i="6"/>
  <c r="D99" i="6"/>
  <c r="C99" i="6"/>
  <c r="B99" i="6"/>
  <c r="O10" i="10"/>
  <c r="O6" i="10"/>
  <c r="H57" i="10"/>
  <c r="H74" i="10"/>
  <c r="H75" i="10"/>
  <c r="H76" i="10"/>
  <c r="H77" i="10"/>
  <c r="H78" i="10"/>
  <c r="H58" i="10"/>
  <c r="H59" i="10"/>
  <c r="H52" i="10"/>
  <c r="H60" i="10"/>
  <c r="H66" i="10"/>
  <c r="H48" i="10"/>
  <c r="H67" i="10"/>
  <c r="H54" i="10"/>
  <c r="H79" i="10"/>
  <c r="H68" i="10"/>
  <c r="H61" i="10"/>
  <c r="H80" i="10"/>
  <c r="H55" i="10"/>
  <c r="H47" i="10"/>
  <c r="H49" i="10"/>
  <c r="H81" i="10"/>
  <c r="H62" i="10"/>
  <c r="H69" i="10"/>
  <c r="H82" i="10"/>
  <c r="H70" i="10"/>
  <c r="H83" i="10"/>
  <c r="H71" i="10"/>
  <c r="H56" i="10"/>
  <c r="H63" i="10"/>
  <c r="H84" i="10"/>
  <c r="H64" i="10"/>
  <c r="H72" i="10"/>
  <c r="H85" i="10"/>
  <c r="H53" i="10"/>
  <c r="H51" i="10"/>
  <c r="H65" i="10"/>
  <c r="H73" i="10"/>
  <c r="H86" i="10"/>
  <c r="H50" i="10"/>
  <c r="H87" i="10"/>
  <c r="G87" i="10"/>
  <c r="F87" i="10"/>
  <c r="D55" i="10"/>
  <c r="D73" i="10"/>
  <c r="D74" i="10"/>
  <c r="D75" i="10"/>
  <c r="D76" i="10"/>
  <c r="D77" i="10"/>
  <c r="D56" i="10"/>
  <c r="D58" i="10"/>
  <c r="D50" i="10"/>
  <c r="D59" i="10"/>
  <c r="D66" i="10"/>
  <c r="D60" i="10"/>
  <c r="D67" i="10"/>
  <c r="D52" i="10"/>
  <c r="D78" i="10"/>
  <c r="D68" i="10"/>
  <c r="D61" i="10"/>
  <c r="D79" i="10"/>
  <c r="D53" i="10"/>
  <c r="D57" i="10"/>
  <c r="D47" i="10"/>
  <c r="D80" i="10"/>
  <c r="D62" i="10"/>
  <c r="D69" i="10"/>
  <c r="D81" i="10"/>
  <c r="D70" i="10"/>
  <c r="D82" i="10"/>
  <c r="D71" i="10"/>
  <c r="D54" i="10"/>
  <c r="D63" i="10"/>
  <c r="D83" i="10"/>
  <c r="D64" i="10"/>
  <c r="D72" i="10"/>
  <c r="D84" i="10"/>
  <c r="D51" i="10"/>
  <c r="D49" i="10"/>
  <c r="D65" i="10"/>
  <c r="D85" i="10"/>
  <c r="D86" i="10"/>
  <c r="D48" i="10"/>
  <c r="D87" i="10"/>
  <c r="C87" i="10"/>
  <c r="B87" i="10"/>
  <c r="Q8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  <c r="F99" i="5"/>
  <c r="G99" i="5"/>
  <c r="H99" i="5"/>
  <c r="B99" i="5"/>
  <c r="C99" i="5"/>
  <c r="D99" i="5"/>
  <c r="H60" i="5"/>
  <c r="D57" i="5"/>
  <c r="H84" i="5"/>
  <c r="D81" i="5"/>
  <c r="H98" i="5"/>
  <c r="D98" i="5"/>
  <c r="H97" i="5"/>
  <c r="D97" i="5"/>
  <c r="H83" i="5"/>
  <c r="D80" i="5"/>
  <c r="H56" i="5"/>
  <c r="D53" i="5"/>
  <c r="H96" i="5"/>
  <c r="D96" i="5"/>
  <c r="H64" i="5"/>
  <c r="D59" i="5"/>
  <c r="H95" i="5"/>
  <c r="D95" i="5"/>
  <c r="H77" i="5"/>
  <c r="D73" i="5"/>
  <c r="H76" i="5"/>
  <c r="D72" i="5"/>
  <c r="H94" i="5"/>
  <c r="D94" i="5"/>
  <c r="H93" i="5"/>
  <c r="D93" i="5"/>
  <c r="H82" i="5"/>
  <c r="D79" i="5"/>
  <c r="H92" i="5"/>
  <c r="D92" i="5"/>
  <c r="H68" i="5"/>
  <c r="D64" i="5"/>
  <c r="H67" i="5"/>
  <c r="D63" i="5"/>
  <c r="H62" i="5"/>
  <c r="D62" i="5"/>
  <c r="H75" i="5"/>
  <c r="D71" i="5"/>
  <c r="H74" i="5"/>
  <c r="D70" i="5"/>
  <c r="H91" i="5"/>
  <c r="D91" i="5"/>
  <c r="H63" i="5"/>
  <c r="D58" i="5"/>
  <c r="H66" i="5"/>
  <c r="D61" i="5"/>
  <c r="H59" i="5"/>
  <c r="D56" i="5"/>
  <c r="H73" i="5"/>
  <c r="D69" i="5"/>
  <c r="H55" i="5"/>
  <c r="D90" i="5"/>
  <c r="H81" i="5"/>
  <c r="D78" i="5"/>
  <c r="H65" i="5"/>
  <c r="D60" i="5"/>
  <c r="H90" i="5"/>
  <c r="D89" i="5"/>
  <c r="H89" i="5"/>
  <c r="D88" i="5"/>
  <c r="H72" i="5"/>
  <c r="D68" i="5"/>
  <c r="H71" i="5"/>
  <c r="D67" i="5"/>
  <c r="H88" i="5"/>
  <c r="D87" i="5"/>
  <c r="H53" i="5"/>
  <c r="D77" i="5"/>
  <c r="H70" i="5"/>
  <c r="D66" i="5"/>
  <c r="H80" i="5"/>
  <c r="D76" i="5"/>
  <c r="H87" i="5"/>
  <c r="D86" i="5"/>
  <c r="H58" i="5"/>
  <c r="D55" i="5"/>
  <c r="H54" i="5"/>
  <c r="D85" i="5"/>
  <c r="H86" i="5"/>
  <c r="D84" i="5"/>
  <c r="H61" i="5"/>
  <c r="D83" i="5"/>
  <c r="H79" i="5"/>
  <c r="D75" i="5"/>
  <c r="H57" i="5"/>
  <c r="D54" i="5"/>
  <c r="H78" i="5"/>
  <c r="D74" i="5"/>
  <c r="H69" i="5"/>
  <c r="D65" i="5"/>
  <c r="H85" i="5"/>
  <c r="D82" i="5"/>
  <c r="F89" i="7"/>
  <c r="G89" i="7"/>
  <c r="H89" i="7"/>
  <c r="B89" i="7"/>
  <c r="C89" i="7"/>
  <c r="D89" i="7"/>
  <c r="H88" i="7"/>
  <c r="D88" i="7"/>
  <c r="H57" i="7"/>
  <c r="D54" i="7"/>
  <c r="H87" i="7"/>
  <c r="D87" i="7"/>
  <c r="H53" i="7"/>
  <c r="D50" i="7"/>
  <c r="H68" i="7"/>
  <c r="D65" i="7"/>
  <c r="H67" i="7"/>
  <c r="D64" i="7"/>
  <c r="H74" i="7"/>
  <c r="D73" i="7"/>
  <c r="H86" i="7"/>
  <c r="D86" i="7"/>
  <c r="H61" i="7"/>
  <c r="D57" i="7"/>
  <c r="H48" i="7"/>
  <c r="D72" i="7"/>
  <c r="H66" i="7"/>
  <c r="D63" i="7"/>
  <c r="H85" i="7"/>
  <c r="D85" i="7"/>
  <c r="H51" i="7"/>
  <c r="D71" i="7"/>
  <c r="H84" i="7"/>
  <c r="D84" i="7"/>
  <c r="H56" i="7"/>
  <c r="D53" i="7"/>
  <c r="H73" i="7"/>
  <c r="D70" i="7"/>
  <c r="H60" i="7"/>
  <c r="D56" i="7"/>
  <c r="H83" i="7"/>
  <c r="D83" i="7"/>
  <c r="H69" i="7"/>
  <c r="D69" i="7"/>
  <c r="H82" i="7"/>
  <c r="D82" i="7"/>
  <c r="H81" i="7"/>
  <c r="D81" i="7"/>
  <c r="H52" i="7"/>
  <c r="D49" i="7"/>
  <c r="H80" i="7"/>
  <c r="D80" i="7"/>
  <c r="H65" i="7"/>
  <c r="D62" i="7"/>
  <c r="H64" i="7"/>
  <c r="D61" i="7"/>
  <c r="H63" i="7"/>
  <c r="D60" i="7"/>
  <c r="H79" i="7"/>
  <c r="D79" i="7"/>
  <c r="H72" i="7"/>
  <c r="D68" i="7"/>
  <c r="H71" i="7"/>
  <c r="D67" i="7"/>
  <c r="H49" i="7"/>
  <c r="D78" i="7"/>
  <c r="H55" i="7"/>
  <c r="D52" i="7"/>
  <c r="H62" i="7"/>
  <c r="D59" i="7"/>
  <c r="H70" i="7"/>
  <c r="D66" i="7"/>
  <c r="H78" i="7"/>
  <c r="D77" i="7"/>
  <c r="H54" i="7"/>
  <c r="D51" i="7"/>
  <c r="H77" i="7"/>
  <c r="D76" i="7"/>
  <c r="H76" i="7"/>
  <c r="D75" i="7"/>
  <c r="H50" i="7"/>
  <c r="D48" i="7"/>
  <c r="H59" i="7"/>
  <c r="D55" i="7"/>
  <c r="H58" i="7"/>
  <c r="D58" i="7"/>
  <c r="H75" i="7"/>
  <c r="D74" i="7"/>
  <c r="O7" i="11"/>
  <c r="H76" i="11"/>
  <c r="H64" i="11"/>
  <c r="H65" i="11"/>
  <c r="H66" i="11"/>
  <c r="H77" i="11"/>
  <c r="H57" i="11"/>
  <c r="H78" i="11"/>
  <c r="H48" i="11"/>
  <c r="H67" i="11"/>
  <c r="H61" i="11"/>
  <c r="H79" i="11"/>
  <c r="H80" i="11"/>
  <c r="H52" i="11"/>
  <c r="H62" i="11"/>
  <c r="H58" i="11"/>
  <c r="H81" i="11"/>
  <c r="H49" i="11"/>
  <c r="H82" i="11"/>
  <c r="H83" i="11"/>
  <c r="H68" i="11"/>
  <c r="H50" i="11"/>
  <c r="H69" i="11"/>
  <c r="H70" i="11"/>
  <c r="H71" i="11"/>
  <c r="H84" i="11"/>
  <c r="H60" i="11"/>
  <c r="H59" i="11"/>
  <c r="H85" i="11"/>
  <c r="H51" i="11"/>
  <c r="H53" i="11"/>
  <c r="H72" i="11"/>
  <c r="H54" i="11"/>
  <c r="H55" i="11"/>
  <c r="H86" i="11"/>
  <c r="H87" i="11"/>
  <c r="H63" i="11"/>
  <c r="H88" i="11"/>
  <c r="H56" i="11"/>
  <c r="H73" i="11"/>
  <c r="H74" i="11"/>
  <c r="H75" i="11"/>
  <c r="H89" i="11"/>
  <c r="G89" i="11"/>
  <c r="F89" i="11"/>
  <c r="D74" i="11"/>
  <c r="D61" i="11"/>
  <c r="D62" i="11"/>
  <c r="D63" i="11"/>
  <c r="D75" i="11"/>
  <c r="D54" i="11"/>
  <c r="D76" i="11"/>
  <c r="D77" i="11"/>
  <c r="D64" i="11"/>
  <c r="D57" i="11"/>
  <c r="D78" i="11"/>
  <c r="D79" i="11"/>
  <c r="D65" i="11"/>
  <c r="D58" i="11"/>
  <c r="D55" i="11"/>
  <c r="D80" i="11"/>
  <c r="D81" i="11"/>
  <c r="D82" i="11"/>
  <c r="D83" i="11"/>
  <c r="D66" i="11"/>
  <c r="D48" i="11"/>
  <c r="D67" i="11"/>
  <c r="D68" i="11"/>
  <c r="D69" i="11"/>
  <c r="D84" i="11"/>
  <c r="D59" i="11"/>
  <c r="D56" i="11"/>
  <c r="D85" i="11"/>
  <c r="D49" i="11"/>
  <c r="D50" i="11"/>
  <c r="D70" i="11"/>
  <c r="D51" i="11"/>
  <c r="D52" i="11"/>
  <c r="D86" i="11"/>
  <c r="D87" i="11"/>
  <c r="D60" i="11"/>
  <c r="D88" i="11"/>
  <c r="D53" i="11"/>
  <c r="D71" i="11"/>
  <c r="D72" i="11"/>
  <c r="D73" i="11"/>
  <c r="D89" i="11"/>
  <c r="C89" i="11"/>
  <c r="B89" i="11"/>
  <c r="N10" i="4"/>
  <c r="Q4" i="4"/>
  <c r="F247" i="13"/>
  <c r="C221" i="13"/>
  <c r="J18" i="4"/>
  <c r="E18" i="4"/>
  <c r="G82" i="9"/>
  <c r="H82" i="9"/>
  <c r="I82" i="9"/>
  <c r="J82" i="9"/>
  <c r="B82" i="9"/>
  <c r="C82" i="9"/>
  <c r="D82" i="9"/>
  <c r="E82" i="9"/>
  <c r="J67" i="9"/>
  <c r="E66" i="9"/>
  <c r="J81" i="9"/>
  <c r="E81" i="9"/>
  <c r="J80" i="9"/>
  <c r="E80" i="9"/>
  <c r="J79" i="9"/>
  <c r="E79" i="9"/>
  <c r="J66" i="9"/>
  <c r="E65" i="9"/>
  <c r="J46" i="9"/>
  <c r="E44" i="9"/>
  <c r="J58" i="9"/>
  <c r="E56" i="9"/>
  <c r="J78" i="9"/>
  <c r="E78" i="9"/>
  <c r="J77" i="9"/>
  <c r="E77" i="9"/>
  <c r="J51" i="9"/>
  <c r="E55" i="9"/>
  <c r="J76" i="9"/>
  <c r="E76" i="9"/>
  <c r="J75" i="9"/>
  <c r="E75" i="9"/>
  <c r="J50" i="9"/>
  <c r="E47" i="9"/>
  <c r="J74" i="9"/>
  <c r="E74" i="9"/>
  <c r="J49" i="9"/>
  <c r="E46" i="9"/>
  <c r="J57" i="9"/>
  <c r="E54" i="9"/>
  <c r="J73" i="9"/>
  <c r="E73" i="9"/>
  <c r="J65" i="9"/>
  <c r="E72" i="9"/>
  <c r="J63" i="9"/>
  <c r="E61" i="9"/>
  <c r="J72" i="9"/>
  <c r="E71" i="9"/>
  <c r="J53" i="9"/>
  <c r="E50" i="9"/>
  <c r="J56" i="9"/>
  <c r="E53" i="9"/>
  <c r="J48" i="9"/>
  <c r="E45" i="9"/>
  <c r="J64" i="9"/>
  <c r="E64" i="9"/>
  <c r="J62" i="9"/>
  <c r="E60" i="9"/>
  <c r="J61" i="9"/>
  <c r="E59" i="9"/>
  <c r="J44" i="9"/>
  <c r="E63" i="9"/>
  <c r="J71" i="9"/>
  <c r="E70" i="9"/>
  <c r="J60" i="9"/>
  <c r="E58" i="9"/>
  <c r="J55" i="9"/>
  <c r="E52" i="9"/>
  <c r="J70" i="9"/>
  <c r="E69" i="9"/>
  <c r="J47" i="9"/>
  <c r="E49" i="9"/>
  <c r="J69" i="9"/>
  <c r="E68" i="9"/>
  <c r="J59" i="9"/>
  <c r="E57" i="9"/>
  <c r="J54" i="9"/>
  <c r="E51" i="9"/>
  <c r="J68" i="9"/>
  <c r="E67" i="9"/>
  <c r="J45" i="9"/>
  <c r="E62" i="9"/>
  <c r="J52" i="9"/>
  <c r="E48" i="9"/>
  <c r="Q6" i="1"/>
  <c r="G95" i="1"/>
  <c r="H95" i="1"/>
  <c r="I95" i="1"/>
  <c r="J95" i="1"/>
  <c r="B95" i="1"/>
  <c r="C95" i="1"/>
  <c r="D95" i="1"/>
  <c r="E95" i="1"/>
  <c r="J76" i="1"/>
  <c r="E75" i="1"/>
  <c r="J94" i="1"/>
  <c r="E94" i="1"/>
  <c r="J59" i="1"/>
  <c r="E57" i="1"/>
  <c r="J71" i="1"/>
  <c r="E70" i="1"/>
  <c r="J93" i="1"/>
  <c r="E93" i="1"/>
  <c r="J62" i="1"/>
  <c r="E61" i="1"/>
  <c r="J75" i="1"/>
  <c r="E74" i="1"/>
  <c r="J58" i="1"/>
  <c r="E56" i="1"/>
  <c r="J70" i="1"/>
  <c r="E69" i="1"/>
  <c r="J92" i="1"/>
  <c r="E92" i="1"/>
  <c r="J52" i="1"/>
  <c r="E60" i="1"/>
  <c r="J77" i="1"/>
  <c r="E91" i="1"/>
  <c r="J74" i="1"/>
  <c r="E73" i="1"/>
  <c r="J69" i="1"/>
  <c r="E68" i="1"/>
  <c r="J61" i="1"/>
  <c r="E59" i="1"/>
  <c r="J51" i="1"/>
  <c r="E67" i="1"/>
  <c r="J91" i="1"/>
  <c r="E90" i="1"/>
  <c r="J60" i="1"/>
  <c r="E58" i="1"/>
  <c r="J54" i="1"/>
  <c r="E52" i="1"/>
  <c r="J55" i="1"/>
  <c r="E53" i="1"/>
  <c r="J56" i="1"/>
  <c r="E54" i="1"/>
  <c r="J68" i="1"/>
  <c r="E66" i="1"/>
  <c r="J73" i="1"/>
  <c r="E72" i="1"/>
  <c r="J90" i="1"/>
  <c r="E89" i="1"/>
  <c r="J89" i="1"/>
  <c r="E88" i="1"/>
  <c r="J88" i="1"/>
  <c r="E87" i="1"/>
  <c r="J87" i="1"/>
  <c r="E86" i="1"/>
  <c r="J86" i="1"/>
  <c r="E85" i="1"/>
  <c r="J67" i="1"/>
  <c r="E65" i="1"/>
  <c r="J85" i="1"/>
  <c r="E84" i="1"/>
  <c r="J84" i="1"/>
  <c r="E83" i="1"/>
  <c r="J66" i="1"/>
  <c r="E64" i="1"/>
  <c r="J53" i="1"/>
  <c r="E51" i="1"/>
  <c r="J83" i="1"/>
  <c r="E82" i="1"/>
  <c r="J65" i="1"/>
  <c r="E63" i="1"/>
  <c r="J82" i="1"/>
  <c r="E81" i="1"/>
  <c r="J64" i="1"/>
  <c r="E62" i="1"/>
  <c r="J72" i="1"/>
  <c r="E71" i="1"/>
  <c r="J81" i="1"/>
  <c r="E80" i="1"/>
  <c r="J80" i="1"/>
  <c r="E79" i="1"/>
  <c r="J57" i="1"/>
  <c r="E55" i="1"/>
  <c r="J79" i="1"/>
  <c r="E78" i="1"/>
  <c r="J63" i="1"/>
  <c r="E77" i="1"/>
  <c r="J78" i="1"/>
  <c r="E76" i="1"/>
  <c r="Q7" i="9"/>
  <c r="H58" i="8"/>
  <c r="H65" i="8"/>
  <c r="H56" i="8"/>
  <c r="H66" i="8"/>
  <c r="H48" i="8"/>
  <c r="H67" i="8"/>
  <c r="H68" i="8"/>
  <c r="H59" i="8"/>
  <c r="H54" i="8"/>
  <c r="H49" i="8"/>
  <c r="H55" i="8"/>
  <c r="H69" i="8"/>
  <c r="H70" i="8"/>
  <c r="H60" i="8"/>
  <c r="H43" i="8"/>
  <c r="H61" i="8"/>
  <c r="H71" i="8"/>
  <c r="H62" i="8"/>
  <c r="H72" i="8"/>
  <c r="H42" i="8"/>
  <c r="H45" i="8"/>
  <c r="H50" i="8"/>
  <c r="H51" i="8"/>
  <c r="H73" i="8"/>
  <c r="H63" i="8"/>
  <c r="H74" i="8"/>
  <c r="H75" i="8"/>
  <c r="H47" i="8"/>
  <c r="H52" i="8"/>
  <c r="H64" i="8"/>
  <c r="H44" i="8"/>
  <c r="H57" i="8"/>
  <c r="H53" i="8"/>
  <c r="H46" i="8"/>
  <c r="H76" i="8"/>
  <c r="H77" i="8"/>
  <c r="G77" i="8"/>
  <c r="F77" i="8"/>
  <c r="D64" i="8"/>
  <c r="D65" i="8"/>
  <c r="D55" i="8"/>
  <c r="D66" i="8"/>
  <c r="D47" i="8"/>
  <c r="D67" i="8"/>
  <c r="D68" i="8"/>
  <c r="D56" i="8"/>
  <c r="D53" i="8"/>
  <c r="D48" i="8"/>
  <c r="D54" i="8"/>
  <c r="D69" i="8"/>
  <c r="D70" i="8"/>
  <c r="D57" i="8"/>
  <c r="D42" i="8"/>
  <c r="D58" i="8"/>
  <c r="D71" i="8"/>
  <c r="D59" i="8"/>
  <c r="D72" i="8"/>
  <c r="D60" i="8"/>
  <c r="D44" i="8"/>
  <c r="D49" i="8"/>
  <c r="D50" i="8"/>
  <c r="D73" i="8"/>
  <c r="D61" i="8"/>
  <c r="D74" i="8"/>
  <c r="D75" i="8"/>
  <c r="D46" i="8"/>
  <c r="D51" i="8"/>
  <c r="D62" i="8"/>
  <c r="D43" i="8"/>
  <c r="D63" i="8"/>
  <c r="D52" i="8"/>
  <c r="D45" i="8"/>
  <c r="D76" i="8"/>
  <c r="D77" i="8"/>
  <c r="C77" i="8"/>
  <c r="B77" i="8"/>
  <c r="O4" i="12"/>
  <c r="F95" i="12"/>
  <c r="G95" i="12"/>
  <c r="H95" i="12"/>
  <c r="B95" i="12"/>
  <c r="C95" i="12"/>
  <c r="D95" i="12"/>
  <c r="H94" i="12"/>
  <c r="D94" i="12"/>
  <c r="H53" i="12"/>
  <c r="D74" i="12"/>
  <c r="H74" i="12"/>
  <c r="D73" i="12"/>
  <c r="H64" i="12"/>
  <c r="D63" i="12"/>
  <c r="H93" i="12"/>
  <c r="D93" i="12"/>
  <c r="H92" i="12"/>
  <c r="D92" i="12"/>
  <c r="H75" i="12"/>
  <c r="D91" i="12"/>
  <c r="H73" i="12"/>
  <c r="D72" i="12"/>
  <c r="H51" i="12"/>
  <c r="D56" i="12"/>
  <c r="H52" i="12"/>
  <c r="D62" i="12"/>
  <c r="H91" i="12"/>
  <c r="D90" i="12"/>
  <c r="H72" i="12"/>
  <c r="D71" i="12"/>
  <c r="H55" i="12"/>
  <c r="D55" i="12"/>
  <c r="H63" i="12"/>
  <c r="D61" i="12"/>
  <c r="H71" i="12"/>
  <c r="D70" i="12"/>
  <c r="H90" i="12"/>
  <c r="D89" i="12"/>
  <c r="H62" i="12"/>
  <c r="D60" i="12"/>
  <c r="H89" i="12"/>
  <c r="D88" i="12"/>
  <c r="H88" i="12"/>
  <c r="D87" i="12"/>
  <c r="H70" i="12"/>
  <c r="D69" i="12"/>
  <c r="H69" i="12"/>
  <c r="D68" i="12"/>
  <c r="H68" i="12"/>
  <c r="D67" i="12"/>
  <c r="H87" i="12"/>
  <c r="D86" i="12"/>
  <c r="H86" i="12"/>
  <c r="D85" i="12"/>
  <c r="H54" i="12"/>
  <c r="D51" i="12"/>
  <c r="H61" i="12"/>
  <c r="D59" i="12"/>
  <c r="H58" i="12"/>
  <c r="D54" i="12"/>
  <c r="H57" i="12"/>
  <c r="D53" i="12"/>
  <c r="H85" i="12"/>
  <c r="D84" i="12"/>
  <c r="H67" i="12"/>
  <c r="D66" i="12"/>
  <c r="H84" i="12"/>
  <c r="D83" i="12"/>
  <c r="H83" i="12"/>
  <c r="D82" i="12"/>
  <c r="H82" i="12"/>
  <c r="D81" i="12"/>
  <c r="H56" i="12"/>
  <c r="D52" i="12"/>
  <c r="H81" i="12"/>
  <c r="D80" i="12"/>
  <c r="H66" i="12"/>
  <c r="D65" i="12"/>
  <c r="H80" i="12"/>
  <c r="D79" i="12"/>
  <c r="H79" i="12"/>
  <c r="D78" i="12"/>
  <c r="H78" i="12"/>
  <c r="D77" i="12"/>
  <c r="H77" i="12"/>
  <c r="D76" i="12"/>
  <c r="H60" i="12"/>
  <c r="D58" i="12"/>
  <c r="H76" i="12"/>
  <c r="D75" i="12"/>
  <c r="H65" i="12"/>
  <c r="D64" i="12"/>
  <c r="H59" i="12"/>
  <c r="D57" i="12"/>
  <c r="O5" i="11"/>
  <c r="O6" i="5"/>
  <c r="N7" i="4"/>
  <c r="F208" i="13"/>
  <c r="C214" i="13"/>
  <c r="J13" i="4"/>
  <c r="E13" i="4"/>
  <c r="O5" i="12"/>
  <c r="I43" i="13"/>
  <c r="J43" i="13"/>
  <c r="K43" i="13"/>
  <c r="I45" i="13"/>
  <c r="J45" i="13"/>
  <c r="K45" i="13"/>
  <c r="I44" i="13"/>
  <c r="J44" i="13"/>
  <c r="K44" i="13"/>
  <c r="N9" i="4"/>
  <c r="P18" i="4"/>
  <c r="H62" i="3"/>
  <c r="H63" i="3"/>
  <c r="H64" i="3"/>
  <c r="H71" i="3"/>
  <c r="H84" i="3"/>
  <c r="H53" i="3"/>
  <c r="H55" i="3"/>
  <c r="H59" i="3"/>
  <c r="H72" i="3"/>
  <c r="H85" i="3"/>
  <c r="H65" i="3"/>
  <c r="H54" i="3"/>
  <c r="H86" i="3"/>
  <c r="H73" i="3"/>
  <c r="H87" i="3"/>
  <c r="H60" i="3"/>
  <c r="H74" i="3"/>
  <c r="H57" i="3"/>
  <c r="H88" i="3"/>
  <c r="H89" i="3"/>
  <c r="H75" i="3"/>
  <c r="H66" i="3"/>
  <c r="H90" i="3"/>
  <c r="H83" i="3"/>
  <c r="H76" i="3"/>
  <c r="H77" i="3"/>
  <c r="H58" i="3"/>
  <c r="H91" i="3"/>
  <c r="H92" i="3"/>
  <c r="H56" i="3"/>
  <c r="H93" i="3"/>
  <c r="H78" i="3"/>
  <c r="H94" i="3"/>
  <c r="H67" i="3"/>
  <c r="H61" i="3"/>
  <c r="H68" i="3"/>
  <c r="H79" i="3"/>
  <c r="H95" i="3"/>
  <c r="H80" i="3"/>
  <c r="H81" i="3"/>
  <c r="H52" i="3"/>
  <c r="H96" i="3"/>
  <c r="H69" i="3"/>
  <c r="H70" i="3"/>
  <c r="H82" i="3"/>
  <c r="H97" i="3"/>
  <c r="G97" i="3"/>
  <c r="F97" i="3"/>
  <c r="D59" i="3"/>
  <c r="D60" i="3"/>
  <c r="D61" i="3"/>
  <c r="D69" i="3"/>
  <c r="D83" i="3"/>
  <c r="D70" i="3"/>
  <c r="D52" i="3"/>
  <c r="D55" i="3"/>
  <c r="D71" i="3"/>
  <c r="D84" i="3"/>
  <c r="D62" i="3"/>
  <c r="D72" i="3"/>
  <c r="D85" i="3"/>
  <c r="D73" i="3"/>
  <c r="D86" i="3"/>
  <c r="D56" i="3"/>
  <c r="D74" i="3"/>
  <c r="D54" i="3"/>
  <c r="D87" i="3"/>
  <c r="D88" i="3"/>
  <c r="D75" i="3"/>
  <c r="D63" i="3"/>
  <c r="D89" i="3"/>
  <c r="D90" i="3"/>
  <c r="D76" i="3"/>
  <c r="D77" i="3"/>
  <c r="D57" i="3"/>
  <c r="D91" i="3"/>
  <c r="D92" i="3"/>
  <c r="D53" i="3"/>
  <c r="D93" i="3"/>
  <c r="D78" i="3"/>
  <c r="D94" i="3"/>
  <c r="D64" i="3"/>
  <c r="D58" i="3"/>
  <c r="D65" i="3"/>
  <c r="D79" i="3"/>
  <c r="D95" i="3"/>
  <c r="D80" i="3"/>
  <c r="D81" i="3"/>
  <c r="D66" i="3"/>
  <c r="D96" i="3"/>
  <c r="D67" i="3"/>
  <c r="D68" i="3"/>
  <c r="D82" i="3"/>
  <c r="D97" i="3"/>
  <c r="C97" i="3"/>
  <c r="B97" i="3"/>
  <c r="F281" i="13"/>
  <c r="C258" i="13"/>
  <c r="H25" i="11"/>
  <c r="D25" i="11"/>
  <c r="F241" i="13"/>
  <c r="C212" i="13"/>
  <c r="H13" i="10"/>
  <c r="D13" i="10"/>
  <c r="O8" i="6"/>
  <c r="Q11" i="1"/>
  <c r="L10" i="10"/>
  <c r="F239" i="13"/>
  <c r="C210" i="13"/>
  <c r="H15" i="10"/>
  <c r="D15" i="10"/>
  <c r="L7" i="6"/>
  <c r="O8" i="3"/>
  <c r="L5" i="10"/>
  <c r="N23" i="9"/>
  <c r="F166" i="13"/>
  <c r="C136" i="13"/>
  <c r="J21" i="4"/>
  <c r="E21" i="4"/>
  <c r="I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0" i="4"/>
  <c r="J19" i="4"/>
  <c r="J17" i="4"/>
  <c r="J16" i="4"/>
  <c r="J15" i="4"/>
  <c r="J14" i="4"/>
  <c r="J12" i="4"/>
  <c r="J11" i="4"/>
  <c r="J10" i="4"/>
  <c r="J9" i="4"/>
  <c r="J8" i="4"/>
  <c r="J7" i="4"/>
  <c r="J6" i="4"/>
  <c r="J5" i="4"/>
  <c r="J4" i="4"/>
  <c r="J3" i="4"/>
  <c r="D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0" i="4"/>
  <c r="E19" i="4"/>
  <c r="E17" i="4"/>
  <c r="E16" i="4"/>
  <c r="E15" i="4"/>
  <c r="E14" i="4"/>
  <c r="E12" i="4"/>
  <c r="E11" i="4"/>
  <c r="E10" i="4"/>
  <c r="E9" i="4"/>
  <c r="E8" i="4"/>
  <c r="E7" i="4"/>
  <c r="E6" i="4"/>
  <c r="E5" i="4"/>
  <c r="E4" i="4"/>
  <c r="E3" i="4"/>
  <c r="N23" i="4"/>
  <c r="F276" i="13"/>
  <c r="C253" i="13"/>
  <c r="H26" i="5"/>
  <c r="D26" i="5"/>
  <c r="F451" i="13"/>
  <c r="C445" i="13"/>
  <c r="H29" i="5"/>
  <c r="D29" i="5"/>
  <c r="L20" i="5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I41" i="9"/>
  <c r="D41" i="9"/>
  <c r="T24" i="9"/>
  <c r="N24" i="9"/>
  <c r="F242" i="13"/>
  <c r="C213" i="13"/>
  <c r="J15" i="1"/>
  <c r="E15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J9" i="1"/>
  <c r="J8" i="1"/>
  <c r="J7" i="1"/>
  <c r="J6" i="1"/>
  <c r="J5" i="1"/>
  <c r="J4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  <c r="E4" i="1"/>
  <c r="J3" i="1"/>
  <c r="E3" i="1"/>
  <c r="I47" i="1"/>
  <c r="D47" i="1"/>
  <c r="N23" i="1"/>
  <c r="F458" i="13"/>
  <c r="C452" i="13"/>
  <c r="H30" i="10"/>
  <c r="D30" i="10"/>
  <c r="L18" i="2"/>
  <c r="O7" i="2"/>
  <c r="L18" i="7"/>
  <c r="O8" i="7"/>
  <c r="F249" i="13"/>
  <c r="C224" i="13"/>
  <c r="H17" i="6"/>
  <c r="D17" i="6"/>
  <c r="F167" i="13"/>
  <c r="C138" i="13"/>
  <c r="H18" i="5"/>
  <c r="D18" i="5"/>
  <c r="L8" i="3"/>
  <c r="L7" i="3"/>
  <c r="L6" i="3"/>
  <c r="L4" i="3"/>
  <c r="J42" i="13"/>
  <c r="I42" i="13"/>
  <c r="L8" i="12"/>
  <c r="F313" i="13"/>
  <c r="C465" i="13"/>
  <c r="H40" i="12"/>
  <c r="D40" i="12"/>
  <c r="F142" i="13"/>
  <c r="C111" i="13"/>
  <c r="H6" i="12"/>
  <c r="D6" i="12"/>
  <c r="J32" i="13"/>
  <c r="I32" i="13"/>
  <c r="N5" i="1"/>
  <c r="F137" i="13"/>
  <c r="C306" i="13"/>
  <c r="K42" i="13"/>
  <c r="K32" i="13"/>
  <c r="J41" i="13"/>
  <c r="I41" i="13"/>
  <c r="F181" i="13"/>
  <c r="C154" i="13"/>
  <c r="H29" i="11"/>
  <c r="D29" i="11"/>
  <c r="N8" i="4"/>
  <c r="J11" i="13"/>
  <c r="I11" i="13"/>
  <c r="F291" i="13"/>
  <c r="C275" i="13"/>
  <c r="H39" i="3"/>
  <c r="D39" i="3"/>
  <c r="F107" i="13"/>
  <c r="C78" i="13"/>
  <c r="H9" i="10"/>
  <c r="D9" i="10"/>
  <c r="K11" i="13"/>
  <c r="F228" i="13"/>
  <c r="C199" i="13"/>
  <c r="H5" i="5"/>
  <c r="D5" i="5"/>
  <c r="F244" i="13"/>
  <c r="C218" i="13"/>
  <c r="F29" i="13"/>
  <c r="C9" i="13"/>
  <c r="F187" i="13"/>
  <c r="C161" i="13"/>
  <c r="H32" i="10"/>
  <c r="D32" i="10"/>
  <c r="K41" i="13"/>
  <c r="N5" i="9"/>
  <c r="F271" i="13"/>
  <c r="C248" i="13"/>
  <c r="F195" i="13"/>
  <c r="C171" i="13"/>
  <c r="L4" i="7"/>
  <c r="L8" i="2"/>
  <c r="H22" i="5"/>
  <c r="D22" i="5"/>
  <c r="H38" i="5"/>
  <c r="D38" i="5"/>
  <c r="F108" i="13"/>
  <c r="C79" i="13"/>
  <c r="F47" i="13"/>
  <c r="C22" i="13"/>
  <c r="H9" i="3"/>
  <c r="D9" i="3"/>
  <c r="L5" i="12"/>
  <c r="F132" i="13"/>
  <c r="C106" i="13"/>
  <c r="H43" i="5"/>
  <c r="D43" i="5"/>
  <c r="F67" i="13"/>
  <c r="C39" i="13"/>
  <c r="H25" i="5"/>
  <c r="D25" i="5"/>
  <c r="N5" i="4"/>
  <c r="V10" i="1"/>
  <c r="N10" i="1"/>
  <c r="F217" i="13"/>
  <c r="C186" i="13"/>
  <c r="H4" i="12"/>
  <c r="D4" i="12"/>
  <c r="F53" i="13"/>
  <c r="C29" i="13"/>
  <c r="F109" i="13"/>
  <c r="C80" i="13"/>
  <c r="B50" i="2"/>
  <c r="H41" i="9"/>
  <c r="G41" i="9"/>
  <c r="J41" i="9"/>
  <c r="C41" i="9"/>
  <c r="B41" i="9"/>
  <c r="E41" i="9"/>
  <c r="F78" i="13"/>
  <c r="C47" i="13"/>
  <c r="L6" i="5"/>
  <c r="C241" i="13"/>
  <c r="L5" i="5"/>
  <c r="F305" i="13"/>
  <c r="C292" i="13"/>
  <c r="H42" i="11"/>
  <c r="D42" i="11"/>
  <c r="N8" i="9"/>
  <c r="J37" i="13"/>
  <c r="I37" i="13"/>
  <c r="F197" i="13"/>
  <c r="C173" i="13"/>
  <c r="L7" i="7"/>
  <c r="K37" i="13"/>
  <c r="H45" i="3"/>
  <c r="D45" i="3"/>
  <c r="L8" i="6"/>
  <c r="L15" i="8"/>
  <c r="O6" i="8"/>
  <c r="F293" i="13"/>
  <c r="C278" i="13"/>
  <c r="H35" i="8"/>
  <c r="D35" i="8"/>
  <c r="L16" i="8"/>
  <c r="L14" i="8"/>
  <c r="L13" i="8"/>
  <c r="F233" i="13"/>
  <c r="C204" i="13"/>
  <c r="H7" i="8"/>
  <c r="D7" i="8"/>
  <c r="L19" i="5"/>
  <c r="F280" i="13"/>
  <c r="C257" i="13"/>
  <c r="L16" i="5"/>
  <c r="L17" i="5"/>
  <c r="L14" i="12"/>
  <c r="L15" i="11"/>
  <c r="L20" i="10"/>
  <c r="L16" i="3"/>
  <c r="N16" i="9"/>
  <c r="F114" i="13"/>
  <c r="C85" i="13"/>
  <c r="J29" i="13"/>
  <c r="I29" i="13"/>
  <c r="L14" i="7"/>
  <c r="F141" i="13"/>
  <c r="C187" i="13"/>
  <c r="H4" i="7"/>
  <c r="D4" i="7"/>
  <c r="K29" i="13"/>
  <c r="N15" i="4"/>
  <c r="L17" i="2"/>
  <c r="J2" i="13"/>
  <c r="I2" i="13"/>
  <c r="L17" i="3"/>
  <c r="L14" i="3"/>
  <c r="K2" i="13"/>
  <c r="L15" i="7"/>
  <c r="L17" i="10"/>
  <c r="N17" i="1"/>
  <c r="L16" i="6"/>
  <c r="L15" i="6"/>
  <c r="N14" i="9"/>
  <c r="N4" i="9"/>
  <c r="L17" i="11"/>
  <c r="F200" i="13"/>
  <c r="C176" i="13"/>
  <c r="H40" i="11"/>
  <c r="D40" i="11"/>
  <c r="J30" i="13"/>
  <c r="I30" i="13"/>
  <c r="F311" i="13"/>
  <c r="C427" i="13"/>
  <c r="H26" i="3"/>
  <c r="D26" i="3"/>
  <c r="N6" i="1"/>
  <c r="L4" i="12"/>
  <c r="L6" i="11"/>
  <c r="F158" i="13"/>
  <c r="C128" i="13"/>
  <c r="H16" i="11"/>
  <c r="D16" i="11"/>
  <c r="L8" i="7"/>
  <c r="F240" i="13"/>
  <c r="C211" i="13"/>
  <c r="H11" i="7"/>
  <c r="D11" i="7"/>
  <c r="K30" i="13"/>
  <c r="L6" i="6"/>
  <c r="F190" i="13"/>
  <c r="C164" i="13"/>
  <c r="L6" i="8"/>
  <c r="L9" i="2"/>
  <c r="F41" i="13"/>
  <c r="C17" i="13"/>
  <c r="H22" i="7"/>
  <c r="D22" i="7"/>
  <c r="F245" i="13"/>
  <c r="C219" i="13"/>
  <c r="H16" i="3"/>
  <c r="D16" i="3"/>
  <c r="L5" i="6"/>
  <c r="L4" i="6"/>
  <c r="F165" i="13"/>
  <c r="C135" i="13"/>
  <c r="L7" i="11"/>
  <c r="L5" i="7"/>
  <c r="L7" i="12"/>
  <c r="T7" i="5"/>
  <c r="J35" i="13"/>
  <c r="I35" i="13"/>
  <c r="L4" i="5"/>
  <c r="L8" i="5"/>
  <c r="F134" i="13"/>
  <c r="C346" i="13"/>
  <c r="H8" i="5"/>
  <c r="D8" i="5"/>
  <c r="F303" i="13"/>
  <c r="C290" i="13"/>
  <c r="H44" i="5"/>
  <c r="D44" i="5"/>
  <c r="F196" i="13"/>
  <c r="C172" i="13"/>
  <c r="H39" i="5"/>
  <c r="D39" i="5"/>
  <c r="L5" i="11"/>
  <c r="N11" i="1"/>
  <c r="K35" i="13"/>
  <c r="N7" i="9"/>
  <c r="N9" i="9"/>
  <c r="L4" i="10"/>
  <c r="L6" i="10"/>
  <c r="L7" i="2"/>
  <c r="N4" i="4"/>
  <c r="J57" i="13"/>
  <c r="J56" i="13"/>
  <c r="J39" i="13"/>
  <c r="J55" i="13"/>
  <c r="J52" i="13"/>
  <c r="J50" i="13"/>
  <c r="J49" i="13"/>
  <c r="J48" i="13"/>
  <c r="J31" i="13"/>
  <c r="J46" i="13"/>
  <c r="T7" i="2"/>
  <c r="F18" i="13"/>
  <c r="C237" i="13"/>
  <c r="AC15" i="12"/>
  <c r="R15" i="12"/>
  <c r="AF7" i="12"/>
  <c r="W7" i="12"/>
  <c r="AC18" i="12"/>
  <c r="AC14" i="12"/>
  <c r="AC6" i="12"/>
  <c r="AC5" i="12"/>
  <c r="AC4" i="12"/>
  <c r="T4" i="12"/>
  <c r="O18" i="12"/>
  <c r="O14" i="12"/>
  <c r="T9" i="12"/>
  <c r="T7" i="12"/>
  <c r="T6" i="12"/>
  <c r="C273" i="13"/>
  <c r="J18" i="13"/>
  <c r="I18" i="13"/>
  <c r="U26" i="7"/>
  <c r="U23" i="7"/>
  <c r="O18" i="7"/>
  <c r="O17" i="7"/>
  <c r="O15" i="7"/>
  <c r="R16" i="7"/>
  <c r="R17" i="7"/>
  <c r="T9" i="7"/>
  <c r="T8" i="7"/>
  <c r="T7" i="7"/>
  <c r="T5" i="7"/>
  <c r="AC15" i="7"/>
  <c r="AC9" i="7"/>
  <c r="AC7" i="7"/>
  <c r="AC5" i="7"/>
  <c r="T6" i="10"/>
  <c r="AC17" i="10"/>
  <c r="AC7" i="10"/>
  <c r="AC5" i="10"/>
  <c r="AC4" i="10"/>
  <c r="O17" i="10"/>
  <c r="T5" i="10"/>
  <c r="T4" i="10"/>
  <c r="D41" i="10"/>
  <c r="H41" i="10"/>
  <c r="F484" i="13"/>
  <c r="C482" i="13"/>
  <c r="AE17" i="9"/>
  <c r="AE14" i="9"/>
  <c r="AE9" i="9"/>
  <c r="AE7" i="9"/>
  <c r="AE5" i="9"/>
  <c r="AE4" i="9"/>
  <c r="V7" i="9"/>
  <c r="Q15" i="9"/>
  <c r="Q14" i="9"/>
  <c r="V9" i="9"/>
  <c r="V5" i="9"/>
  <c r="V4" i="9"/>
  <c r="K18" i="13"/>
  <c r="AE7" i="11"/>
  <c r="AB7" i="11"/>
  <c r="W7" i="11"/>
  <c r="AQ6" i="11"/>
  <c r="AN6" i="11"/>
  <c r="AK6" i="11"/>
  <c r="AH6" i="11"/>
  <c r="AE6" i="11"/>
  <c r="AB6" i="11"/>
  <c r="W6" i="11"/>
  <c r="AN4" i="11"/>
  <c r="AK4" i="11"/>
  <c r="AH4" i="11"/>
  <c r="AE4" i="11"/>
  <c r="W4" i="11"/>
  <c r="J61" i="13"/>
  <c r="J60" i="13"/>
  <c r="I60" i="13"/>
  <c r="J23" i="13"/>
  <c r="I23" i="13"/>
  <c r="AB17" i="11"/>
  <c r="AB16" i="11"/>
  <c r="AB15" i="11"/>
  <c r="U24" i="11"/>
  <c r="U23" i="11"/>
  <c r="R26" i="11"/>
  <c r="R25" i="11"/>
  <c r="O26" i="11"/>
  <c r="O25" i="11"/>
  <c r="O24" i="11"/>
  <c r="U17" i="11"/>
  <c r="R17" i="11"/>
  <c r="AK16" i="11"/>
  <c r="AH16" i="11"/>
  <c r="AE16" i="11"/>
  <c r="U16" i="11"/>
  <c r="R16" i="11"/>
  <c r="K23" i="13"/>
  <c r="F42" i="13"/>
  <c r="C18" i="13"/>
  <c r="F211" i="13"/>
  <c r="C263" i="13"/>
  <c r="F442" i="13"/>
  <c r="C436" i="13"/>
  <c r="F273" i="13"/>
  <c r="C250" i="13"/>
  <c r="F58" i="13"/>
  <c r="C385" i="13"/>
  <c r="F45" i="13"/>
  <c r="C216" i="13"/>
  <c r="F13" i="13"/>
  <c r="C335" i="13"/>
  <c r="F321" i="13"/>
  <c r="C302" i="13"/>
  <c r="H31" i="11"/>
  <c r="H30" i="11"/>
  <c r="H28" i="11"/>
  <c r="H27" i="11"/>
  <c r="H26" i="11"/>
  <c r="H24" i="11"/>
  <c r="H23" i="11"/>
  <c r="H22" i="11"/>
  <c r="H21" i="11"/>
  <c r="H20" i="11"/>
  <c r="H19" i="11"/>
  <c r="H18" i="11"/>
  <c r="H17" i="11"/>
  <c r="H15" i="11"/>
  <c r="H14" i="11"/>
  <c r="H13" i="11"/>
  <c r="H12" i="11"/>
  <c r="H11" i="11"/>
  <c r="H10" i="11"/>
  <c r="H9" i="11"/>
  <c r="H8" i="11"/>
  <c r="H7" i="11"/>
  <c r="H6" i="11"/>
  <c r="H5" i="11"/>
  <c r="H4" i="11"/>
  <c r="D31" i="11"/>
  <c r="D30" i="11"/>
  <c r="D28" i="11"/>
  <c r="D27" i="11"/>
  <c r="D26" i="11"/>
  <c r="D24" i="11"/>
  <c r="D23" i="11"/>
  <c r="D22" i="11"/>
  <c r="D21" i="11"/>
  <c r="D20" i="11"/>
  <c r="D19" i="11"/>
  <c r="D18" i="11"/>
  <c r="D17" i="11"/>
  <c r="D15" i="11"/>
  <c r="D14" i="11"/>
  <c r="D13" i="11"/>
  <c r="D12" i="11"/>
  <c r="D11" i="11"/>
  <c r="D10" i="11"/>
  <c r="D9" i="11"/>
  <c r="D8" i="11"/>
  <c r="D7" i="11"/>
  <c r="D6" i="11"/>
  <c r="D5" i="11"/>
  <c r="D4" i="11"/>
  <c r="F299" i="13"/>
  <c r="C285" i="13"/>
  <c r="F359" i="13"/>
  <c r="C344" i="13"/>
  <c r="F310" i="13"/>
  <c r="C297" i="13"/>
  <c r="F288" i="13"/>
  <c r="F96" i="13"/>
  <c r="C271" i="13"/>
  <c r="C68" i="13"/>
  <c r="F318" i="13"/>
  <c r="C299" i="13"/>
  <c r="F302" i="13"/>
  <c r="F193" i="13"/>
  <c r="F279" i="13"/>
  <c r="F38" i="13"/>
  <c r="C289" i="13"/>
  <c r="F385" i="13"/>
  <c r="F358" i="13"/>
  <c r="C474" i="13"/>
  <c r="C168" i="13"/>
  <c r="C256" i="13"/>
  <c r="C14" i="13"/>
  <c r="C374" i="13"/>
  <c r="C343" i="13"/>
  <c r="F283" i="13"/>
  <c r="F420" i="13"/>
  <c r="C260" i="13"/>
  <c r="F491" i="13"/>
  <c r="C411" i="13"/>
  <c r="F478" i="13"/>
  <c r="C208" i="13"/>
  <c r="F235" i="13"/>
  <c r="C489" i="13"/>
  <c r="F477" i="13"/>
  <c r="F237" i="13"/>
  <c r="C475" i="13"/>
  <c r="C206" i="13"/>
  <c r="I61" i="13"/>
  <c r="J63" i="13"/>
  <c r="I63" i="13"/>
  <c r="F110" i="13"/>
  <c r="C387" i="13"/>
  <c r="F396" i="13"/>
  <c r="O15" i="8"/>
  <c r="O13" i="8"/>
  <c r="T8" i="8"/>
  <c r="T6" i="8"/>
  <c r="T4" i="8"/>
  <c r="AC17" i="5"/>
  <c r="AC5" i="5"/>
  <c r="O18" i="5"/>
  <c r="O17" i="5"/>
  <c r="T9" i="5"/>
  <c r="T8" i="5"/>
  <c r="T6" i="5"/>
  <c r="T5" i="5"/>
  <c r="V5" i="4"/>
  <c r="V4" i="4"/>
  <c r="AE5" i="4"/>
  <c r="AE4" i="4"/>
  <c r="Q17" i="4"/>
  <c r="Q16" i="4"/>
  <c r="Q15" i="4"/>
  <c r="V8" i="4"/>
  <c r="AC19" i="3"/>
  <c r="AC15" i="3"/>
  <c r="AC14" i="3"/>
  <c r="AC8" i="3"/>
  <c r="O16" i="3"/>
  <c r="O15" i="3"/>
  <c r="T8" i="3"/>
  <c r="T6" i="3"/>
  <c r="F375" i="13"/>
  <c r="C363" i="13"/>
  <c r="AC17" i="2"/>
  <c r="AC15" i="2"/>
  <c r="O17" i="2"/>
  <c r="O14" i="2"/>
  <c r="AC7" i="2"/>
  <c r="AC6" i="2"/>
  <c r="T8" i="2"/>
  <c r="T4" i="2"/>
  <c r="F74" i="13"/>
  <c r="C46" i="13"/>
  <c r="F401" i="13"/>
  <c r="C392" i="13"/>
  <c r="F256" i="13"/>
  <c r="C232" i="13"/>
  <c r="H18" i="2"/>
  <c r="D18" i="2"/>
  <c r="F85" i="13"/>
  <c r="C55" i="13"/>
  <c r="H12" i="2"/>
  <c r="D12" i="2"/>
  <c r="AF7" i="6"/>
  <c r="O16" i="6"/>
  <c r="T8" i="6"/>
  <c r="T7" i="6"/>
  <c r="T6" i="6"/>
  <c r="T5" i="6"/>
  <c r="F23" i="13"/>
  <c r="C101" i="13"/>
  <c r="J24" i="13"/>
  <c r="I24" i="13"/>
  <c r="F27" i="13"/>
  <c r="C6" i="13"/>
  <c r="F351" i="13"/>
  <c r="C336" i="13"/>
  <c r="F320" i="13"/>
  <c r="C301" i="13"/>
  <c r="H5" i="6"/>
  <c r="D5" i="6"/>
  <c r="F138" i="13"/>
  <c r="C108" i="13"/>
  <c r="G49" i="6"/>
  <c r="F49" i="6"/>
  <c r="C49" i="6"/>
  <c r="B49" i="6"/>
  <c r="H3" i="6"/>
  <c r="D3" i="6"/>
  <c r="K24" i="13"/>
  <c r="AH18" i="1"/>
  <c r="AH17" i="1"/>
  <c r="AE11" i="1"/>
  <c r="AE7" i="1"/>
  <c r="AE6" i="1"/>
  <c r="Q18" i="1"/>
  <c r="V11" i="1"/>
  <c r="V8" i="1"/>
  <c r="V6" i="1"/>
  <c r="F312" i="13"/>
  <c r="C457" i="13"/>
  <c r="F39" i="13"/>
  <c r="F123" i="13"/>
  <c r="C94" i="13"/>
  <c r="C15" i="13"/>
  <c r="F62" i="13"/>
  <c r="C34" i="13"/>
  <c r="F403" i="13"/>
  <c r="C394" i="13"/>
  <c r="F236" i="13"/>
  <c r="C207" i="13"/>
  <c r="F139" i="13"/>
  <c r="C109" i="13"/>
  <c r="C115" i="13"/>
  <c r="AF18" i="12"/>
  <c r="F470" i="13"/>
  <c r="C467" i="13"/>
  <c r="H38" i="2"/>
  <c r="D38" i="2"/>
  <c r="F490" i="13"/>
  <c r="C488" i="13"/>
  <c r="H36" i="7"/>
  <c r="D36" i="7"/>
  <c r="F125" i="13"/>
  <c r="C96" i="13"/>
  <c r="H33" i="5"/>
  <c r="D33" i="5"/>
  <c r="F60" i="13"/>
  <c r="C32" i="13"/>
  <c r="H9" i="6"/>
  <c r="D9" i="6"/>
  <c r="H4" i="3"/>
  <c r="D4" i="3"/>
  <c r="J54" i="13"/>
  <c r="I54" i="13"/>
  <c r="F501" i="13"/>
  <c r="C501" i="13"/>
  <c r="H46" i="2"/>
  <c r="D46" i="2"/>
  <c r="F336" i="13"/>
  <c r="C320" i="13"/>
  <c r="J62" i="13"/>
  <c r="I62" i="13"/>
  <c r="F425" i="13"/>
  <c r="C417" i="13"/>
  <c r="H29" i="6"/>
  <c r="D29" i="6"/>
  <c r="AF15" i="3"/>
  <c r="AF14" i="3"/>
  <c r="F153" i="13"/>
  <c r="C122" i="13"/>
  <c r="D13" i="8"/>
  <c r="H13" i="8"/>
  <c r="F471" i="13"/>
  <c r="C468" i="13"/>
  <c r="F380" i="13"/>
  <c r="C368" i="13"/>
  <c r="F472" i="13"/>
  <c r="C469" i="13"/>
  <c r="H40" i="3"/>
  <c r="D40" i="3"/>
  <c r="F118" i="13"/>
  <c r="C88" i="13"/>
  <c r="H21" i="5"/>
  <c r="D21" i="5"/>
  <c r="F437" i="13"/>
  <c r="C431" i="13"/>
  <c r="H32" i="12"/>
  <c r="D32" i="12"/>
  <c r="F9" i="13"/>
  <c r="C380" i="13"/>
  <c r="H15" i="5"/>
  <c r="D15" i="5"/>
  <c r="F454" i="13"/>
  <c r="C448" i="13"/>
  <c r="J58" i="13"/>
  <c r="I58" i="13"/>
  <c r="F272" i="13"/>
  <c r="C249" i="13"/>
  <c r="F496" i="13"/>
  <c r="C496" i="13"/>
  <c r="F254" i="13"/>
  <c r="C230" i="13"/>
  <c r="AH29" i="1"/>
  <c r="AK18" i="1"/>
  <c r="W29" i="1"/>
  <c r="T17" i="1"/>
  <c r="AQ6" i="1"/>
  <c r="AN6" i="1"/>
  <c r="AK6" i="1"/>
  <c r="AH6" i="1"/>
  <c r="Y6" i="1"/>
  <c r="F333" i="13"/>
  <c r="C317" i="13"/>
  <c r="J14" i="13"/>
  <c r="I14" i="13"/>
  <c r="F70" i="13"/>
  <c r="C42" i="13"/>
  <c r="H39" i="6"/>
  <c r="D39" i="6"/>
  <c r="H10" i="8"/>
  <c r="D10" i="8"/>
  <c r="F488" i="13"/>
  <c r="C486" i="13"/>
  <c r="H37" i="12"/>
  <c r="D37" i="12"/>
  <c r="AF15" i="7"/>
  <c r="AH14" i="9"/>
  <c r="AF17" i="5"/>
  <c r="AF15" i="2"/>
  <c r="AF17" i="10"/>
  <c r="AH18" i="4"/>
  <c r="W6" i="5"/>
  <c r="F290" i="13"/>
  <c r="C274" i="13"/>
  <c r="F89" i="13"/>
  <c r="C59" i="13"/>
  <c r="F104" i="13"/>
  <c r="C75" i="13"/>
  <c r="F183" i="13"/>
  <c r="C157" i="13"/>
  <c r="H38" i="6"/>
  <c r="D38" i="6"/>
  <c r="F69" i="13"/>
  <c r="C41" i="13"/>
  <c r="F388" i="13"/>
  <c r="C377" i="13"/>
  <c r="I55" i="13"/>
  <c r="AF9" i="7"/>
  <c r="AF7" i="7"/>
  <c r="AF5" i="7"/>
  <c r="F263" i="13"/>
  <c r="C240" i="13"/>
  <c r="H24" i="2"/>
  <c r="D24" i="2"/>
  <c r="F250" i="13"/>
  <c r="C225" i="13"/>
  <c r="H19" i="3"/>
  <c r="D19" i="3"/>
  <c r="F171" i="13"/>
  <c r="C143" i="13"/>
  <c r="H24" i="8"/>
  <c r="D24" i="8"/>
  <c r="F419" i="13"/>
  <c r="C410" i="13"/>
  <c r="F261" i="13"/>
  <c r="C238" i="13"/>
  <c r="H20" i="5"/>
  <c r="D20" i="5"/>
  <c r="H17" i="5"/>
  <c r="D17" i="5"/>
  <c r="AF5" i="5"/>
  <c r="AF6" i="12"/>
  <c r="AF5" i="12"/>
  <c r="AF4" i="12"/>
  <c r="F467" i="13"/>
  <c r="C463" i="13"/>
  <c r="F180" i="13"/>
  <c r="C152" i="13"/>
  <c r="H33" i="12"/>
  <c r="D33" i="12"/>
  <c r="F434" i="13"/>
  <c r="C428" i="13"/>
  <c r="H31" i="12"/>
  <c r="D31" i="12"/>
  <c r="F392" i="13"/>
  <c r="C382" i="13"/>
  <c r="AF12" i="10"/>
  <c r="AF9" i="10"/>
  <c r="AF4" i="10"/>
  <c r="AF7" i="2"/>
  <c r="AF6" i="2"/>
  <c r="AH6" i="4"/>
  <c r="AH5" i="4"/>
  <c r="F378" i="13"/>
  <c r="C366" i="13"/>
  <c r="F64" i="13"/>
  <c r="C36" i="13"/>
  <c r="H19" i="2"/>
  <c r="D19" i="2"/>
  <c r="AH11" i="1"/>
  <c r="AF9" i="3"/>
  <c r="AF8" i="3"/>
  <c r="AL17" i="5"/>
  <c r="AI17" i="5"/>
  <c r="U17" i="5"/>
  <c r="R17" i="5"/>
  <c r="C405" i="13"/>
  <c r="AH9" i="9"/>
  <c r="AH4" i="9"/>
  <c r="F122" i="13"/>
  <c r="C93" i="13"/>
  <c r="F436" i="13"/>
  <c r="C430" i="13"/>
  <c r="J33" i="13"/>
  <c r="I33" i="13"/>
  <c r="F100" i="13"/>
  <c r="C72" i="13"/>
  <c r="C300" i="13"/>
  <c r="C192" i="13"/>
  <c r="C5" i="13"/>
  <c r="C321" i="13"/>
  <c r="C324" i="13"/>
  <c r="C49" i="13"/>
  <c r="C345" i="13"/>
  <c r="C126" i="13"/>
  <c r="C53" i="13"/>
  <c r="C370" i="13"/>
  <c r="C375" i="13"/>
  <c r="C239" i="13"/>
  <c r="C404" i="13"/>
  <c r="C139" i="13"/>
  <c r="C145" i="13"/>
  <c r="C146" i="13"/>
  <c r="C421" i="13"/>
  <c r="C433" i="13"/>
  <c r="C437" i="13"/>
  <c r="C264" i="13"/>
  <c r="C446" i="13"/>
  <c r="C160" i="13"/>
  <c r="C270" i="13"/>
  <c r="C69" i="13"/>
  <c r="C464" i="13"/>
  <c r="C276" i="13"/>
  <c r="C169" i="13"/>
  <c r="C284" i="13"/>
  <c r="C103" i="13"/>
  <c r="C287" i="13"/>
  <c r="C180" i="13"/>
  <c r="C291" i="13"/>
  <c r="C13" i="13"/>
  <c r="C502" i="13"/>
  <c r="C107" i="13"/>
  <c r="C508" i="13"/>
  <c r="F24" i="13"/>
  <c r="F319" i="13"/>
  <c r="F222" i="13"/>
  <c r="F26" i="13"/>
  <c r="F337" i="13"/>
  <c r="F340" i="13"/>
  <c r="F80" i="13"/>
  <c r="F360" i="13"/>
  <c r="F156" i="13"/>
  <c r="F83" i="13"/>
  <c r="F16" i="13"/>
  <c r="F386" i="13"/>
  <c r="F262" i="13"/>
  <c r="F413" i="13"/>
  <c r="F168" i="13"/>
  <c r="F173" i="13"/>
  <c r="F174" i="13"/>
  <c r="F428" i="13"/>
  <c r="F439" i="13"/>
  <c r="F443" i="13"/>
  <c r="F212" i="13"/>
  <c r="F452" i="13"/>
  <c r="F186" i="13"/>
  <c r="F287" i="13"/>
  <c r="F97" i="13"/>
  <c r="F468" i="13"/>
  <c r="F194" i="13"/>
  <c r="F10" i="13"/>
  <c r="F129" i="13"/>
  <c r="F301" i="13"/>
  <c r="F204" i="13"/>
  <c r="F304" i="13"/>
  <c r="F32" i="13"/>
  <c r="F502" i="13"/>
  <c r="F133" i="13"/>
  <c r="F508" i="13"/>
  <c r="F51" i="13"/>
  <c r="C26" i="13"/>
  <c r="C262" i="13"/>
  <c r="C304" i="13"/>
  <c r="C318" i="13"/>
  <c r="C196" i="13"/>
  <c r="C326" i="13"/>
  <c r="C331" i="13"/>
  <c r="C337" i="13"/>
  <c r="C116" i="13"/>
  <c r="C119" i="13"/>
  <c r="C354" i="13"/>
  <c r="C357" i="13"/>
  <c r="C220" i="13"/>
  <c r="C381" i="13"/>
  <c r="C233" i="13"/>
  <c r="C390" i="13"/>
  <c r="C234" i="13"/>
  <c r="C28" i="13"/>
  <c r="C90" i="13"/>
  <c r="C418" i="13"/>
  <c r="C252" i="13"/>
  <c r="C432" i="13"/>
  <c r="C62" i="13"/>
  <c r="C268" i="13"/>
  <c r="C11" i="13"/>
  <c r="C45" i="13"/>
  <c r="C499" i="13"/>
  <c r="F210" i="13"/>
  <c r="F324" i="13"/>
  <c r="F334" i="13"/>
  <c r="F225" i="13"/>
  <c r="F342" i="13"/>
  <c r="F347" i="13"/>
  <c r="F352" i="13"/>
  <c r="F147" i="13"/>
  <c r="F150" i="13"/>
  <c r="F367" i="13"/>
  <c r="F370" i="13"/>
  <c r="F246" i="13"/>
  <c r="F391" i="13"/>
  <c r="F257" i="13"/>
  <c r="F399" i="13"/>
  <c r="F5" i="13"/>
  <c r="F52" i="13"/>
  <c r="F120" i="13"/>
  <c r="F426" i="13"/>
  <c r="F275" i="13"/>
  <c r="F438" i="13"/>
  <c r="F92" i="13"/>
  <c r="F285" i="13"/>
  <c r="F31" i="13"/>
  <c r="F73" i="13"/>
  <c r="F499" i="13"/>
  <c r="H17" i="8"/>
  <c r="D17" i="8"/>
  <c r="B38" i="8"/>
  <c r="H16" i="7"/>
  <c r="D16" i="7"/>
  <c r="C134" i="13"/>
  <c r="C110" i="13"/>
  <c r="C308" i="13"/>
  <c r="C314" i="13"/>
  <c r="C316" i="13"/>
  <c r="C319" i="13"/>
  <c r="C322" i="13"/>
  <c r="C202" i="13"/>
  <c r="C342" i="13"/>
  <c r="C77" i="13"/>
  <c r="C348" i="13"/>
  <c r="C360" i="13"/>
  <c r="C378" i="13"/>
  <c r="C227" i="13"/>
  <c r="C133" i="13"/>
  <c r="C83" i="13"/>
  <c r="C37" i="13"/>
  <c r="C398" i="13"/>
  <c r="C400" i="13"/>
  <c r="C407" i="13"/>
  <c r="C242" i="13"/>
  <c r="C247" i="13"/>
  <c r="C420" i="13"/>
  <c r="C422" i="13"/>
  <c r="C147" i="13"/>
  <c r="C153" i="13"/>
  <c r="C267" i="13"/>
  <c r="C458" i="13"/>
  <c r="C97" i="13"/>
  <c r="C483" i="13"/>
  <c r="C484" i="13"/>
  <c r="C174" i="13"/>
  <c r="C286" i="13"/>
  <c r="C288" i="13"/>
  <c r="C500" i="13"/>
  <c r="F164" i="13"/>
  <c r="F140" i="13"/>
  <c r="F326" i="13"/>
  <c r="F331" i="13"/>
  <c r="F332" i="13"/>
  <c r="F335" i="13"/>
  <c r="F338" i="13"/>
  <c r="F231" i="13"/>
  <c r="F357" i="13"/>
  <c r="F106" i="13"/>
  <c r="F362" i="13"/>
  <c r="F373" i="13"/>
  <c r="F389" i="13"/>
  <c r="F252" i="13"/>
  <c r="F163" i="13"/>
  <c r="F112" i="13"/>
  <c r="F65" i="13"/>
  <c r="F407" i="13"/>
  <c r="F409" i="13"/>
  <c r="F416" i="13"/>
  <c r="F265" i="13"/>
  <c r="F270" i="13"/>
  <c r="F427" i="13"/>
  <c r="F429" i="13"/>
  <c r="F175" i="13"/>
  <c r="F135" i="13"/>
  <c r="F284" i="13"/>
  <c r="F463" i="13"/>
  <c r="F21" i="13"/>
  <c r="F485" i="13"/>
  <c r="F486" i="13"/>
  <c r="F198" i="13"/>
  <c r="F300" i="13"/>
  <c r="F59" i="13"/>
  <c r="F500" i="13"/>
  <c r="C303" i="13"/>
  <c r="C195" i="13"/>
  <c r="C76" i="13"/>
  <c r="C205" i="13"/>
  <c r="C356" i="13"/>
  <c r="C362" i="13"/>
  <c r="C54" i="13"/>
  <c r="C367" i="13"/>
  <c r="C223" i="13"/>
  <c r="C131" i="13"/>
  <c r="C383" i="13"/>
  <c r="C408" i="13"/>
  <c r="C419" i="13"/>
  <c r="C91" i="13"/>
  <c r="C434" i="13"/>
  <c r="C266" i="13"/>
  <c r="C158" i="13"/>
  <c r="C462" i="13"/>
  <c r="C277" i="13"/>
  <c r="C477" i="13"/>
  <c r="C478" i="13"/>
  <c r="C490" i="13"/>
  <c r="C179" i="13"/>
  <c r="C494" i="13"/>
  <c r="C504" i="13"/>
  <c r="C507" i="13"/>
  <c r="C73" i="13"/>
  <c r="F322" i="13"/>
  <c r="F224" i="13"/>
  <c r="F105" i="13"/>
  <c r="F234" i="13"/>
  <c r="F369" i="13"/>
  <c r="F14" i="13"/>
  <c r="F84" i="13"/>
  <c r="F379" i="13"/>
  <c r="F248" i="13"/>
  <c r="F161" i="13"/>
  <c r="F393" i="13"/>
  <c r="F417" i="13"/>
  <c r="F35" i="13"/>
  <c r="F121" i="13"/>
  <c r="F440" i="13"/>
  <c r="F214" i="13"/>
  <c r="F184" i="13"/>
  <c r="F466" i="13"/>
  <c r="F292" i="13"/>
  <c r="F479" i="13"/>
  <c r="F480" i="13"/>
  <c r="F492" i="13"/>
  <c r="F203" i="13"/>
  <c r="F495" i="13"/>
  <c r="F504" i="13"/>
  <c r="F507" i="13"/>
  <c r="F101" i="13"/>
  <c r="C193" i="13"/>
  <c r="C332" i="13"/>
  <c r="C114" i="13"/>
  <c r="C209" i="13"/>
  <c r="C361" i="13"/>
  <c r="C52" i="13"/>
  <c r="C365" i="13"/>
  <c r="C127" i="13"/>
  <c r="C222" i="13"/>
  <c r="C226" i="13"/>
  <c r="C129" i="13"/>
  <c r="C231" i="13"/>
  <c r="C27" i="13"/>
  <c r="C406" i="13"/>
  <c r="C141" i="13"/>
  <c r="C413" i="13"/>
  <c r="C415" i="13"/>
  <c r="C89" i="13"/>
  <c r="C60" i="13"/>
  <c r="C423" i="13"/>
  <c r="C61" i="13"/>
  <c r="C435" i="13"/>
  <c r="C438" i="13"/>
  <c r="C92" i="13"/>
  <c r="C451" i="13"/>
  <c r="C454" i="13"/>
  <c r="C95" i="13"/>
  <c r="C19" i="13"/>
  <c r="C279" i="13"/>
  <c r="C481" i="13"/>
  <c r="C485" i="13"/>
  <c r="C491" i="13"/>
  <c r="C293" i="13"/>
  <c r="F15" i="13"/>
  <c r="F348" i="13"/>
  <c r="F145" i="13"/>
  <c r="F238" i="13"/>
  <c r="F374" i="13"/>
  <c r="F37" i="13"/>
  <c r="F377" i="13"/>
  <c r="F157" i="13"/>
  <c r="F12" i="13"/>
  <c r="F251" i="13"/>
  <c r="F159" i="13"/>
  <c r="F255" i="13"/>
  <c r="F36" i="13"/>
  <c r="F415" i="13"/>
  <c r="F170" i="13"/>
  <c r="F269" i="13"/>
  <c r="F423" i="13"/>
  <c r="F119" i="13"/>
  <c r="F90" i="13"/>
  <c r="F430" i="13"/>
  <c r="F91" i="13"/>
  <c r="F441" i="13"/>
  <c r="F444" i="13"/>
  <c r="F77" i="13"/>
  <c r="F457" i="13"/>
  <c r="F460" i="13"/>
  <c r="F124" i="13"/>
  <c r="F43" i="13"/>
  <c r="F294" i="13"/>
  <c r="F483" i="13"/>
  <c r="F487" i="13"/>
  <c r="F493" i="13"/>
  <c r="F306" i="13"/>
  <c r="C311" i="13"/>
  <c r="C194" i="13"/>
  <c r="C333" i="13"/>
  <c r="C81" i="13"/>
  <c r="C412" i="13"/>
  <c r="C441" i="13"/>
  <c r="C70" i="13"/>
  <c r="F328" i="13"/>
  <c r="F223" i="13"/>
  <c r="F349" i="13"/>
  <c r="F421" i="13"/>
  <c r="F447" i="13"/>
  <c r="F98" i="13"/>
  <c r="F44" i="11"/>
  <c r="C112" i="13"/>
  <c r="C329" i="13"/>
  <c r="C338" i="13"/>
  <c r="C339" i="13"/>
  <c r="C340" i="13"/>
  <c r="C341" i="13"/>
  <c r="C121" i="13"/>
  <c r="C33" i="13"/>
  <c r="C123" i="13"/>
  <c r="C124" i="13"/>
  <c r="C56" i="13"/>
  <c r="C376" i="13"/>
  <c r="C235" i="13"/>
  <c r="C236" i="13"/>
  <c r="C57" i="13"/>
  <c r="C391" i="13"/>
  <c r="C58" i="13"/>
  <c r="C142" i="13"/>
  <c r="C8" i="13"/>
  <c r="C426" i="13"/>
  <c r="C149" i="13"/>
  <c r="C259" i="13"/>
  <c r="C440" i="13"/>
  <c r="C442" i="13"/>
  <c r="C447" i="13"/>
  <c r="C67" i="13"/>
  <c r="C456" i="13"/>
  <c r="C162" i="13"/>
  <c r="C466" i="13"/>
  <c r="C181" i="13"/>
  <c r="C495" i="13"/>
  <c r="C497" i="13"/>
  <c r="C20" i="13"/>
  <c r="F143" i="13"/>
  <c r="F345" i="13"/>
  <c r="F353" i="13"/>
  <c r="F354" i="13"/>
  <c r="F355" i="13"/>
  <c r="F356" i="13"/>
  <c r="F152" i="13"/>
  <c r="F61" i="13"/>
  <c r="F154" i="13"/>
  <c r="F19" i="13"/>
  <c r="F86" i="13"/>
  <c r="F387" i="13"/>
  <c r="F258" i="13"/>
  <c r="F259" i="13"/>
  <c r="F87" i="13"/>
  <c r="F400" i="13"/>
  <c r="F88" i="13"/>
  <c r="F3" i="13"/>
  <c r="F28" i="13"/>
  <c r="F433" i="13"/>
  <c r="F177" i="13"/>
  <c r="F282" i="13"/>
  <c r="F446" i="13"/>
  <c r="F448" i="13"/>
  <c r="F453" i="13"/>
  <c r="F95" i="13"/>
  <c r="F462" i="13"/>
  <c r="F188" i="13"/>
  <c r="F469" i="13"/>
  <c r="F205" i="13"/>
  <c r="F315" i="13"/>
  <c r="F497" i="13"/>
  <c r="F44" i="13"/>
  <c r="C184" i="13"/>
  <c r="C188" i="13"/>
  <c r="C191" i="13"/>
  <c r="C309" i="13"/>
  <c r="C310" i="13"/>
  <c r="C74" i="13"/>
  <c r="C201" i="13"/>
  <c r="C330" i="13"/>
  <c r="C118" i="13"/>
  <c r="C215" i="13"/>
  <c r="C369" i="13"/>
  <c r="C82" i="13"/>
  <c r="C35" i="13"/>
  <c r="C388" i="13"/>
  <c r="C399" i="13"/>
  <c r="C246" i="13"/>
  <c r="C144" i="13"/>
  <c r="C425" i="13"/>
  <c r="C255" i="13"/>
  <c r="C429" i="13"/>
  <c r="C265" i="13"/>
  <c r="C444" i="13"/>
  <c r="C453" i="13"/>
  <c r="C43" i="13"/>
  <c r="C455" i="13"/>
  <c r="C272" i="13"/>
  <c r="C459" i="13"/>
  <c r="C163" i="13"/>
  <c r="C100" i="13"/>
  <c r="C282" i="13"/>
  <c r="C283" i="13"/>
  <c r="C170" i="13"/>
  <c r="C177" i="13"/>
  <c r="C295" i="13"/>
  <c r="F215" i="13"/>
  <c r="F218" i="13"/>
  <c r="F221" i="13"/>
  <c r="F327" i="13"/>
  <c r="F33" i="13"/>
  <c r="F103" i="13"/>
  <c r="F230" i="13"/>
  <c r="F346" i="13"/>
  <c r="F149" i="13"/>
  <c r="F34" i="13"/>
  <c r="F381" i="13"/>
  <c r="F111" i="13"/>
  <c r="F63" i="13"/>
  <c r="F397" i="13"/>
  <c r="F408" i="13"/>
  <c r="F268" i="13"/>
  <c r="F172" i="13"/>
  <c r="F432" i="13"/>
  <c r="F278" i="13"/>
  <c r="F435" i="13"/>
  <c r="F213" i="13"/>
  <c r="F450" i="13"/>
  <c r="F459" i="13"/>
  <c r="F71" i="13"/>
  <c r="F461" i="13"/>
  <c r="F289" i="13"/>
  <c r="F464" i="13"/>
  <c r="F189" i="13"/>
  <c r="F127" i="13"/>
  <c r="F297" i="13"/>
  <c r="F298" i="13"/>
  <c r="F8" i="13"/>
  <c r="F201" i="13"/>
  <c r="F308" i="13"/>
  <c r="C190" i="13"/>
  <c r="C21" i="13"/>
  <c r="C323" i="13"/>
  <c r="C3" i="13"/>
  <c r="C325" i="13"/>
  <c r="C113" i="13"/>
  <c r="C327" i="13"/>
  <c r="C334" i="13"/>
  <c r="C4" i="13"/>
  <c r="C51" i="13"/>
  <c r="C352" i="13"/>
  <c r="C355" i="13"/>
  <c r="C229" i="13"/>
  <c r="C397" i="13"/>
  <c r="C402" i="13"/>
  <c r="C86" i="13"/>
  <c r="C137" i="13"/>
  <c r="C403" i="13"/>
  <c r="C87" i="13"/>
  <c r="C7" i="13"/>
  <c r="C414" i="13"/>
  <c r="C140" i="13"/>
  <c r="C254" i="13"/>
  <c r="C148" i="13"/>
  <c r="C64" i="13"/>
  <c r="C12" i="13"/>
  <c r="C166" i="13"/>
  <c r="C472" i="13"/>
  <c r="C476" i="13"/>
  <c r="C493" i="13"/>
  <c r="C506" i="13"/>
  <c r="F220" i="13"/>
  <c r="F46" i="13"/>
  <c r="F339" i="13"/>
  <c r="F17" i="13"/>
  <c r="F341" i="13"/>
  <c r="F144" i="13"/>
  <c r="F343" i="13"/>
  <c r="F350" i="13"/>
  <c r="F22" i="13"/>
  <c r="F82" i="13"/>
  <c r="F365" i="13"/>
  <c r="F368" i="13"/>
  <c r="F136" i="13"/>
  <c r="F406" i="13"/>
  <c r="F411" i="13"/>
  <c r="F115" i="13"/>
  <c r="F116" i="13"/>
  <c r="F412" i="13"/>
  <c r="F414" i="13"/>
  <c r="F117" i="13"/>
  <c r="F25" i="13"/>
  <c r="F422" i="13"/>
  <c r="F169" i="13"/>
  <c r="F277" i="13"/>
  <c r="F176" i="13"/>
  <c r="F57" i="13"/>
  <c r="F2" i="13"/>
  <c r="F191" i="13"/>
  <c r="F475" i="13"/>
  <c r="F316" i="13"/>
  <c r="F494" i="13"/>
  <c r="F506" i="13"/>
  <c r="C185" i="13"/>
  <c r="C307" i="13"/>
  <c r="C198" i="13"/>
  <c r="C117" i="13"/>
  <c r="C50" i="13"/>
  <c r="C23" i="13"/>
  <c r="C25" i="13"/>
  <c r="C217" i="13"/>
  <c r="C379" i="13"/>
  <c r="C228" i="13"/>
  <c r="C132" i="13"/>
  <c r="C384" i="13"/>
  <c r="C389" i="13"/>
  <c r="C395" i="13"/>
  <c r="C396" i="13"/>
  <c r="C244" i="13"/>
  <c r="C416" i="13"/>
  <c r="C424" i="13"/>
  <c r="C150" i="13"/>
  <c r="C10" i="13"/>
  <c r="C261" i="13"/>
  <c r="C450" i="13"/>
  <c r="C461" i="13"/>
  <c r="C98" i="13"/>
  <c r="C2" i="13"/>
  <c r="C165" i="13"/>
  <c r="C31" i="13"/>
  <c r="C99" i="13"/>
  <c r="C470" i="13"/>
  <c r="C473" i="13"/>
  <c r="C44" i="13"/>
  <c r="C492" i="13"/>
  <c r="C105" i="13"/>
  <c r="C182" i="13"/>
  <c r="C294" i="13"/>
  <c r="C505" i="13"/>
  <c r="C183" i="13"/>
  <c r="F216" i="13"/>
  <c r="F325" i="13"/>
  <c r="F227" i="13"/>
  <c r="F146" i="13"/>
  <c r="F148" i="13"/>
  <c r="F81" i="13"/>
  <c r="F48" i="13"/>
  <c r="F50" i="13"/>
  <c r="F243" i="13"/>
  <c r="F390" i="13"/>
  <c r="F253" i="13"/>
  <c r="F162" i="13"/>
  <c r="F394" i="13"/>
  <c r="F398" i="13"/>
  <c r="F404" i="13"/>
  <c r="F405" i="13"/>
  <c r="F266" i="13"/>
  <c r="F424" i="13"/>
  <c r="F431" i="13"/>
  <c r="F178" i="13"/>
  <c r="F30" i="13"/>
  <c r="F209" i="13"/>
  <c r="F456" i="13"/>
  <c r="F465" i="13"/>
  <c r="F4" i="13"/>
  <c r="F7" i="13"/>
  <c r="F76" i="13"/>
  <c r="F55" i="13"/>
  <c r="F126" i="13"/>
  <c r="F473" i="13"/>
  <c r="F476" i="13"/>
  <c r="F72" i="13"/>
  <c r="F314" i="13"/>
  <c r="F131" i="13"/>
  <c r="F206" i="13"/>
  <c r="F307" i="13"/>
  <c r="F505" i="13"/>
  <c r="F207" i="13"/>
  <c r="C305" i="13"/>
  <c r="C313" i="13"/>
  <c r="C48" i="13"/>
  <c r="C328" i="13"/>
  <c r="C200" i="13"/>
  <c r="C203" i="13"/>
  <c r="C120" i="13"/>
  <c r="C347" i="13"/>
  <c r="C24" i="13"/>
  <c r="C353" i="13"/>
  <c r="C358" i="13"/>
  <c r="C125" i="13"/>
  <c r="C364" i="13"/>
  <c r="C371" i="13"/>
  <c r="C373" i="13"/>
  <c r="C393" i="13"/>
  <c r="C251" i="13"/>
  <c r="C38" i="13"/>
  <c r="C151" i="13"/>
  <c r="C439" i="13"/>
  <c r="C156" i="13"/>
  <c r="C159" i="13"/>
  <c r="C269" i="13"/>
  <c r="C167" i="13"/>
  <c r="C471" i="13"/>
  <c r="C281" i="13"/>
  <c r="C102" i="13"/>
  <c r="C487" i="13"/>
  <c r="C178" i="13"/>
  <c r="C104" i="13"/>
  <c r="C498" i="13"/>
  <c r="C296" i="13"/>
  <c r="F323" i="13"/>
  <c r="F330" i="13"/>
  <c r="F79" i="13"/>
  <c r="F344" i="13"/>
  <c r="F229" i="13"/>
  <c r="F232" i="13"/>
  <c r="F151" i="13"/>
  <c r="F361" i="13"/>
  <c r="F49" i="13"/>
  <c r="F366" i="13"/>
  <c r="F371" i="13"/>
  <c r="F155" i="13"/>
  <c r="F376" i="13"/>
  <c r="F382" i="13"/>
  <c r="F384" i="13"/>
  <c r="F402" i="13"/>
  <c r="F274" i="13"/>
  <c r="F66" i="13"/>
  <c r="F179" i="13"/>
  <c r="F445" i="13"/>
  <c r="F6" i="13"/>
  <c r="F185" i="13"/>
  <c r="F286" i="13"/>
  <c r="F192" i="13"/>
  <c r="F474" i="13"/>
  <c r="F296" i="13"/>
  <c r="F128" i="13"/>
  <c r="F489" i="13"/>
  <c r="F202" i="13"/>
  <c r="F130" i="13"/>
  <c r="F498" i="13"/>
  <c r="F309" i="13"/>
  <c r="C197" i="13"/>
  <c r="C349" i="13"/>
  <c r="C350" i="13"/>
  <c r="C351" i="13"/>
  <c r="C359" i="13"/>
  <c r="C372" i="13"/>
  <c r="C130" i="13"/>
  <c r="C386" i="13"/>
  <c r="C84" i="13"/>
  <c r="C401" i="13"/>
  <c r="C409" i="13"/>
  <c r="C243" i="13"/>
  <c r="C245" i="13"/>
  <c r="C40" i="13"/>
  <c r="C16" i="13"/>
  <c r="C30" i="13"/>
  <c r="C63" i="13"/>
  <c r="C443" i="13"/>
  <c r="C65" i="13"/>
  <c r="C155" i="13"/>
  <c r="C449" i="13"/>
  <c r="C66" i="13"/>
  <c r="C460" i="13"/>
  <c r="C479" i="13"/>
  <c r="C280" i="13"/>
  <c r="C480" i="13"/>
  <c r="C71" i="13"/>
  <c r="C175" i="13"/>
  <c r="C503" i="13"/>
  <c r="F11" i="13"/>
  <c r="F226" i="13"/>
  <c r="F363" i="13"/>
  <c r="F364" i="13"/>
  <c r="F75" i="13"/>
  <c r="F372" i="13"/>
  <c r="F383" i="13"/>
  <c r="F160" i="13"/>
  <c r="F395" i="13"/>
  <c r="F113" i="13"/>
  <c r="F260" i="13"/>
  <c r="F264" i="13"/>
  <c r="F410" i="13"/>
  <c r="F418" i="13"/>
  <c r="F20" i="13"/>
  <c r="F267" i="13"/>
  <c r="F68" i="13"/>
  <c r="F40" i="13"/>
  <c r="F54" i="13"/>
  <c r="F56" i="13"/>
  <c r="F449" i="13"/>
  <c r="F93" i="13"/>
  <c r="F182" i="13"/>
  <c r="F455" i="13"/>
  <c r="F94" i="13"/>
  <c r="F481" i="13"/>
  <c r="F295" i="13"/>
  <c r="F482" i="13"/>
  <c r="F99" i="13"/>
  <c r="F199" i="13"/>
  <c r="F503" i="13"/>
  <c r="C298" i="13"/>
  <c r="C189" i="13"/>
  <c r="C312" i="13"/>
  <c r="C315" i="13"/>
  <c r="F317" i="13"/>
  <c r="F219" i="13"/>
  <c r="F329" i="13"/>
  <c r="F102" i="13"/>
  <c r="J17" i="13"/>
  <c r="I17" i="13"/>
  <c r="H26" i="6"/>
  <c r="D26" i="6"/>
  <c r="B47" i="12"/>
  <c r="B44" i="7"/>
  <c r="B44" i="11"/>
  <c r="B43" i="10"/>
  <c r="B49" i="5"/>
  <c r="C49" i="5"/>
  <c r="D49" i="5"/>
  <c r="B43" i="4"/>
  <c r="B48" i="3"/>
  <c r="B47" i="1"/>
  <c r="F48" i="3"/>
  <c r="F47" i="12"/>
  <c r="F44" i="7"/>
  <c r="F43" i="10"/>
  <c r="F38" i="8"/>
  <c r="F49" i="5"/>
  <c r="G49" i="5"/>
  <c r="H49" i="5"/>
  <c r="G43" i="4"/>
  <c r="H43" i="4"/>
  <c r="J43" i="4"/>
  <c r="F50" i="2"/>
  <c r="I12" i="13"/>
  <c r="I25" i="13"/>
  <c r="I8" i="13"/>
  <c r="I59" i="13"/>
  <c r="I3" i="13"/>
  <c r="I10" i="13"/>
  <c r="I64" i="13"/>
  <c r="I27" i="13"/>
  <c r="G47" i="1"/>
  <c r="I28" i="13"/>
  <c r="I19" i="13"/>
  <c r="I46" i="13"/>
  <c r="I57" i="13"/>
  <c r="I4" i="13"/>
  <c r="I13" i="13"/>
  <c r="I38" i="13"/>
  <c r="I49" i="13"/>
  <c r="I22" i="13"/>
  <c r="I26" i="13"/>
  <c r="I36" i="13"/>
  <c r="I7" i="13"/>
  <c r="I5" i="13"/>
  <c r="I53" i="13"/>
  <c r="I6" i="13"/>
  <c r="I47" i="13"/>
  <c r="I15" i="13"/>
  <c r="I48" i="13"/>
  <c r="I20" i="13"/>
  <c r="I34" i="13"/>
  <c r="I52" i="13"/>
  <c r="I16" i="13"/>
  <c r="I39" i="13"/>
  <c r="K39" i="13"/>
  <c r="I40" i="13"/>
  <c r="I50" i="13"/>
  <c r="I21" i="13"/>
  <c r="I56" i="13"/>
  <c r="I9" i="13"/>
  <c r="H10" i="6"/>
  <c r="D10" i="6"/>
  <c r="H7" i="6"/>
  <c r="D7" i="6"/>
  <c r="H39" i="2"/>
  <c r="D39" i="2"/>
  <c r="L25" i="7"/>
  <c r="H27" i="3"/>
  <c r="D27" i="3"/>
  <c r="H9" i="8"/>
  <c r="D9" i="8"/>
  <c r="H15" i="8"/>
  <c r="D15" i="8"/>
  <c r="H21" i="6"/>
  <c r="D21" i="6"/>
  <c r="H34" i="7"/>
  <c r="H41" i="7"/>
  <c r="D41" i="7"/>
  <c r="H38" i="10"/>
  <c r="D38" i="10"/>
  <c r="L27" i="3"/>
  <c r="N30" i="4"/>
  <c r="N29" i="4"/>
  <c r="L23" i="2"/>
  <c r="G47" i="12"/>
  <c r="C47" i="12"/>
  <c r="H33" i="10"/>
  <c r="H8" i="10"/>
  <c r="D8" i="10"/>
  <c r="L32" i="10"/>
  <c r="L28" i="10"/>
  <c r="R27" i="10"/>
  <c r="D33" i="10"/>
  <c r="H5" i="10"/>
  <c r="D5" i="10"/>
  <c r="H11" i="10"/>
  <c r="D11" i="10"/>
  <c r="H35" i="7"/>
  <c r="D35" i="7"/>
  <c r="H8" i="7"/>
  <c r="D8" i="7"/>
  <c r="L24" i="7"/>
  <c r="L25" i="12"/>
  <c r="L24" i="12"/>
  <c r="N31" i="1"/>
  <c r="L22" i="6"/>
  <c r="H36" i="3"/>
  <c r="D36" i="3"/>
  <c r="L26" i="5"/>
  <c r="L24" i="2"/>
  <c r="L23" i="12"/>
  <c r="L26" i="7"/>
  <c r="L30" i="10"/>
  <c r="N36" i="9"/>
  <c r="N35" i="9"/>
  <c r="L23" i="8"/>
  <c r="L27" i="5"/>
  <c r="N28" i="4"/>
  <c r="L24" i="3"/>
  <c r="L25" i="3"/>
  <c r="L23" i="6"/>
  <c r="L21" i="6"/>
  <c r="H8" i="3"/>
  <c r="H14" i="3"/>
  <c r="H32" i="3"/>
  <c r="D32" i="3"/>
  <c r="D8" i="3"/>
  <c r="D34" i="12"/>
  <c r="H34" i="12"/>
  <c r="H17" i="12"/>
  <c r="D17" i="12"/>
  <c r="H29" i="12"/>
  <c r="D29" i="12"/>
  <c r="H30" i="7"/>
  <c r="D30" i="7"/>
  <c r="H41" i="11"/>
  <c r="D41" i="11"/>
  <c r="H27" i="10"/>
  <c r="H16" i="10"/>
  <c r="D16" i="10"/>
  <c r="H26" i="8"/>
  <c r="D26" i="8"/>
  <c r="H24" i="5"/>
  <c r="D24" i="5"/>
  <c r="H22" i="2"/>
  <c r="D22" i="2"/>
  <c r="H48" i="2"/>
  <c r="D48" i="2"/>
  <c r="Q28" i="1"/>
  <c r="O25" i="12"/>
  <c r="O24" i="12"/>
  <c r="O23" i="12"/>
  <c r="R18" i="12"/>
  <c r="R17" i="12"/>
  <c r="R16" i="12"/>
  <c r="R14" i="12"/>
  <c r="W6" i="12"/>
  <c r="W4" i="12"/>
  <c r="O25" i="7"/>
  <c r="W9" i="7"/>
  <c r="W7" i="7"/>
  <c r="O31" i="10"/>
  <c r="O30" i="10"/>
  <c r="O29" i="10"/>
  <c r="R22" i="10"/>
  <c r="R20" i="10"/>
  <c r="R19" i="10"/>
  <c r="W12" i="10"/>
  <c r="W8" i="10"/>
  <c r="W7" i="10"/>
  <c r="W6" i="10"/>
  <c r="W5" i="10"/>
  <c r="W4" i="10"/>
  <c r="Q38" i="9"/>
  <c r="Q37" i="9"/>
  <c r="Q35" i="9"/>
  <c r="T16" i="9"/>
  <c r="T14" i="9"/>
  <c r="Y9" i="9"/>
  <c r="Y7" i="9"/>
  <c r="Y5" i="9"/>
  <c r="Y4" i="9"/>
  <c r="U13" i="8"/>
  <c r="O27" i="5"/>
  <c r="W5" i="5"/>
  <c r="Q30" i="4"/>
  <c r="Q29" i="4"/>
  <c r="T17" i="4"/>
  <c r="T15" i="4"/>
  <c r="Y5" i="4"/>
  <c r="Y4" i="4"/>
  <c r="O24" i="2"/>
  <c r="O23" i="2"/>
  <c r="R17" i="2"/>
  <c r="W7" i="2"/>
  <c r="O27" i="3"/>
  <c r="O26" i="3"/>
  <c r="O24" i="3"/>
  <c r="R15" i="3"/>
  <c r="R14" i="3"/>
  <c r="W8" i="3"/>
  <c r="O23" i="6"/>
  <c r="O21" i="6"/>
  <c r="R16" i="6"/>
  <c r="R13" i="6"/>
  <c r="W8" i="6"/>
  <c r="Q31" i="1"/>
  <c r="T18" i="1"/>
  <c r="Y11" i="1"/>
  <c r="I31" i="13"/>
  <c r="K31" i="13"/>
  <c r="H6" i="5"/>
  <c r="D6" i="5"/>
  <c r="G38" i="8"/>
  <c r="C38" i="8"/>
  <c r="H3" i="8"/>
  <c r="D3" i="8"/>
  <c r="G44" i="11"/>
  <c r="C44" i="11"/>
  <c r="H3" i="11"/>
  <c r="D3" i="11"/>
  <c r="H29" i="10"/>
  <c r="D29" i="10"/>
  <c r="H13" i="6"/>
  <c r="D13" i="6"/>
  <c r="H12" i="5"/>
  <c r="D12" i="5"/>
  <c r="H13" i="12"/>
  <c r="D13" i="12"/>
  <c r="G48" i="3"/>
  <c r="C48" i="3"/>
  <c r="H6" i="8"/>
  <c r="D6" i="8"/>
  <c r="H25" i="2"/>
  <c r="D25" i="2"/>
  <c r="H37" i="6"/>
  <c r="D37" i="6"/>
  <c r="H12" i="10"/>
  <c r="D12" i="10"/>
  <c r="H46" i="3"/>
  <c r="D46" i="3"/>
  <c r="H33" i="11"/>
  <c r="D33" i="11"/>
  <c r="J64" i="13"/>
  <c r="H23" i="2"/>
  <c r="D23" i="2"/>
  <c r="J21" i="13"/>
  <c r="H14" i="10"/>
  <c r="D14" i="10"/>
  <c r="J28" i="13"/>
  <c r="H15" i="6"/>
  <c r="D15" i="6"/>
  <c r="G43" i="10"/>
  <c r="C43" i="10"/>
  <c r="H8" i="6"/>
  <c r="D8" i="6"/>
  <c r="J38" i="13"/>
  <c r="H35" i="2"/>
  <c r="D35" i="2"/>
  <c r="H32" i="11"/>
  <c r="D32" i="11"/>
  <c r="H5" i="7"/>
  <c r="D5" i="7"/>
  <c r="H10" i="3"/>
  <c r="D10" i="3"/>
  <c r="H12" i="3"/>
  <c r="D12" i="3"/>
  <c r="H38" i="3"/>
  <c r="D38" i="3"/>
  <c r="T37" i="9"/>
  <c r="H40" i="10"/>
  <c r="D40" i="10"/>
  <c r="H41" i="5"/>
  <c r="D41" i="5"/>
  <c r="H19" i="12"/>
  <c r="D19" i="12"/>
  <c r="J3" i="13"/>
  <c r="H30" i="12"/>
  <c r="D30" i="12"/>
  <c r="H12" i="12"/>
  <c r="D12" i="12"/>
  <c r="H11" i="12"/>
  <c r="D11" i="12"/>
  <c r="H9" i="12"/>
  <c r="D9" i="12"/>
  <c r="H32" i="8"/>
  <c r="D32" i="8"/>
  <c r="AO6" i="6"/>
  <c r="AL6" i="6"/>
  <c r="H43" i="7"/>
  <c r="G44" i="7"/>
  <c r="D43" i="7"/>
  <c r="C44" i="7"/>
  <c r="J10" i="13"/>
  <c r="AI4" i="12"/>
  <c r="R25" i="12"/>
  <c r="U16" i="12"/>
  <c r="U14" i="12"/>
  <c r="H38" i="12"/>
  <c r="H24" i="12"/>
  <c r="H22" i="12"/>
  <c r="H45" i="12"/>
  <c r="D45" i="12"/>
  <c r="H15" i="12"/>
  <c r="D15" i="12"/>
  <c r="H43" i="12"/>
  <c r="D43" i="12"/>
  <c r="H41" i="12"/>
  <c r="D41" i="12"/>
  <c r="H28" i="12"/>
  <c r="D28" i="12"/>
  <c r="H16" i="12"/>
  <c r="D16" i="12"/>
  <c r="H14" i="12"/>
  <c r="D14" i="12"/>
  <c r="H7" i="12"/>
  <c r="D7" i="12"/>
  <c r="H8" i="12"/>
  <c r="D8" i="12"/>
  <c r="AI7" i="7"/>
  <c r="AL7" i="7"/>
  <c r="AO7" i="7"/>
  <c r="R26" i="7"/>
  <c r="R24" i="7"/>
  <c r="U16" i="7"/>
  <c r="U15" i="7"/>
  <c r="H7" i="7"/>
  <c r="D7" i="7"/>
  <c r="H38" i="7"/>
  <c r="D38" i="7"/>
  <c r="H21" i="7"/>
  <c r="D21" i="7"/>
  <c r="H18" i="7"/>
  <c r="D18" i="7"/>
  <c r="H23" i="7"/>
  <c r="D23" i="7"/>
  <c r="H31" i="7"/>
  <c r="D31" i="7"/>
  <c r="H29" i="7"/>
  <c r="D29" i="7"/>
  <c r="J12" i="13"/>
  <c r="J51" i="13"/>
  <c r="R33" i="10"/>
  <c r="R29" i="10"/>
  <c r="AI17" i="10"/>
  <c r="U22" i="10"/>
  <c r="U19" i="10"/>
  <c r="U17" i="10"/>
  <c r="H28" i="10"/>
  <c r="D28" i="10"/>
  <c r="H33" i="8"/>
  <c r="D33" i="8"/>
  <c r="AK14" i="9"/>
  <c r="T35" i="9"/>
  <c r="AN14" i="9"/>
  <c r="W18" i="9"/>
  <c r="W17" i="9"/>
  <c r="W14" i="9"/>
  <c r="AN4" i="9"/>
  <c r="AK4" i="9"/>
  <c r="J47" i="13"/>
  <c r="J15" i="13"/>
  <c r="H14" i="8"/>
  <c r="D14" i="8"/>
  <c r="H5" i="8"/>
  <c r="D5" i="8"/>
  <c r="H12" i="8"/>
  <c r="D12" i="8"/>
  <c r="H30" i="8"/>
  <c r="D30" i="8"/>
  <c r="H31" i="8"/>
  <c r="D31" i="8"/>
  <c r="H4" i="8"/>
  <c r="D4" i="8"/>
  <c r="H21" i="8"/>
  <c r="D21" i="8"/>
  <c r="J6" i="13"/>
  <c r="J53" i="13"/>
  <c r="AF25" i="5"/>
  <c r="R27" i="5"/>
  <c r="R26" i="5"/>
  <c r="H40" i="5"/>
  <c r="D40" i="5"/>
  <c r="H37" i="5"/>
  <c r="D37" i="5"/>
  <c r="D35" i="5"/>
  <c r="H35" i="5"/>
  <c r="J22" i="13"/>
  <c r="T30" i="4"/>
  <c r="W17" i="4"/>
  <c r="W15" i="4"/>
  <c r="AF27" i="3"/>
  <c r="AI14" i="3"/>
  <c r="AL14" i="3"/>
  <c r="AL15" i="3"/>
  <c r="AL18" i="3"/>
  <c r="R27" i="3"/>
  <c r="R24" i="3"/>
  <c r="U15" i="3"/>
  <c r="U14" i="3"/>
  <c r="D14" i="3"/>
  <c r="H24" i="3"/>
  <c r="D24" i="3"/>
  <c r="H22" i="3"/>
  <c r="D22" i="3"/>
  <c r="H7" i="3"/>
  <c r="D7" i="3"/>
  <c r="AF25" i="2"/>
  <c r="AI16" i="2"/>
  <c r="AI15" i="2"/>
  <c r="R23" i="2"/>
  <c r="U17" i="2"/>
  <c r="D20" i="2"/>
  <c r="H20" i="2"/>
  <c r="J19" i="13"/>
  <c r="U23" i="6"/>
  <c r="H33" i="6"/>
  <c r="D33" i="6"/>
  <c r="W18" i="1"/>
  <c r="H34" i="3"/>
  <c r="D34" i="3"/>
  <c r="H3" i="5"/>
  <c r="H4" i="5"/>
  <c r="H7" i="5"/>
  <c r="H9" i="5"/>
  <c r="H10" i="5"/>
  <c r="H11" i="5"/>
  <c r="H13" i="5"/>
  <c r="H14" i="5"/>
  <c r="H16" i="5"/>
  <c r="H19" i="5"/>
  <c r="H23" i="5"/>
  <c r="H27" i="5"/>
  <c r="H28" i="5"/>
  <c r="H30" i="5"/>
  <c r="H31" i="5"/>
  <c r="H32" i="5"/>
  <c r="H34" i="5"/>
  <c r="H36" i="5"/>
  <c r="H42" i="5"/>
  <c r="H45" i="5"/>
  <c r="H46" i="5"/>
  <c r="H47" i="5"/>
  <c r="H48" i="5"/>
  <c r="H47" i="1"/>
  <c r="C47" i="1"/>
  <c r="I51" i="13"/>
  <c r="D34" i="5"/>
  <c r="H24" i="10"/>
  <c r="D24" i="10"/>
  <c r="D28" i="5"/>
  <c r="H25" i="6"/>
  <c r="D25" i="6"/>
  <c r="H18" i="10"/>
  <c r="D18" i="10"/>
  <c r="H18" i="3"/>
  <c r="D18" i="3"/>
  <c r="J8" i="13"/>
  <c r="H33" i="3"/>
  <c r="D33" i="3"/>
  <c r="H32" i="7"/>
  <c r="D32" i="7"/>
  <c r="H37" i="10"/>
  <c r="D37" i="10"/>
  <c r="H3" i="3"/>
  <c r="H5" i="3"/>
  <c r="H6" i="3"/>
  <c r="H11" i="3"/>
  <c r="H13" i="3"/>
  <c r="H15" i="3"/>
  <c r="H17" i="3"/>
  <c r="H20" i="3"/>
  <c r="H21" i="3"/>
  <c r="H23" i="3"/>
  <c r="H25" i="3"/>
  <c r="H28" i="3"/>
  <c r="H29" i="3"/>
  <c r="H30" i="3"/>
  <c r="H31" i="3"/>
  <c r="H35" i="3"/>
  <c r="H37" i="3"/>
  <c r="H41" i="3"/>
  <c r="H42" i="3"/>
  <c r="H43" i="3"/>
  <c r="H44" i="3"/>
  <c r="H47" i="3"/>
  <c r="D13" i="5"/>
  <c r="D42" i="5"/>
  <c r="H25" i="12"/>
  <c r="D25" i="12"/>
  <c r="J16" i="13"/>
  <c r="H24" i="7"/>
  <c r="D24" i="7"/>
  <c r="D21" i="3"/>
  <c r="D36" i="5"/>
  <c r="H39" i="11"/>
  <c r="D39" i="11"/>
  <c r="H42" i="10"/>
  <c r="D42" i="10"/>
  <c r="D37" i="3"/>
  <c r="H4" i="6"/>
  <c r="D4" i="6"/>
  <c r="D24" i="12"/>
  <c r="D30" i="3"/>
  <c r="D3" i="3"/>
  <c r="D23" i="5"/>
  <c r="H28" i="8"/>
  <c r="D28" i="8"/>
  <c r="H18" i="8"/>
  <c r="D18" i="8"/>
  <c r="H20" i="8"/>
  <c r="D20" i="8"/>
  <c r="H21" i="12"/>
  <c r="D21" i="12"/>
  <c r="H37" i="7"/>
  <c r="D37" i="7"/>
  <c r="H15" i="7"/>
  <c r="D15" i="7"/>
  <c r="H10" i="7"/>
  <c r="D10" i="7"/>
  <c r="H34" i="10"/>
  <c r="D34" i="10"/>
  <c r="H20" i="10"/>
  <c r="D20" i="10"/>
  <c r="D10" i="10"/>
  <c r="H10" i="10"/>
  <c r="H4" i="10"/>
  <c r="D4" i="10"/>
  <c r="H42" i="2"/>
  <c r="D42" i="2"/>
  <c r="J5" i="13"/>
  <c r="K5" i="13"/>
  <c r="AO5" i="5"/>
  <c r="AL5" i="5"/>
  <c r="AI5" i="5"/>
  <c r="D30" i="5"/>
  <c r="D16" i="5"/>
  <c r="H44" i="12"/>
  <c r="D44" i="12"/>
  <c r="H24" i="6"/>
  <c r="D24" i="6"/>
  <c r="H41" i="6"/>
  <c r="D41" i="6"/>
  <c r="H45" i="6"/>
  <c r="D45" i="6"/>
  <c r="H28" i="6"/>
  <c r="D28" i="6"/>
  <c r="H30" i="6"/>
  <c r="D30" i="6"/>
  <c r="H27" i="6"/>
  <c r="D27" i="6"/>
  <c r="H43" i="6"/>
  <c r="D43" i="6"/>
  <c r="H43" i="2"/>
  <c r="D43" i="2"/>
  <c r="H31" i="2"/>
  <c r="D31" i="2"/>
  <c r="H13" i="2"/>
  <c r="D13" i="2"/>
  <c r="D47" i="3"/>
  <c r="D31" i="3"/>
  <c r="D6" i="3"/>
  <c r="D10" i="5"/>
  <c r="H46" i="12"/>
  <c r="H42" i="12"/>
  <c r="H39" i="12"/>
  <c r="H36" i="12"/>
  <c r="H35" i="12"/>
  <c r="H27" i="12"/>
  <c r="H26" i="12"/>
  <c r="H23" i="12"/>
  <c r="H20" i="12"/>
  <c r="H18" i="12"/>
  <c r="H10" i="12"/>
  <c r="H5" i="12"/>
  <c r="H3" i="12"/>
  <c r="D46" i="12"/>
  <c r="D42" i="12"/>
  <c r="D39" i="12"/>
  <c r="D38" i="12"/>
  <c r="D36" i="12"/>
  <c r="D35" i="12"/>
  <c r="D27" i="12"/>
  <c r="D26" i="12"/>
  <c r="D23" i="12"/>
  <c r="D22" i="12"/>
  <c r="D20" i="12"/>
  <c r="D18" i="12"/>
  <c r="D10" i="12"/>
  <c r="D5" i="12"/>
  <c r="D3" i="12"/>
  <c r="H42" i="7"/>
  <c r="H40" i="7"/>
  <c r="H39" i="7"/>
  <c r="H33" i="7"/>
  <c r="H28" i="7"/>
  <c r="H27" i="7"/>
  <c r="H26" i="7"/>
  <c r="H25" i="7"/>
  <c r="H20" i="7"/>
  <c r="H19" i="7"/>
  <c r="H17" i="7"/>
  <c r="H14" i="7"/>
  <c r="H13" i="7"/>
  <c r="H12" i="7"/>
  <c r="H9" i="7"/>
  <c r="H6" i="7"/>
  <c r="D42" i="7"/>
  <c r="D40" i="7"/>
  <c r="D39" i="7"/>
  <c r="D34" i="7"/>
  <c r="D33" i="7"/>
  <c r="D28" i="7"/>
  <c r="D27" i="7"/>
  <c r="D26" i="7"/>
  <c r="D25" i="7"/>
  <c r="D20" i="7"/>
  <c r="D19" i="7"/>
  <c r="D17" i="7"/>
  <c r="D14" i="7"/>
  <c r="D13" i="7"/>
  <c r="D12" i="7"/>
  <c r="D9" i="7"/>
  <c r="D6" i="7"/>
  <c r="H43" i="11"/>
  <c r="H38" i="11"/>
  <c r="H37" i="11"/>
  <c r="H36" i="11"/>
  <c r="H35" i="11"/>
  <c r="H34" i="11"/>
  <c r="D43" i="11"/>
  <c r="D38" i="11"/>
  <c r="D37" i="11"/>
  <c r="D36" i="11"/>
  <c r="D35" i="11"/>
  <c r="D34" i="11"/>
  <c r="H39" i="10"/>
  <c r="H36" i="10"/>
  <c r="H35" i="10"/>
  <c r="H31" i="10"/>
  <c r="H26" i="10"/>
  <c r="H25" i="10"/>
  <c r="H23" i="10"/>
  <c r="H22" i="10"/>
  <c r="H21" i="10"/>
  <c r="H19" i="10"/>
  <c r="H17" i="10"/>
  <c r="H7" i="10"/>
  <c r="H6" i="10"/>
  <c r="H3" i="10"/>
  <c r="D39" i="10"/>
  <c r="D36" i="10"/>
  <c r="D35" i="10"/>
  <c r="D31" i="10"/>
  <c r="D27" i="10"/>
  <c r="D26" i="10"/>
  <c r="D25" i="10"/>
  <c r="D23" i="10"/>
  <c r="D22" i="10"/>
  <c r="D21" i="10"/>
  <c r="D19" i="10"/>
  <c r="D17" i="10"/>
  <c r="D7" i="10"/>
  <c r="D6" i="10"/>
  <c r="D3" i="10"/>
  <c r="H37" i="8"/>
  <c r="H36" i="8"/>
  <c r="H34" i="8"/>
  <c r="H29" i="8"/>
  <c r="H27" i="8"/>
  <c r="H25" i="8"/>
  <c r="H23" i="8"/>
  <c r="H22" i="8"/>
  <c r="H19" i="8"/>
  <c r="H16" i="8"/>
  <c r="H11" i="8"/>
  <c r="H8" i="8"/>
  <c r="D37" i="8"/>
  <c r="D36" i="8"/>
  <c r="D34" i="8"/>
  <c r="D29" i="8"/>
  <c r="D27" i="8"/>
  <c r="D25" i="8"/>
  <c r="D23" i="8"/>
  <c r="D22" i="8"/>
  <c r="D19" i="8"/>
  <c r="D16" i="8"/>
  <c r="D11" i="8"/>
  <c r="D8" i="8"/>
  <c r="H48" i="6"/>
  <c r="H47" i="6"/>
  <c r="H46" i="6"/>
  <c r="H44" i="6"/>
  <c r="H42" i="6"/>
  <c r="H40" i="6"/>
  <c r="H36" i="6"/>
  <c r="H35" i="6"/>
  <c r="H34" i="6"/>
  <c r="H32" i="6"/>
  <c r="H31" i="6"/>
  <c r="H23" i="6"/>
  <c r="H22" i="6"/>
  <c r="H20" i="6"/>
  <c r="H19" i="6"/>
  <c r="H18" i="6"/>
  <c r="H16" i="6"/>
  <c r="H14" i="6"/>
  <c r="H12" i="6"/>
  <c r="H11" i="6"/>
  <c r="H6" i="6"/>
  <c r="D48" i="6"/>
  <c r="D47" i="6"/>
  <c r="D46" i="6"/>
  <c r="D44" i="6"/>
  <c r="D42" i="6"/>
  <c r="D40" i="6"/>
  <c r="D36" i="6"/>
  <c r="D35" i="6"/>
  <c r="D34" i="6"/>
  <c r="D32" i="6"/>
  <c r="D31" i="6"/>
  <c r="D23" i="6"/>
  <c r="D22" i="6"/>
  <c r="D20" i="6"/>
  <c r="D19" i="6"/>
  <c r="D18" i="6"/>
  <c r="D16" i="6"/>
  <c r="D14" i="6"/>
  <c r="D12" i="6"/>
  <c r="D11" i="6"/>
  <c r="D6" i="6"/>
  <c r="U26" i="5"/>
  <c r="D48" i="5"/>
  <c r="D47" i="5"/>
  <c r="D46" i="5"/>
  <c r="D45" i="5"/>
  <c r="D32" i="5"/>
  <c r="D31" i="5"/>
  <c r="D27" i="5"/>
  <c r="D19" i="5"/>
  <c r="D14" i="5"/>
  <c r="D11" i="5"/>
  <c r="D9" i="5"/>
  <c r="D7" i="5"/>
  <c r="D4" i="5"/>
  <c r="D3" i="5"/>
  <c r="W30" i="4"/>
  <c r="U24" i="3"/>
  <c r="D44" i="3"/>
  <c r="D43" i="3"/>
  <c r="D42" i="3"/>
  <c r="D41" i="3"/>
  <c r="D35" i="3"/>
  <c r="D29" i="3"/>
  <c r="D28" i="3"/>
  <c r="D25" i="3"/>
  <c r="D23" i="3"/>
  <c r="D20" i="3"/>
  <c r="D17" i="3"/>
  <c r="D15" i="3"/>
  <c r="D13" i="3"/>
  <c r="D11" i="3"/>
  <c r="D5" i="3"/>
  <c r="U23" i="2"/>
  <c r="H49" i="2"/>
  <c r="H47" i="2"/>
  <c r="H45" i="2"/>
  <c r="H44" i="2"/>
  <c r="H41" i="2"/>
  <c r="H40" i="2"/>
  <c r="H37" i="2"/>
  <c r="H36" i="2"/>
  <c r="H34" i="2"/>
  <c r="H33" i="2"/>
  <c r="H32" i="2"/>
  <c r="H30" i="2"/>
  <c r="H29" i="2"/>
  <c r="H28" i="2"/>
  <c r="H27" i="2"/>
  <c r="H26" i="2"/>
  <c r="H21" i="2"/>
  <c r="H17" i="2"/>
  <c r="H16" i="2"/>
  <c r="H15" i="2"/>
  <c r="H14" i="2"/>
  <c r="H11" i="2"/>
  <c r="H10" i="2"/>
  <c r="H9" i="2"/>
  <c r="H8" i="2"/>
  <c r="H7" i="2"/>
  <c r="H6" i="2"/>
  <c r="H5" i="2"/>
  <c r="H4" i="2"/>
  <c r="D49" i="2"/>
  <c r="D47" i="2"/>
  <c r="D45" i="2"/>
  <c r="D44" i="2"/>
  <c r="D41" i="2"/>
  <c r="D40" i="2"/>
  <c r="D37" i="2"/>
  <c r="D36" i="2"/>
  <c r="D34" i="2"/>
  <c r="D33" i="2"/>
  <c r="D32" i="2"/>
  <c r="D30" i="2"/>
  <c r="D29" i="2"/>
  <c r="D28" i="2"/>
  <c r="D27" i="2"/>
  <c r="D26" i="2"/>
  <c r="D21" i="2"/>
  <c r="D17" i="2"/>
  <c r="D16" i="2"/>
  <c r="D15" i="2"/>
  <c r="D14" i="2"/>
  <c r="D11" i="2"/>
  <c r="D10" i="2"/>
  <c r="D9" i="2"/>
  <c r="D8" i="2"/>
  <c r="D7" i="2"/>
  <c r="D6" i="2"/>
  <c r="D5" i="2"/>
  <c r="D4" i="2"/>
  <c r="W31" i="1"/>
  <c r="N29" i="9"/>
  <c r="J34" i="13"/>
  <c r="J36" i="13"/>
  <c r="J4" i="13"/>
  <c r="J13" i="13"/>
  <c r="J59" i="13"/>
  <c r="H3" i="2"/>
  <c r="D3" i="2"/>
  <c r="J26" i="13"/>
  <c r="J7" i="13"/>
  <c r="C43" i="4"/>
  <c r="AL15" i="2"/>
  <c r="AL15" i="7"/>
  <c r="AI5" i="7"/>
  <c r="H3" i="7"/>
  <c r="D3" i="7"/>
  <c r="J25" i="13"/>
  <c r="AK9" i="9"/>
  <c r="AI8" i="3"/>
  <c r="AI6" i="2"/>
  <c r="AK11" i="1"/>
  <c r="J40" i="13"/>
  <c r="AL9" i="7"/>
  <c r="AL8" i="3"/>
  <c r="AL6" i="2"/>
  <c r="J9" i="13"/>
  <c r="J20" i="13"/>
  <c r="J27" i="13"/>
  <c r="AQ4" i="9"/>
  <c r="AO5" i="7"/>
  <c r="AR5" i="7"/>
  <c r="AO8" i="3"/>
  <c r="AO6" i="2"/>
  <c r="G50" i="2"/>
  <c r="C50" i="2"/>
  <c r="E43" i="4"/>
  <c r="J47" i="1"/>
  <c r="E47" i="1"/>
  <c r="K33" i="13"/>
  <c r="K34" i="13"/>
  <c r="K38" i="13"/>
  <c r="K6" i="13"/>
  <c r="K36" i="13"/>
  <c r="K20" i="13"/>
  <c r="K3" i="13"/>
  <c r="K19" i="13"/>
  <c r="K22" i="13"/>
  <c r="K17" i="13"/>
  <c r="K28" i="13"/>
  <c r="K10" i="13"/>
  <c r="K27" i="13"/>
  <c r="K12" i="13"/>
  <c r="K16" i="13"/>
  <c r="K25" i="13"/>
  <c r="K21" i="13"/>
  <c r="K8" i="13"/>
  <c r="K15" i="13"/>
  <c r="K7" i="13"/>
  <c r="K9" i="13"/>
  <c r="K13" i="13"/>
  <c r="K40" i="13"/>
  <c r="K4" i="13"/>
  <c r="K26" i="13"/>
  <c r="D49" i="6"/>
  <c r="H49" i="6"/>
  <c r="D38" i="8"/>
  <c r="D44" i="7"/>
  <c r="H44" i="7"/>
  <c r="H47" i="12"/>
  <c r="D47" i="12"/>
  <c r="H38" i="8"/>
  <c r="H43" i="10"/>
  <c r="D43" i="10"/>
  <c r="D44" i="11"/>
  <c r="D48" i="3"/>
  <c r="H48" i="3"/>
  <c r="H44" i="11"/>
  <c r="H50" i="2"/>
  <c r="D50" i="2"/>
  <c r="K14" i="13"/>
  <c r="F509" i="13"/>
  <c r="C509" i="13"/>
</calcChain>
</file>

<file path=xl/sharedStrings.xml><?xml version="1.0" encoding="utf-8"?>
<sst xmlns="http://schemas.openxmlformats.org/spreadsheetml/2006/main" count="9153" uniqueCount="1133">
  <si>
    <t>TRIES</t>
  </si>
  <si>
    <t>Tot</t>
  </si>
  <si>
    <t>POINTS</t>
  </si>
  <si>
    <t>TOTALS</t>
  </si>
  <si>
    <t>Evans</t>
  </si>
  <si>
    <t>Wood</t>
  </si>
  <si>
    <t>Penalty Tries</t>
  </si>
  <si>
    <t>Williams</t>
  </si>
  <si>
    <t>Trinder</t>
  </si>
  <si>
    <t>Yarde</t>
  </si>
  <si>
    <t>Joseph</t>
  </si>
  <si>
    <t>Marler</t>
  </si>
  <si>
    <t>Brown</t>
  </si>
  <si>
    <t>Care</t>
  </si>
  <si>
    <t>Bassett</t>
  </si>
  <si>
    <t>Johnson</t>
  </si>
  <si>
    <t>Launchbury</t>
  </si>
  <si>
    <t>Slater</t>
  </si>
  <si>
    <t>Most Points</t>
  </si>
  <si>
    <t>Rokoduguni</t>
  </si>
  <si>
    <t>Cooper-Woolley</t>
  </si>
  <si>
    <t>Youngs B</t>
  </si>
  <si>
    <t>Cook</t>
  </si>
  <si>
    <t>May</t>
  </si>
  <si>
    <t>Sharples</t>
  </si>
  <si>
    <t>Twelvetrees</t>
  </si>
  <si>
    <t>Stooke</t>
  </si>
  <si>
    <t>Att</t>
  </si>
  <si>
    <t>%</t>
  </si>
  <si>
    <t>Goals</t>
  </si>
  <si>
    <t>Ordered</t>
  </si>
  <si>
    <t>ordered</t>
  </si>
  <si>
    <t>TOTAL</t>
  </si>
  <si>
    <t>This Season</t>
  </si>
  <si>
    <t>-</t>
  </si>
  <si>
    <t>Whitten</t>
  </si>
  <si>
    <t>Slade</t>
  </si>
  <si>
    <t>Simpson</t>
  </si>
  <si>
    <t>McIntyre</t>
  </si>
  <si>
    <t>Youngs T</t>
  </si>
  <si>
    <t>Prem</t>
  </si>
  <si>
    <t>na</t>
  </si>
  <si>
    <t>Ewers</t>
  </si>
  <si>
    <t>Miller</t>
  </si>
  <si>
    <t>n/a</t>
  </si>
  <si>
    <t>Thomas</t>
  </si>
  <si>
    <t>Hughes</t>
  </si>
  <si>
    <t>Harrison</t>
  </si>
  <si>
    <t>Walker</t>
  </si>
  <si>
    <t>Gaskell</t>
  </si>
  <si>
    <t>Earle</t>
  </si>
  <si>
    <t xml:space="preserve"> </t>
  </si>
  <si>
    <t>Holmes</t>
  </si>
  <si>
    <t xml:space="preserve">Twelvetrees </t>
  </si>
  <si>
    <t>Collins</t>
  </si>
  <si>
    <t>Smith</t>
  </si>
  <si>
    <t>Armand</t>
  </si>
  <si>
    <t>Woodburn</t>
  </si>
  <si>
    <t>Watson</t>
  </si>
  <si>
    <t>Lewis</t>
  </si>
  <si>
    <t>Young</t>
  </si>
  <si>
    <t>Morris</t>
  </si>
  <si>
    <t>Morgan</t>
  </si>
  <si>
    <t>Haywood</t>
  </si>
  <si>
    <t>Kvesic</t>
  </si>
  <si>
    <t>Clark</t>
  </si>
  <si>
    <t>Most Tries</t>
  </si>
  <si>
    <t>McGuigan</t>
  </si>
  <si>
    <t>Yeandle</t>
  </si>
  <si>
    <t>Batty</t>
  </si>
  <si>
    <t>Hill</t>
  </si>
  <si>
    <t>Ellis</t>
  </si>
  <si>
    <t>CM</t>
  </si>
  <si>
    <t>CL</t>
  </si>
  <si>
    <t>Dunn</t>
  </si>
  <si>
    <t>Cowan-Dickie</t>
  </si>
  <si>
    <t>Francis</t>
  </si>
  <si>
    <t>Taione</t>
  </si>
  <si>
    <t>Nowell</t>
  </si>
  <si>
    <t>Chudley</t>
  </si>
  <si>
    <t>Townsend</t>
  </si>
  <si>
    <t>Atkinson</t>
  </si>
  <si>
    <t>Afoa</t>
  </si>
  <si>
    <t>Chisholm R</t>
  </si>
  <si>
    <t>Sinckler</t>
  </si>
  <si>
    <t>Collier</t>
  </si>
  <si>
    <t>Matthews</t>
  </si>
  <si>
    <t>Cole</t>
  </si>
  <si>
    <t>Balmain</t>
  </si>
  <si>
    <t>Hepburn</t>
  </si>
  <si>
    <t>Rowlands</t>
  </si>
  <si>
    <t>Brookes</t>
  </si>
  <si>
    <t>Lawes</t>
  </si>
  <si>
    <t>Beaumont</t>
  </si>
  <si>
    <t>Sal</t>
  </si>
  <si>
    <t>© Hillsport Media Ltd</t>
  </si>
  <si>
    <t>Top Strike Rates*</t>
  </si>
  <si>
    <t>Tuala</t>
  </si>
  <si>
    <t>Homer T</t>
  </si>
  <si>
    <t>Ewels</t>
  </si>
  <si>
    <t>Priestland</t>
  </si>
  <si>
    <t>2013/14</t>
  </si>
  <si>
    <t>Last Match             (all comps)</t>
  </si>
  <si>
    <t>Atkins</t>
  </si>
  <si>
    <t>Hendrickson</t>
  </si>
  <si>
    <t>Moon</t>
  </si>
  <si>
    <t>Short</t>
  </si>
  <si>
    <t>Woolmore</t>
  </si>
  <si>
    <t>Heinz</t>
  </si>
  <si>
    <t>Marshall</t>
  </si>
  <si>
    <t>Last Match             (All Comps)</t>
  </si>
  <si>
    <t>Symons</t>
  </si>
  <si>
    <t>Gopperth</t>
  </si>
  <si>
    <t>van Velze</t>
  </si>
  <si>
    <t xml:space="preserve">2013/14 </t>
  </si>
  <si>
    <t xml:space="preserve">2012/13 </t>
  </si>
  <si>
    <t>Fish</t>
  </si>
  <si>
    <t>Hutchinson</t>
  </si>
  <si>
    <t>Ludlam</t>
  </si>
  <si>
    <t>Neild</t>
  </si>
  <si>
    <t>Nott</t>
  </si>
  <si>
    <t>Robson</t>
  </si>
  <si>
    <t>Annett</t>
  </si>
  <si>
    <t>Baldwin</t>
  </si>
  <si>
    <t>Mama</t>
  </si>
  <si>
    <t>Pennell</t>
  </si>
  <si>
    <t>Schonert</t>
  </si>
  <si>
    <t xml:space="preserve">This Season </t>
  </si>
  <si>
    <t>2012/13</t>
  </si>
  <si>
    <t>Gls</t>
  </si>
  <si>
    <t>Mallinder</t>
  </si>
  <si>
    <t>Thacker H</t>
  </si>
  <si>
    <t>Hougaard</t>
  </si>
  <si>
    <t>Ludlow</t>
  </si>
  <si>
    <t>Marchant</t>
  </si>
  <si>
    <t>Thorley</t>
  </si>
  <si>
    <t>Evans L</t>
  </si>
  <si>
    <t>2014/15</t>
  </si>
  <si>
    <t>2013/14                        (Chall Cup)</t>
  </si>
  <si>
    <t>MacGinty</t>
  </si>
  <si>
    <t>Phillips</t>
  </si>
  <si>
    <t>Devoto</t>
  </si>
  <si>
    <t>Genge</t>
  </si>
  <si>
    <t>Cruse</t>
  </si>
  <si>
    <t>Taylor</t>
  </si>
  <si>
    <t xml:space="preserve">Humphreys </t>
  </si>
  <si>
    <t>Humphreys</t>
  </si>
  <si>
    <t>2015/16</t>
  </si>
  <si>
    <t>Langdon</t>
  </si>
  <si>
    <t>Ratuniyarawa</t>
  </si>
  <si>
    <t>Shillcock</t>
  </si>
  <si>
    <t>Chisholm J</t>
  </si>
  <si>
    <t>Tapuai</t>
  </si>
  <si>
    <t>Curry T</t>
  </si>
  <si>
    <t>Worth</t>
  </si>
  <si>
    <t>Umaga</t>
  </si>
  <si>
    <t>Lang</t>
  </si>
  <si>
    <t>Howe</t>
  </si>
  <si>
    <t>Simmonds J</t>
  </si>
  <si>
    <t>Simmonds S</t>
  </si>
  <si>
    <t>Solomona</t>
  </si>
  <si>
    <t>Malins</t>
  </si>
  <si>
    <t>Singleton</t>
  </si>
  <si>
    <t>Faletau</t>
  </si>
  <si>
    <t>Curry B</t>
  </si>
  <si>
    <t>CHAMPS CUP PO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</si>
  <si>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</si>
  <si>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</si>
  <si>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</si>
  <si>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</si>
  <si>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</si>
  <si>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</si>
  <si>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</si>
  <si>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Eadie</t>
  </si>
  <si>
    <t xml:space="preserve">Francis </t>
  </si>
  <si>
    <t>Ribbans</t>
  </si>
  <si>
    <t>van Wyk</t>
  </si>
  <si>
    <t>Cokanasiga</t>
  </si>
  <si>
    <t>Waller</t>
  </si>
  <si>
    <t>Ford G</t>
  </si>
  <si>
    <t>Obano</t>
  </si>
  <si>
    <t>Underhill</t>
  </si>
  <si>
    <t>Cliff</t>
  </si>
  <si>
    <t>de Klerk</t>
  </si>
  <si>
    <t>John</t>
  </si>
  <si>
    <t>Ross</t>
  </si>
  <si>
    <t>de Jongh</t>
  </si>
  <si>
    <t>Stuart</t>
  </si>
  <si>
    <t>2014/15                                (Chall Cup)</t>
  </si>
  <si>
    <t>Willis J</t>
  </si>
  <si>
    <t>Ackermann</t>
  </si>
  <si>
    <t>Polledri</t>
  </si>
  <si>
    <t>Elia</t>
  </si>
  <si>
    <t>Hudson</t>
  </si>
  <si>
    <t>Furbank</t>
  </si>
  <si>
    <t>Grayson</t>
  </si>
  <si>
    <t>Lawrence</t>
  </si>
  <si>
    <t>Mitchell</t>
  </si>
  <si>
    <t>White</t>
  </si>
  <si>
    <t>Hardwick</t>
  </si>
  <si>
    <t>Lamb</t>
  </si>
  <si>
    <t>Hanson</t>
  </si>
  <si>
    <t>Vailanu</t>
  </si>
  <si>
    <t>James S</t>
  </si>
  <si>
    <t xml:space="preserve">James L </t>
  </si>
  <si>
    <t>James L</t>
  </si>
  <si>
    <t>Olowofela J</t>
  </si>
  <si>
    <t>Reffell</t>
  </si>
  <si>
    <t>*Woodward</t>
  </si>
  <si>
    <t>Simmons</t>
  </si>
  <si>
    <t>Reed</t>
  </si>
  <si>
    <t>Redpath</t>
  </si>
  <si>
    <t>Bayliss</t>
  </si>
  <si>
    <t>Earl</t>
  </si>
  <si>
    <t>Vaughan</t>
  </si>
  <si>
    <t>Butler</t>
  </si>
  <si>
    <t>Seabrook</t>
  </si>
  <si>
    <t>2016/17</t>
  </si>
  <si>
    <t>PREM CUP</t>
  </si>
  <si>
    <t>PR</t>
  </si>
  <si>
    <t>GLO</t>
  </si>
  <si>
    <t>WOR</t>
  </si>
  <si>
    <t>SAL</t>
  </si>
  <si>
    <t>BTH</t>
  </si>
  <si>
    <t>NOR</t>
  </si>
  <si>
    <t xml:space="preserve">Atkins D </t>
  </si>
  <si>
    <t xml:space="preserve">Mercer Z </t>
  </si>
  <si>
    <t xml:space="preserve">Penalty Tries </t>
  </si>
  <si>
    <t xml:space="preserve">Watson A </t>
  </si>
  <si>
    <t xml:space="preserve">Evans L </t>
  </si>
  <si>
    <t xml:space="preserve">Chisholm J </t>
  </si>
  <si>
    <t xml:space="preserve">Chisholm R </t>
  </si>
  <si>
    <t xml:space="preserve">Ford G </t>
  </si>
  <si>
    <t xml:space="preserve">White B </t>
  </si>
  <si>
    <t xml:space="preserve">Youngs B </t>
  </si>
  <si>
    <t xml:space="preserve">Youngs T </t>
  </si>
  <si>
    <t xml:space="preserve">Francis P </t>
  </si>
  <si>
    <t xml:space="preserve">Waller A </t>
  </si>
  <si>
    <t xml:space="preserve">Curry B </t>
  </si>
  <si>
    <t xml:space="preserve">Curry T </t>
  </si>
  <si>
    <t xml:space="preserve">James S </t>
  </si>
  <si>
    <t xml:space="preserve">Watson M </t>
  </si>
  <si>
    <t xml:space="preserve">Willis J </t>
  </si>
  <si>
    <t xml:space="preserve">Lewis S </t>
  </si>
  <si>
    <t xml:space="preserve">Waller E </t>
  </si>
  <si>
    <t xml:space="preserve">Francis T </t>
  </si>
  <si>
    <t xml:space="preserve">Hill J </t>
  </si>
  <si>
    <t xml:space="preserve">Simmonds J </t>
  </si>
  <si>
    <t xml:space="preserve">Simmonds S </t>
  </si>
  <si>
    <t xml:space="preserve">Williams H </t>
  </si>
  <si>
    <t>HAR</t>
  </si>
  <si>
    <t>EXE</t>
  </si>
  <si>
    <t>WAS</t>
  </si>
  <si>
    <t>LEIC</t>
  </si>
  <si>
    <t xml:space="preserve">Harris B </t>
  </si>
  <si>
    <t xml:space="preserve">Harrison R </t>
  </si>
  <si>
    <t xml:space="preserve">Harrison T </t>
  </si>
  <si>
    <t>McConnochie</t>
  </si>
  <si>
    <t>*Tapuai</t>
  </si>
  <si>
    <t>*Devoto</t>
  </si>
  <si>
    <t>BRI</t>
  </si>
  <si>
    <t>Faletau T</t>
  </si>
  <si>
    <t>Heenan</t>
  </si>
  <si>
    <t>Joyce</t>
  </si>
  <si>
    <t>Leiua</t>
  </si>
  <si>
    <t>Luatua</t>
  </si>
  <si>
    <t>Morahan</t>
  </si>
  <si>
    <t>O'Conor</t>
  </si>
  <si>
    <t>Pincus</t>
  </si>
  <si>
    <t>Piutau C</t>
  </si>
  <si>
    <t>Piutau S</t>
  </si>
  <si>
    <t>Randall</t>
  </si>
  <si>
    <t>Sheedy</t>
  </si>
  <si>
    <t>Thacker</t>
  </si>
  <si>
    <t>Thomas D</t>
  </si>
  <si>
    <t>Thomas H</t>
  </si>
  <si>
    <t>Thomas Y</t>
  </si>
  <si>
    <t>Uren</t>
  </si>
  <si>
    <t>Vui</t>
  </si>
  <si>
    <t>PREM  CUP</t>
  </si>
  <si>
    <t>Last Match            (All Comps)</t>
  </si>
  <si>
    <t>Cuthbert</t>
  </si>
  <si>
    <t>Banahan</t>
  </si>
  <si>
    <t>Gleave</t>
  </si>
  <si>
    <t>*Banahan</t>
  </si>
  <si>
    <t>Chall Cup</t>
  </si>
  <si>
    <t>2016/17            (Chall Cup)</t>
  </si>
  <si>
    <t>2015/16           (Chall Cup)</t>
  </si>
  <si>
    <t>2014/15             (Chall Cup)</t>
  </si>
  <si>
    <t>Dombrandt</t>
  </si>
  <si>
    <t>Symons M</t>
  </si>
  <si>
    <t>Aspland-Rob'son</t>
  </si>
  <si>
    <t>Spencer W</t>
  </si>
  <si>
    <t>Biggar</t>
  </si>
  <si>
    <t>Naiyaravoro</t>
  </si>
  <si>
    <t>Franks</t>
  </si>
  <si>
    <t>*Biggar</t>
  </si>
  <si>
    <t>Shields</t>
  </si>
  <si>
    <t>Sopoaga</t>
  </si>
  <si>
    <t>Le Bourgeois</t>
  </si>
  <si>
    <t>Curtis</t>
  </si>
  <si>
    <t>West</t>
  </si>
  <si>
    <t>Willis T</t>
  </si>
  <si>
    <t>*Sopoaga</t>
  </si>
  <si>
    <t>Black</t>
  </si>
  <si>
    <t>Beck</t>
  </si>
  <si>
    <t>du Preez</t>
  </si>
  <si>
    <t>Heaney</t>
  </si>
  <si>
    <t>van Breda</t>
  </si>
  <si>
    <t>Venter</t>
  </si>
  <si>
    <t>Weir</t>
  </si>
  <si>
    <t>Miller I</t>
  </si>
  <si>
    <t>*Weir</t>
  </si>
  <si>
    <t>Atkinson M</t>
  </si>
  <si>
    <t>Clark M</t>
  </si>
  <si>
    <t>Hill P</t>
  </si>
  <si>
    <t>Holmes E</t>
  </si>
  <si>
    <t>Marshall R</t>
  </si>
  <si>
    <t>McGuigan B</t>
  </si>
  <si>
    <t>Miller R</t>
  </si>
  <si>
    <t>Morris A</t>
  </si>
  <si>
    <t>Phillips J</t>
  </si>
  <si>
    <t>Spencer B</t>
  </si>
  <si>
    <t>Stuart W</t>
  </si>
  <si>
    <t xml:space="preserve">Taylor H </t>
  </si>
  <si>
    <t>Taylor T</t>
  </si>
  <si>
    <t>Young T</t>
  </si>
  <si>
    <t>Zhvania</t>
  </si>
  <si>
    <t>Wright</t>
  </si>
  <si>
    <t>Lasike</t>
  </si>
  <si>
    <t>Ackermann R</t>
  </si>
  <si>
    <t>Afoa J</t>
  </si>
  <si>
    <t>Annett N</t>
  </si>
  <si>
    <t>Armand D</t>
  </si>
  <si>
    <t>Aspland-R'son S</t>
  </si>
  <si>
    <t>Attwood D</t>
  </si>
  <si>
    <t>Baldwin L</t>
  </si>
  <si>
    <t>Balmain F</t>
  </si>
  <si>
    <t>Banahan M</t>
  </si>
  <si>
    <t>Bassett J</t>
  </si>
  <si>
    <t>Batty R</t>
  </si>
  <si>
    <t>Bayliss J</t>
  </si>
  <si>
    <t>Beaumont J</t>
  </si>
  <si>
    <t>Beck A</t>
  </si>
  <si>
    <t>Biggar D</t>
  </si>
  <si>
    <t>Black C</t>
  </si>
  <si>
    <t>Boyce L</t>
  </si>
  <si>
    <t>Brookes K</t>
  </si>
  <si>
    <t>Brown M</t>
  </si>
  <si>
    <t>Butler W</t>
  </si>
  <si>
    <t>Campagnaro M</t>
  </si>
  <si>
    <t>Care D</t>
  </si>
  <si>
    <t>Chudley W</t>
  </si>
  <si>
    <t>Clarke F</t>
  </si>
  <si>
    <t>Cliff W</t>
  </si>
  <si>
    <t>Cokanasiga J</t>
  </si>
  <si>
    <t>Cole D</t>
  </si>
  <si>
    <t>Collier W</t>
  </si>
  <si>
    <t>Collins T</t>
  </si>
  <si>
    <t>Cook C</t>
  </si>
  <si>
    <t>Cowan-Dickie L</t>
  </si>
  <si>
    <t>Cruse T</t>
  </si>
  <si>
    <t>Cuthbert A</t>
  </si>
  <si>
    <t>de Jongh J</t>
  </si>
  <si>
    <t>de Klerk F</t>
  </si>
  <si>
    <t>Devoto O</t>
  </si>
  <si>
    <t>Dombrandt A</t>
  </si>
  <si>
    <t>du Preez C</t>
  </si>
  <si>
    <t>Dunn T</t>
  </si>
  <si>
    <t>Eadie M</t>
  </si>
  <si>
    <t>Earl B</t>
  </si>
  <si>
    <t>Earle N</t>
  </si>
  <si>
    <t>Elia E</t>
  </si>
  <si>
    <t>Ellis T</t>
  </si>
  <si>
    <t>Ewels C</t>
  </si>
  <si>
    <t>Ewers D</t>
  </si>
  <si>
    <t>Fenton-Wells N</t>
  </si>
  <si>
    <t>Fish J</t>
  </si>
  <si>
    <t>Ford-Robinson J</t>
  </si>
  <si>
    <t>Franks B</t>
  </si>
  <si>
    <t>Furbank G</t>
  </si>
  <si>
    <t>Gaskell J</t>
  </si>
  <si>
    <t>Genge E</t>
  </si>
  <si>
    <t>Gleave G</t>
  </si>
  <si>
    <t>Gopperth J</t>
  </si>
  <si>
    <t>Grayson J</t>
  </si>
  <si>
    <t>Haining N</t>
  </si>
  <si>
    <t>Hanson J</t>
  </si>
  <si>
    <t>Haywood M</t>
  </si>
  <si>
    <t>Heaney P</t>
  </si>
  <si>
    <t>Heenan J</t>
  </si>
  <si>
    <t>Heinz W</t>
  </si>
  <si>
    <t>Hendrickson T</t>
  </si>
  <si>
    <t>Hepburn A</t>
  </si>
  <si>
    <t>Hougaard F</t>
  </si>
  <si>
    <t>Howe T</t>
  </si>
  <si>
    <t>Hudson T</t>
  </si>
  <si>
    <t>Hughes N</t>
  </si>
  <si>
    <t>Humphreys P</t>
  </si>
  <si>
    <t>Hutchinson R</t>
  </si>
  <si>
    <t>Innard J</t>
  </si>
  <si>
    <t>John W</t>
  </si>
  <si>
    <t>Joseph J</t>
  </si>
  <si>
    <t>Joyce J</t>
  </si>
  <si>
    <t>Kerrod S</t>
  </si>
  <si>
    <t>Kvesic M</t>
  </si>
  <si>
    <t>Lamb D</t>
  </si>
  <si>
    <t>Lang J</t>
  </si>
  <si>
    <t>Langdon C</t>
  </si>
  <si>
    <t>Lasike P</t>
  </si>
  <si>
    <t>Launchbury J</t>
  </si>
  <si>
    <t>Lawday T</t>
  </si>
  <si>
    <t>Lawes C</t>
  </si>
  <si>
    <t>Lawrence O</t>
  </si>
  <si>
    <t>Le Bourgeois M</t>
  </si>
  <si>
    <t>Leiua A</t>
  </si>
  <si>
    <t>Luatua S</t>
  </si>
  <si>
    <t>Ludlam L</t>
  </si>
  <si>
    <t>Ludlow L</t>
  </si>
  <si>
    <t>MacGinty A</t>
  </si>
  <si>
    <t>Malins M</t>
  </si>
  <si>
    <t>Mallinder H</t>
  </si>
  <si>
    <t>Mama M</t>
  </si>
  <si>
    <t>Marchant J</t>
  </si>
  <si>
    <t>Marler J</t>
  </si>
  <si>
    <t>Maunder J</t>
  </si>
  <si>
    <t>May J</t>
  </si>
  <si>
    <t>McConnochie R</t>
  </si>
  <si>
    <t>McIntyre S</t>
  </si>
  <si>
    <t>Mitchell A</t>
  </si>
  <si>
    <t>Moon B</t>
  </si>
  <si>
    <t>Morahan L</t>
  </si>
  <si>
    <t>Morgan B</t>
  </si>
  <si>
    <t>Naiyaravoro T</t>
  </si>
  <si>
    <t>Neild C</t>
  </si>
  <si>
    <t>Nott G</t>
  </si>
  <si>
    <t>Nowell J</t>
  </si>
  <si>
    <t>Obano B</t>
  </si>
  <si>
    <t>O'Conor P</t>
  </si>
  <si>
    <t>O'Flaherty T</t>
  </si>
  <si>
    <t>Pennell C</t>
  </si>
  <si>
    <t>Pincus T</t>
  </si>
  <si>
    <t>Polledri J</t>
  </si>
  <si>
    <t>Priestland R</t>
  </si>
  <si>
    <t>Purdy H</t>
  </si>
  <si>
    <t>Randall H</t>
  </si>
  <si>
    <t>Rapava Ruskin V</t>
  </si>
  <si>
    <t>Ratuniyarawa A</t>
  </si>
  <si>
    <t>Redpath C</t>
  </si>
  <si>
    <t>Reed A</t>
  </si>
  <si>
    <t>Ribbans D</t>
  </si>
  <si>
    <t>Robson D</t>
  </si>
  <si>
    <t>Rokoduguni S</t>
  </si>
  <si>
    <t>Ross J</t>
  </si>
  <si>
    <t>Rowlands W</t>
  </si>
  <si>
    <t>Schonert N</t>
  </si>
  <si>
    <t>Seabrook T</t>
  </si>
  <si>
    <t>Searle B</t>
  </si>
  <si>
    <t>Sharples C</t>
  </si>
  <si>
    <t>Sheedy C</t>
  </si>
  <si>
    <t>Shields B</t>
  </si>
  <si>
    <t>Shillcock J</t>
  </si>
  <si>
    <t>Short J</t>
  </si>
  <si>
    <t>Simmons H</t>
  </si>
  <si>
    <t>Simpson J</t>
  </si>
  <si>
    <t>Sinckler K</t>
  </si>
  <si>
    <t>Skinner S</t>
  </si>
  <si>
    <t>Slade H</t>
  </si>
  <si>
    <t>Slater E</t>
  </si>
  <si>
    <t>Solomona D</t>
  </si>
  <si>
    <t>Sopoaga L</t>
  </si>
  <si>
    <t>Stooke E</t>
  </si>
  <si>
    <t>Taione E</t>
  </si>
  <si>
    <t>Tapuai B</t>
  </si>
  <si>
    <t>Thorley O</t>
  </si>
  <si>
    <t>Townsend S</t>
  </si>
  <si>
    <t>Trinder H</t>
  </si>
  <si>
    <t>Tuala A</t>
  </si>
  <si>
    <t>Tuilagi M</t>
  </si>
  <si>
    <t>Twelvetrees B</t>
  </si>
  <si>
    <t>Umaga J</t>
  </si>
  <si>
    <t>Underhill S</t>
  </si>
  <si>
    <t>Uren A</t>
  </si>
  <si>
    <t>Vailanu S</t>
  </si>
  <si>
    <t>van Breda S</t>
  </si>
  <si>
    <t>van Velze GJ</t>
  </si>
  <si>
    <t>van Wyk F</t>
  </si>
  <si>
    <t>Vaughan W</t>
  </si>
  <si>
    <t>Vellacott B</t>
  </si>
  <si>
    <t>Venter F</t>
  </si>
  <si>
    <t>Vui C</t>
  </si>
  <si>
    <t>Vuna C</t>
  </si>
  <si>
    <t>Wallace L</t>
  </si>
  <si>
    <t>Weir D</t>
  </si>
  <si>
    <t>West T</t>
  </si>
  <si>
    <t>Whitten I</t>
  </si>
  <si>
    <t>Wright M</t>
  </si>
  <si>
    <t>Wood T</t>
  </si>
  <si>
    <t>Woodburn O</t>
  </si>
  <si>
    <t>Woodward J</t>
  </si>
  <si>
    <t>Woolmore J</t>
  </si>
  <si>
    <t>Worth G</t>
  </si>
  <si>
    <t>Yarde M</t>
  </si>
  <si>
    <t>Yeandle J</t>
  </si>
  <si>
    <t>Zhvania Z</t>
  </si>
  <si>
    <t>Francis P</t>
  </si>
  <si>
    <t>Hardwick T</t>
  </si>
  <si>
    <t>Ashton</t>
  </si>
  <si>
    <t>Bresler</t>
  </si>
  <si>
    <t>Bresler A</t>
  </si>
  <si>
    <t>Clegg</t>
  </si>
  <si>
    <t>Clegg J</t>
  </si>
  <si>
    <t>Smith M</t>
  </si>
  <si>
    <t>^regular season</t>
  </si>
  <si>
    <t>Mercer</t>
  </si>
  <si>
    <t>2013/14           (European Cup)</t>
  </si>
  <si>
    <t>Hill T</t>
  </si>
  <si>
    <t>Painter</t>
  </si>
  <si>
    <t>Painter E</t>
  </si>
  <si>
    <t>Homer</t>
  </si>
  <si>
    <t>Janse van Rensburg</t>
  </si>
  <si>
    <t>Janse van Rensburg R</t>
  </si>
  <si>
    <t>Olowofela</t>
  </si>
  <si>
    <t>Wells</t>
  </si>
  <si>
    <t>Wells H</t>
  </si>
  <si>
    <t>Wilkinson</t>
  </si>
  <si>
    <t>Wilkinson K</t>
  </si>
  <si>
    <t>Walker J</t>
  </si>
  <si>
    <t>Coetzer</t>
  </si>
  <si>
    <t>Coetzer D</t>
  </si>
  <si>
    <t>Chapman</t>
  </si>
  <si>
    <t>Chapman C</t>
  </si>
  <si>
    <t>Barbeary</t>
  </si>
  <si>
    <t>Barbeary A</t>
  </si>
  <si>
    <t>Skinner H</t>
  </si>
  <si>
    <t>Bedlow</t>
  </si>
  <si>
    <t>Bedlow S</t>
  </si>
  <si>
    <t>Eden</t>
  </si>
  <si>
    <t>Eden T</t>
  </si>
  <si>
    <t>Atkins D</t>
  </si>
  <si>
    <t>Reffell T</t>
  </si>
  <si>
    <t>du Preez R</t>
  </si>
  <si>
    <t>Capstick</t>
  </si>
  <si>
    <t>Capstick R</t>
  </si>
  <si>
    <t>Keast</t>
  </si>
  <si>
    <t>Keast B</t>
  </si>
  <si>
    <t>Ashton C</t>
  </si>
  <si>
    <t>Dingwall</t>
  </si>
  <si>
    <t>Dingwall F</t>
  </si>
  <si>
    <t>Sleightholme</t>
  </si>
  <si>
    <t>Sleightholme O</t>
  </si>
  <si>
    <t>du Preez J-L</t>
  </si>
  <si>
    <t>Williams M</t>
  </si>
  <si>
    <t>Judge C</t>
  </si>
  <si>
    <t>Murley</t>
  </si>
  <si>
    <t>Murley C</t>
  </si>
  <si>
    <t>Powell</t>
  </si>
  <si>
    <t>Powell C</t>
  </si>
  <si>
    <t>Lonsdale</t>
  </si>
  <si>
    <t>Lonsdale S</t>
  </si>
  <si>
    <t>Coles</t>
  </si>
  <si>
    <t>Coles A</t>
  </si>
  <si>
    <t>David</t>
  </si>
  <si>
    <t>David N</t>
  </si>
  <si>
    <t>Top Try Scorer^</t>
  </si>
  <si>
    <t>Morozov</t>
  </si>
  <si>
    <t>Morozov V</t>
  </si>
  <si>
    <t>Gigena</t>
  </si>
  <si>
    <t>Gigena F</t>
  </si>
  <si>
    <t xml:space="preserve">Golden Boot^ </t>
  </si>
  <si>
    <t>Moon A</t>
  </si>
  <si>
    <t>Postlethwaite</t>
  </si>
  <si>
    <t>Postlethwaite M</t>
  </si>
  <si>
    <t>Hidalgo-Clyne S</t>
  </si>
  <si>
    <t>2017/18</t>
  </si>
  <si>
    <t>2017/18       (Chall Cup)</t>
  </si>
  <si>
    <t>2013/14  (European Cup)</t>
  </si>
  <si>
    <t>LIR</t>
  </si>
  <si>
    <t>Brand</t>
  </si>
  <si>
    <t>Brophy-Clews</t>
  </si>
  <si>
    <t>Chawatawa</t>
  </si>
  <si>
    <t>Cowan</t>
  </si>
  <si>
    <t>Elrington</t>
  </si>
  <si>
    <t>Goodrick-Clarke</t>
  </si>
  <si>
    <t>Hepetama</t>
  </si>
  <si>
    <t>Hoskins</t>
  </si>
  <si>
    <t>Ioane</t>
  </si>
  <si>
    <t>Jackson</t>
  </si>
  <si>
    <t>Loader</t>
  </si>
  <si>
    <t>Maddison</t>
  </si>
  <si>
    <t>Meehan</t>
  </si>
  <si>
    <t>Matu'u</t>
  </si>
  <si>
    <t>Parton</t>
  </si>
  <si>
    <t>Rogerson</t>
  </si>
  <si>
    <t>Rona</t>
  </si>
  <si>
    <t>Steele</t>
  </si>
  <si>
    <t>Tuisue</t>
  </si>
  <si>
    <t>Atkins J</t>
  </si>
  <si>
    <t>Brophy-Clews T</t>
  </si>
  <si>
    <t>Jackson P</t>
  </si>
  <si>
    <t>*Jackson</t>
  </si>
  <si>
    <t>Rees-Zammit</t>
  </si>
  <si>
    <t>Hinkley</t>
  </si>
  <si>
    <t>Barton</t>
  </si>
  <si>
    <t>Wyatt</t>
  </si>
  <si>
    <t>Karea</t>
  </si>
  <si>
    <t>Herron</t>
  </si>
  <si>
    <t>McMillan</t>
  </si>
  <si>
    <t>Hammersley</t>
  </si>
  <si>
    <t>Hammersley S</t>
  </si>
  <si>
    <t>Sirker C</t>
  </si>
  <si>
    <t>Montgomery C</t>
  </si>
  <si>
    <t>Hearle A</t>
  </si>
  <si>
    <t>Barton G</t>
  </si>
  <si>
    <t xml:space="preserve">Barton G </t>
  </si>
  <si>
    <t>Hinkley A</t>
  </si>
  <si>
    <t>Rees-Zammit L</t>
  </si>
  <si>
    <t xml:space="preserve">GLO </t>
  </si>
  <si>
    <t>Karea B</t>
  </si>
  <si>
    <t xml:space="preserve">EXE </t>
  </si>
  <si>
    <t>Wyatt T</t>
  </si>
  <si>
    <t>Herron B</t>
  </si>
  <si>
    <t>McMilan R</t>
  </si>
  <si>
    <t>McMIlan R</t>
  </si>
  <si>
    <t>Vermeulen</t>
  </si>
  <si>
    <t>Vermeulen J</t>
  </si>
  <si>
    <t>Reid</t>
  </si>
  <si>
    <t>Cardall</t>
  </si>
  <si>
    <t>Cardall T</t>
  </si>
  <si>
    <t>du Preez D</t>
  </si>
  <si>
    <t>Cooper-Woolley J</t>
  </si>
  <si>
    <t>Roebuck</t>
  </si>
  <si>
    <t>Roebuck T</t>
  </si>
  <si>
    <t xml:space="preserve">Curtis </t>
  </si>
  <si>
    <t>Curtis T</t>
  </si>
  <si>
    <t>Williams J</t>
  </si>
  <si>
    <t>Landajo</t>
  </si>
  <si>
    <t>Landajo M</t>
  </si>
  <si>
    <t>Baldwin S</t>
  </si>
  <si>
    <t>Van der Merwe A</t>
  </si>
  <si>
    <t>Wolstenholme</t>
  </si>
  <si>
    <t>Wolstenhome S</t>
  </si>
  <si>
    <t>Wolstenholme S</t>
  </si>
  <si>
    <t>Englefield</t>
  </si>
  <si>
    <t>Cooke</t>
  </si>
  <si>
    <t>Morris J</t>
  </si>
  <si>
    <t>Street</t>
  </si>
  <si>
    <t>Street M</t>
  </si>
  <si>
    <t>Bates</t>
  </si>
  <si>
    <t>Bates J</t>
  </si>
  <si>
    <t>Capon</t>
  </si>
  <si>
    <t>Capon W</t>
  </si>
  <si>
    <t>Lloyd</t>
  </si>
  <si>
    <t>Lloyd I</t>
  </si>
  <si>
    <t>Hassell-Collins</t>
  </si>
  <si>
    <t>Hassell-Collins O</t>
  </si>
  <si>
    <t>van der Merwe A</t>
  </si>
  <si>
    <t>Seq</t>
  </si>
  <si>
    <t>PREM</t>
  </si>
  <si>
    <t>CHAMPS CUP</t>
  </si>
  <si>
    <t>CHALL CUP</t>
  </si>
  <si>
    <t>2016/17 (CHALL CUP)</t>
  </si>
  <si>
    <t>2015/16                (CHALL CUP)</t>
  </si>
  <si>
    <t>2013/14                           (CHALL CUP)</t>
  </si>
  <si>
    <t>Kibirige</t>
  </si>
  <si>
    <t>Naholo</t>
  </si>
  <si>
    <t>Naholo W</t>
  </si>
  <si>
    <t>Phipps</t>
  </si>
  <si>
    <t>Phipps N</t>
  </si>
  <si>
    <t>Kibirige Z</t>
  </si>
  <si>
    <t>Hamer-Webb</t>
  </si>
  <si>
    <t>Hamer-Webb G</t>
  </si>
  <si>
    <t>Oosthuizen</t>
  </si>
  <si>
    <t>Oosthuizen C</t>
  </si>
  <si>
    <t>Harris</t>
  </si>
  <si>
    <t xml:space="preserve">Franks </t>
  </si>
  <si>
    <t>Proctor</t>
  </si>
  <si>
    <t>Proctor M</t>
  </si>
  <si>
    <t>Hogg</t>
  </si>
  <si>
    <t>Hogg S</t>
  </si>
  <si>
    <t>Fricker</t>
  </si>
  <si>
    <t>Fricker T</t>
  </si>
  <si>
    <t>Heward</t>
  </si>
  <si>
    <t>Heward N</t>
  </si>
  <si>
    <t>Kitto</t>
  </si>
  <si>
    <t>Kitto J</t>
  </si>
  <si>
    <t>Palframan</t>
  </si>
  <si>
    <t>Palframan R</t>
  </si>
  <si>
    <t>Simpson G</t>
  </si>
  <si>
    <t>Ford</t>
  </si>
  <si>
    <t>*Ford</t>
  </si>
  <si>
    <t>Steward</t>
  </si>
  <si>
    <t>Steward F</t>
  </si>
  <si>
    <t>Leatigaga</t>
  </si>
  <si>
    <t>Leatigaga N</t>
  </si>
  <si>
    <t>Mafi</t>
  </si>
  <si>
    <t>Mafi S</t>
  </si>
  <si>
    <t>Harris C</t>
  </si>
  <si>
    <t>Taufua</t>
  </si>
  <si>
    <t>Taufua J</t>
  </si>
  <si>
    <t>Kirsten</t>
  </si>
  <si>
    <t>Kirsten J</t>
  </si>
  <si>
    <t>Coleman</t>
  </si>
  <si>
    <t>Coleman A</t>
  </si>
  <si>
    <t>Lewies</t>
  </si>
  <si>
    <t>Lewies S</t>
  </si>
  <si>
    <t>Fekitoa</t>
  </si>
  <si>
    <t>Fekitoa M</t>
  </si>
  <si>
    <t>Minozzi</t>
  </si>
  <si>
    <t>Minozzi M</t>
  </si>
  <si>
    <t>Fidow</t>
  </si>
  <si>
    <t>Fidow E</t>
  </si>
  <si>
    <t>Attwood</t>
  </si>
  <si>
    <t>Northmore</t>
  </si>
  <si>
    <t>Northmore L</t>
  </si>
  <si>
    <t>Purdy</t>
  </si>
  <si>
    <t>Price</t>
  </si>
  <si>
    <t>Price T</t>
  </si>
  <si>
    <t>Alo</t>
  </si>
  <si>
    <t>Alo B</t>
  </si>
  <si>
    <t>Tuisue A</t>
  </si>
  <si>
    <t>Young G</t>
  </si>
  <si>
    <t>Lawday</t>
  </si>
  <si>
    <t>McNally</t>
  </si>
  <si>
    <t>McNally J</t>
  </si>
  <si>
    <t>Rona C</t>
  </si>
  <si>
    <t>2015/16    (CHALL CUP)</t>
  </si>
  <si>
    <t>2013/14    (CHALL CUP)</t>
  </si>
  <si>
    <t>Oghre</t>
  </si>
  <si>
    <t>Oghre G</t>
  </si>
  <si>
    <t>Cavubati</t>
  </si>
  <si>
    <t>Cavubati T</t>
  </si>
  <si>
    <t>McPhillips J</t>
  </si>
  <si>
    <t>*McPhillips</t>
  </si>
  <si>
    <t>Varney</t>
  </si>
  <si>
    <t>Varney S</t>
  </si>
  <si>
    <t>Cornish</t>
  </si>
  <si>
    <t>Radradra</t>
  </si>
  <si>
    <t>Radradra S</t>
  </si>
  <si>
    <t>Cutting</t>
  </si>
  <si>
    <t>Cutting B</t>
  </si>
  <si>
    <t>Steele S</t>
  </si>
  <si>
    <t>Wallace</t>
  </si>
  <si>
    <t>Henry</t>
  </si>
  <si>
    <t>Henry Z</t>
  </si>
  <si>
    <t>Boyce</t>
  </si>
  <si>
    <t>de Glanville</t>
  </si>
  <si>
    <t>de Glanville T</t>
  </si>
  <si>
    <t>*Spencer</t>
  </si>
  <si>
    <t>Hidalgo-Clyne</t>
  </si>
  <si>
    <t>Williams D</t>
  </si>
  <si>
    <t>Walker H</t>
  </si>
  <si>
    <t>Matavesi</t>
  </si>
  <si>
    <t>Matavesi Josh</t>
  </si>
  <si>
    <t>Matavesi J</t>
  </si>
  <si>
    <t>Olowofela R</t>
  </si>
  <si>
    <t>Henderson</t>
  </si>
  <si>
    <t>Henderson C</t>
  </si>
  <si>
    <t>Potter</t>
  </si>
  <si>
    <t>Potter H</t>
  </si>
  <si>
    <t>Creevy</t>
  </si>
  <si>
    <t>Creevy A</t>
  </si>
  <si>
    <t>Nanai</t>
  </si>
  <si>
    <t>Nanai M</t>
  </si>
  <si>
    <t>Liebenberg</t>
  </si>
  <si>
    <t>Liebenberg H</t>
  </si>
  <si>
    <t>Stanley</t>
  </si>
  <si>
    <t>Stanley J</t>
  </si>
  <si>
    <t>Gillespie</t>
  </si>
  <si>
    <t>Gillespie J</t>
  </si>
  <si>
    <t>Gray</t>
  </si>
  <si>
    <t>Gray J</t>
  </si>
  <si>
    <t>Spink</t>
  </si>
  <si>
    <t>Spink S</t>
  </si>
  <si>
    <t>Donnell</t>
  </si>
  <si>
    <t>Donnell B</t>
  </si>
  <si>
    <t>McCabe</t>
  </si>
  <si>
    <t>McCabe P</t>
  </si>
  <si>
    <t>Cordero</t>
  </si>
  <si>
    <t>Witty</t>
  </si>
  <si>
    <t>Witty W</t>
  </si>
  <si>
    <t>Hodge</t>
  </si>
  <si>
    <t>Hodge J</t>
  </si>
  <si>
    <t>Alemanno</t>
  </si>
  <si>
    <t>Nadolo</t>
  </si>
  <si>
    <t>Nadolo N</t>
  </si>
  <si>
    <t>Byrne</t>
  </si>
  <si>
    <t>Byrne B</t>
  </si>
  <si>
    <t>Scott</t>
  </si>
  <si>
    <t>Scott M</t>
  </si>
  <si>
    <t>Vellacott</t>
  </si>
  <si>
    <t>Southworth</t>
  </si>
  <si>
    <t>Southworth D</t>
  </si>
  <si>
    <t>Cordero F</t>
  </si>
  <si>
    <t>Alemanno M</t>
  </si>
  <si>
    <t>Hoskins O</t>
  </si>
  <si>
    <t>Parton T</t>
  </si>
  <si>
    <t>Rogerson M</t>
  </si>
  <si>
    <t>Cornish M</t>
  </si>
  <si>
    <t>Cowan B</t>
  </si>
  <si>
    <t>Matu'u M</t>
  </si>
  <si>
    <t>Loader B</t>
  </si>
  <si>
    <t>Meehan B</t>
  </si>
  <si>
    <t>Brand R</t>
  </si>
  <si>
    <t>BATH 2020/21 SCORERS</t>
  </si>
  <si>
    <t>BRISTOL 2020/21 SCORERS</t>
  </si>
  <si>
    <t>EXETER 2020/21 SCORERS</t>
  </si>
  <si>
    <t>GLOUCESTER 2020/21 SCORERS</t>
  </si>
  <si>
    <t>HARLEQUINS 2020/21 SCORERS</t>
  </si>
  <si>
    <t>LEICESTER 2020/21 SCORERS</t>
  </si>
  <si>
    <t>LONDON IRISH 2020/21 SCORERS</t>
  </si>
  <si>
    <t>NORTHAMPTON 2020/21 SCORERS</t>
  </si>
  <si>
    <t>SALE 2020/21 SCORERS</t>
  </si>
  <si>
    <t>WASPS 2020/21 SCORERS</t>
  </si>
  <si>
    <t>WORCESTER 2020/21 SCORERS</t>
  </si>
  <si>
    <t>GP</t>
  </si>
  <si>
    <t>2018/19</t>
  </si>
  <si>
    <t xml:space="preserve">2018/19 </t>
  </si>
  <si>
    <t>2018/19          (CHALL CUP)</t>
  </si>
  <si>
    <t>*Tapuai for Bath before 2018/19</t>
  </si>
  <si>
    <t>*Biggar for Ospreys (P14) before 2018/19</t>
  </si>
  <si>
    <t>*Weir for Edinburgh &amp; Glasgow (P12/14) before 2018/19</t>
  </si>
  <si>
    <t>Doughty</t>
  </si>
  <si>
    <t>Doughty T</t>
  </si>
  <si>
    <t>Fox</t>
  </si>
  <si>
    <t>Fox O</t>
  </si>
  <si>
    <t>Green</t>
  </si>
  <si>
    <t>Green M</t>
  </si>
  <si>
    <t>Judge</t>
  </si>
  <si>
    <t xml:space="preserve">Judge </t>
  </si>
  <si>
    <t>Reid M</t>
  </si>
  <si>
    <t>Muir</t>
  </si>
  <si>
    <t>Muir W</t>
  </si>
  <si>
    <t>Schoeman</t>
  </si>
  <si>
    <t>Schoeman J</t>
  </si>
  <si>
    <t xml:space="preserve">Williams M </t>
  </si>
  <si>
    <t>Last Season</t>
  </si>
  <si>
    <t>Adeolokun</t>
  </si>
  <si>
    <t>Adeolokun N</t>
  </si>
  <si>
    <t>Armstrong</t>
  </si>
  <si>
    <t>Armstrong J</t>
  </si>
  <si>
    <t>Dun</t>
  </si>
  <si>
    <t>Dun J</t>
  </si>
  <si>
    <t xml:space="preserve">Earl </t>
  </si>
  <si>
    <t>Hawkins</t>
  </si>
  <si>
    <t>Hawkins J</t>
  </si>
  <si>
    <t>Lahiff</t>
  </si>
  <si>
    <t>Lahiff M</t>
  </si>
  <si>
    <t>Naulago</t>
  </si>
  <si>
    <t>Naulago S</t>
  </si>
  <si>
    <t>*Malins</t>
  </si>
  <si>
    <t>Last Season (Chall Cup)</t>
  </si>
  <si>
    <t>2016/17 (Chall Cup)</t>
  </si>
  <si>
    <t>2018/19       (Chall Cup)</t>
  </si>
  <si>
    <t>2015/16        (Chall Cup)</t>
  </si>
  <si>
    <t>2014/15        (Chall Cup)</t>
  </si>
  <si>
    <t>2013/14        (Chall Cup)</t>
  </si>
  <si>
    <t>*Devoto for Bath in 2014/15, Hogg for Glasgow before last season (Champions Cup/European Cup)</t>
  </si>
  <si>
    <t>Baldwin C</t>
  </si>
  <si>
    <t>Innard</t>
  </si>
  <si>
    <t>Johnson M</t>
  </si>
  <si>
    <t>Walsh</t>
  </si>
  <si>
    <t>Walsh J</t>
  </si>
  <si>
    <t xml:space="preserve">Last Season </t>
  </si>
  <si>
    <t>Craig</t>
  </si>
  <si>
    <t>Craig A</t>
  </si>
  <si>
    <t>Ford-Robinson</t>
  </si>
  <si>
    <t>Knight</t>
  </si>
  <si>
    <t>Knight C</t>
  </si>
  <si>
    <t>Moyle</t>
  </si>
  <si>
    <t>Moyle K</t>
  </si>
  <si>
    <t>Reid J</t>
  </si>
  <si>
    <t>*Woodward with Bristol in 2016/17</t>
  </si>
  <si>
    <t>2013/14   (European Cup)</t>
  </si>
  <si>
    <t>Campagnaro</t>
  </si>
  <si>
    <t>Els</t>
  </si>
  <si>
    <t>Els J</t>
  </si>
  <si>
    <t>Kerrod</t>
  </si>
  <si>
    <t>Louw</t>
  </si>
  <si>
    <t>Louw W</t>
  </si>
  <si>
    <t>White A</t>
  </si>
  <si>
    <t>Enever</t>
  </si>
  <si>
    <t>Enever B</t>
  </si>
  <si>
    <t>Heyes</t>
  </si>
  <si>
    <t>Heyes J</t>
  </si>
  <si>
    <t>Taute</t>
  </si>
  <si>
    <t>Taute J</t>
  </si>
  <si>
    <t>*Ford played for Bath from 2013/14-2016/17</t>
  </si>
  <si>
    <t>*McPhillips for Ulster (PRO14) before last season</t>
  </si>
  <si>
    <t>NEWCASTLE 2020/21 SCORERS</t>
  </si>
  <si>
    <t>Ah You</t>
  </si>
  <si>
    <t>Ah You R</t>
  </si>
  <si>
    <t>NEW</t>
  </si>
  <si>
    <t>Blamire</t>
  </si>
  <si>
    <t>Blamire J</t>
  </si>
  <si>
    <t>Brocklebank</t>
  </si>
  <si>
    <t>Brocklebank A</t>
  </si>
  <si>
    <t>Chick</t>
  </si>
  <si>
    <t>Chick C</t>
  </si>
  <si>
    <t>Collett C</t>
  </si>
  <si>
    <t>Collett</t>
  </si>
  <si>
    <t>Cooper</t>
  </si>
  <si>
    <t>Cooper K</t>
  </si>
  <si>
    <t>Dawson</t>
  </si>
  <si>
    <t>Dawson T</t>
  </si>
  <si>
    <t>De Chaves</t>
  </si>
  <si>
    <t>De Chaves S</t>
  </si>
  <si>
    <t>Hardie</t>
  </si>
  <si>
    <t>Hardie J</t>
  </si>
  <si>
    <t>Lockwood</t>
  </si>
  <si>
    <t>Lockwood S</t>
  </si>
  <si>
    <t>Maddison C</t>
  </si>
  <si>
    <t>McGuigan G</t>
  </si>
  <si>
    <t>Mulipola</t>
  </si>
  <si>
    <t>Mulipola L</t>
  </si>
  <si>
    <t>Peterson</t>
  </si>
  <si>
    <t>Peterson G</t>
  </si>
  <si>
    <t>Robinson</t>
  </si>
  <si>
    <t>Robinson S</t>
  </si>
  <si>
    <t>Tampin</t>
  </si>
  <si>
    <t>Arscott</t>
  </si>
  <si>
    <t>Connon</t>
  </si>
  <si>
    <t>Flood</t>
  </si>
  <si>
    <t>Hodgson</t>
  </si>
  <si>
    <t>Owen</t>
  </si>
  <si>
    <t>Radwan</t>
  </si>
  <si>
    <t>Stuart S</t>
  </si>
  <si>
    <t>Tait</t>
  </si>
  <si>
    <t>Tait A</t>
  </si>
  <si>
    <t>Tampin M</t>
  </si>
  <si>
    <t>van der Walt</t>
  </si>
  <si>
    <t>van der Walt P</t>
  </si>
  <si>
    <t>Vuna</t>
  </si>
  <si>
    <t>Welch</t>
  </si>
  <si>
    <t>Welch W</t>
  </si>
  <si>
    <t>Young M</t>
  </si>
  <si>
    <t>Arscott T</t>
  </si>
  <si>
    <t>Connon B</t>
  </si>
  <si>
    <t>Flood T</t>
  </si>
  <si>
    <t>Hodgson J</t>
  </si>
  <si>
    <t>Matavesi, Joel</t>
  </si>
  <si>
    <t>Owen G</t>
  </si>
  <si>
    <t>Radwan A</t>
  </si>
  <si>
    <t>Penny</t>
  </si>
  <si>
    <t>2018/19 (Champs Cup)</t>
  </si>
  <si>
    <t>*Flood</t>
  </si>
  <si>
    <t>*Flood with Leicester &amp; Toulouse (T14/Cmps Cup) before 2017/18</t>
  </si>
  <si>
    <t>Arscott with Sale  &amp; Mulipola with Leicester before 2018/19</t>
  </si>
  <si>
    <t>*Arscott</t>
  </si>
  <si>
    <t xml:space="preserve">Arscott </t>
  </si>
  <si>
    <t>Penny T</t>
  </si>
  <si>
    <t>2018/19        (Chall Cup)</t>
  </si>
  <si>
    <t>Tuilagi</t>
  </si>
  <si>
    <t>Wiese</t>
  </si>
  <si>
    <t>Wiese C</t>
  </si>
  <si>
    <t>Harris B</t>
  </si>
  <si>
    <t>Owlett</t>
  </si>
  <si>
    <t>Owlett J</t>
  </si>
  <si>
    <t>Porter</t>
  </si>
  <si>
    <t>Porter W</t>
  </si>
  <si>
    <t>Sirker</t>
  </si>
  <si>
    <t>*Sopoaga for Highlanders (SR) before 2018/19</t>
  </si>
  <si>
    <t xml:space="preserve">2017/18 </t>
  </si>
  <si>
    <t xml:space="preserve">2016/17 </t>
  </si>
  <si>
    <t xml:space="preserve">2015/16 </t>
  </si>
  <si>
    <t>2013/14       (Chall Cup)</t>
  </si>
  <si>
    <t>Hearle</t>
  </si>
  <si>
    <t>Montgomery</t>
  </si>
  <si>
    <t>Moulds</t>
  </si>
  <si>
    <t>Moulds M</t>
  </si>
  <si>
    <t xml:space="preserve">Searle </t>
  </si>
  <si>
    <t>Simmonds 34 straight all comps &amp; 20 Prem (Aug 30-Nov 20)</t>
  </si>
  <si>
    <t>Stevenson</t>
  </si>
  <si>
    <t>Stevenson B</t>
  </si>
  <si>
    <t>Clare</t>
  </si>
  <si>
    <t>Clare C</t>
  </si>
  <si>
    <t>van Wyk K</t>
  </si>
  <si>
    <t>Wigglesworth</t>
  </si>
  <si>
    <t>Wigglesworth R</t>
  </si>
  <si>
    <t>Diaz Bonilla J</t>
  </si>
  <si>
    <t>Diaz Bonilla</t>
  </si>
  <si>
    <t>Graham</t>
  </si>
  <si>
    <t>Isiekwe</t>
  </si>
  <si>
    <t>Isiekwe N</t>
  </si>
  <si>
    <t>Garvey</t>
  </si>
  <si>
    <t>Garvey M</t>
  </si>
  <si>
    <t>Odogwu</t>
  </si>
  <si>
    <t>Odogwu P</t>
  </si>
  <si>
    <t>Graham G</t>
  </si>
  <si>
    <t>Singleton J</t>
  </si>
  <si>
    <t>Green C</t>
  </si>
  <si>
    <t>Douglas</t>
  </si>
  <si>
    <t>Douglas L</t>
  </si>
  <si>
    <t>Fuser</t>
  </si>
  <si>
    <t>Fuser M</t>
  </si>
  <si>
    <t>2017/18        (Chall Cup)</t>
  </si>
  <si>
    <t>*Qual 10 attempts</t>
  </si>
  <si>
    <t>Wacokecoke</t>
  </si>
  <si>
    <t>Wacokecoke G</t>
  </si>
  <si>
    <t>*Malins for Saracens before last season</t>
  </si>
  <si>
    <t>Nagle-Taylor</t>
  </si>
  <si>
    <t>Nagle-Taylor S</t>
  </si>
  <si>
    <t>Atkinson C</t>
  </si>
  <si>
    <t>James</t>
  </si>
  <si>
    <t>James T</t>
  </si>
  <si>
    <t>Basham</t>
  </si>
  <si>
    <t>Basham J</t>
  </si>
  <si>
    <t>Brink</t>
  </si>
  <si>
    <t>Brink C</t>
  </si>
  <si>
    <t>2018/19   (Champs Cup)</t>
  </si>
  <si>
    <t>2017/18   (Champs Cup)</t>
  </si>
  <si>
    <t>2016/17   (Champs Cup)</t>
  </si>
  <si>
    <t>2015/16   (Champs Cup)</t>
  </si>
  <si>
    <t>2014/15   (Champs Cup)</t>
  </si>
  <si>
    <t>Kelly</t>
  </si>
  <si>
    <t>Kelly D</t>
  </si>
  <si>
    <t>Murimurivalu</t>
  </si>
  <si>
    <t>Murimurivalu K</t>
  </si>
  <si>
    <t>Cokanasiga P</t>
  </si>
  <si>
    <t>Stokes</t>
  </si>
  <si>
    <t>Stokes J</t>
  </si>
  <si>
    <t>*Jackson for Perpignan (Top 14) 2018/19 &amp; Ulster (PRO rugby &amp; Champs Cup) before 2018/19</t>
  </si>
  <si>
    <t>Venner</t>
  </si>
  <si>
    <t>Venner T</t>
  </si>
  <si>
    <t>*Searle for Wasps before last season</t>
  </si>
  <si>
    <t xml:space="preserve">*Searle </t>
  </si>
  <si>
    <t>*Searle</t>
  </si>
  <si>
    <t>Spencer 7/8 in Prem, 3/5 Champs Cup &amp; 5/6 Prem Cup for Saracens in 2019/20</t>
  </si>
  <si>
    <t>Kloska</t>
  </si>
  <si>
    <t>Kloska G</t>
  </si>
  <si>
    <t>Wilson</t>
  </si>
  <si>
    <t>Wilson M</t>
  </si>
  <si>
    <t>NEWE</t>
  </si>
  <si>
    <t>Orlando</t>
  </si>
  <si>
    <t>Orlando M</t>
  </si>
  <si>
    <t>McPhillips</t>
  </si>
  <si>
    <t>Adendorff</t>
  </si>
  <si>
    <t>Adendorff S</t>
  </si>
  <si>
    <t>Evans W</t>
  </si>
  <si>
    <t>Lynagh</t>
  </si>
  <si>
    <t>Lynagh L</t>
  </si>
  <si>
    <t>Smith slotted 20 Prem in a row between Nov 28 &amp; Jan 31</t>
  </si>
  <si>
    <t>Matavesi S</t>
  </si>
  <si>
    <t>*Schoeman</t>
  </si>
  <si>
    <t>*Spencer for Saracens, Redpath for Sale &amp; Schoeman for Cheetahs (P14) in previous seasons</t>
  </si>
  <si>
    <t>Schoeman T</t>
  </si>
  <si>
    <t>Montoya</t>
  </si>
  <si>
    <t>Montoya J</t>
  </si>
  <si>
    <t>Wiese J</t>
  </si>
  <si>
    <t>Morris O</t>
  </si>
  <si>
    <t>Carreras</t>
  </si>
  <si>
    <t>Carreras S</t>
  </si>
  <si>
    <t>Esterhuizen</t>
  </si>
  <si>
    <t>Esterhuizen A</t>
  </si>
  <si>
    <t>van Poortvliet</t>
  </si>
  <si>
    <t>Martin</t>
  </si>
  <si>
    <t xml:space="preserve">van Poortvliet J </t>
  </si>
  <si>
    <t>Martin G</t>
  </si>
  <si>
    <t>Rodd</t>
  </si>
  <si>
    <t>Rodd B</t>
  </si>
  <si>
    <t>Green T</t>
  </si>
  <si>
    <t>Freeman</t>
  </si>
  <si>
    <t>Freeman T</t>
  </si>
  <si>
    <t>Chessum</t>
  </si>
  <si>
    <t>Chessum O</t>
  </si>
  <si>
    <t>de Jager</t>
  </si>
  <si>
    <t>de Jager L</t>
  </si>
  <si>
    <t>Socino</t>
  </si>
  <si>
    <t>Socino S</t>
  </si>
  <si>
    <t>Davison</t>
  </si>
  <si>
    <t>Davison T</t>
  </si>
  <si>
    <t>Bailey</t>
  </si>
  <si>
    <t>Bailey O</t>
  </si>
  <si>
    <t>Priestland slotted a Prem record 36 kicks in a row Nov 2020-Mar 2021</t>
  </si>
  <si>
    <t>Batley</t>
  </si>
  <si>
    <t>Batley J</t>
  </si>
  <si>
    <t>Smith F</t>
  </si>
  <si>
    <t>Lavanini</t>
  </si>
  <si>
    <t>Lavanini T</t>
  </si>
  <si>
    <t>Harding</t>
  </si>
  <si>
    <t>Harding F</t>
  </si>
  <si>
    <t>Quirke</t>
  </si>
  <si>
    <t>Quirke R</t>
  </si>
  <si>
    <t>SAl</t>
  </si>
  <si>
    <t>Spencer</t>
  </si>
  <si>
    <t>du Toit</t>
  </si>
  <si>
    <t>du Toit Q</t>
  </si>
  <si>
    <t>Porter G</t>
  </si>
  <si>
    <t>Moroni</t>
  </si>
  <si>
    <t>Moroni M</t>
  </si>
  <si>
    <t>Kenningham</t>
  </si>
  <si>
    <t>Kenningham J</t>
  </si>
  <si>
    <t>Barton Slotted 21 in a row in all comps (15 in the Prem) Dec-Apr</t>
  </si>
  <si>
    <t>Doherty</t>
  </si>
  <si>
    <t>Doherty C</t>
  </si>
  <si>
    <t>Schreduer</t>
  </si>
  <si>
    <t>Schreuder</t>
  </si>
  <si>
    <t>Schreuder L</t>
  </si>
  <si>
    <t>du Preez, JP</t>
  </si>
  <si>
    <t>du Preez JP</t>
  </si>
  <si>
    <t>Obonna</t>
  </si>
  <si>
    <t>Obonna C</t>
  </si>
  <si>
    <t>Edwards</t>
  </si>
  <si>
    <t>Edwards W</t>
  </si>
  <si>
    <t>CH</t>
  </si>
  <si>
    <t>SARACENS 2020/21 SCORERS</t>
  </si>
  <si>
    <t>CHAMPS</t>
  </si>
  <si>
    <t>Swinson</t>
  </si>
  <si>
    <t>Maitland</t>
  </si>
  <si>
    <t>Lewington</t>
  </si>
  <si>
    <t>Obatoyinbo</t>
  </si>
  <si>
    <t>Wray</t>
  </si>
  <si>
    <t>Segun</t>
  </si>
  <si>
    <t>George</t>
  </si>
  <si>
    <t>Hunter-Hill</t>
  </si>
  <si>
    <t>Adams-Hale</t>
  </si>
  <si>
    <t>Christie</t>
  </si>
  <si>
    <t>Itoje</t>
  </si>
  <si>
    <t>Vunipola B</t>
  </si>
  <si>
    <t>Davies</t>
  </si>
  <si>
    <t>Rhodes</t>
  </si>
  <si>
    <t>Whiteley</t>
  </si>
  <si>
    <t>Woolstencroft</t>
  </si>
  <si>
    <t>Farrell</t>
  </si>
  <si>
    <t>Koch</t>
  </si>
  <si>
    <t>Tompkins</t>
  </si>
  <si>
    <t>Mawi</t>
  </si>
  <si>
    <t>Sloan</t>
  </si>
  <si>
    <t>Crossdale</t>
  </si>
  <si>
    <t>Goode</t>
  </si>
  <si>
    <t>Daly</t>
  </si>
  <si>
    <t>Vunipola, Manu</t>
  </si>
  <si>
    <t>Vunipola, Mako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</si>
</sst>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color rgb="FFE2AC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2"/>
      <color theme="6" tint="0.79998168889431442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339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9">
    <xf numFmtId="0" fontId="0" fillId="0" borderId="0" xfId="0"/>
    <xf numFmtId="0" fontId="8" fillId="4" borderId="4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5" fillId="3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0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0" xfId="0" applyFont="1" applyFill="1" applyAlignment="1">
      <alignment vertical="center"/>
    </xf>
    <xf numFmtId="0" fontId="19" fillId="2" borderId="4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10" fillId="4" borderId="4" xfId="0" applyFont="1" applyFill="1" applyBorder="1"/>
    <xf numFmtId="0" fontId="10" fillId="4" borderId="3" xfId="0" applyFont="1" applyFill="1" applyBorder="1"/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/>
    <xf numFmtId="0" fontId="10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1" fontId="8" fillId="9" borderId="1" xfId="0" applyNumberFormat="1" applyFont="1" applyFill="1" applyBorder="1"/>
    <xf numFmtId="0" fontId="7" fillId="7" borderId="1" xfId="0" applyFont="1" applyFill="1" applyBorder="1" applyAlignment="1">
      <alignment vertical="center" wrapText="1"/>
    </xf>
    <xf numFmtId="14" fontId="16" fillId="7" borderId="3" xfId="0" applyNumberFormat="1" applyFont="1" applyFill="1" applyBorder="1" applyAlignment="1">
      <alignment horizontal="left" vertical="center" wrapText="1"/>
    </xf>
    <xf numFmtId="14" fontId="0" fillId="7" borderId="3" xfId="0" applyNumberForma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1" fillId="7" borderId="8" xfId="0" applyFont="1" applyFill="1" applyBorder="1" applyAlignment="1">
      <alignment vertical="center" wrapText="1"/>
    </xf>
    <xf numFmtId="0" fontId="20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11" fillId="7" borderId="0" xfId="0" applyFont="1" applyFill="1" applyAlignment="1">
      <alignment horizontal="right" vertical="center" wrapText="1"/>
    </xf>
    <xf numFmtId="0" fontId="9" fillId="7" borderId="0" xfId="0" applyFont="1" applyFill="1" applyAlignment="1">
      <alignment horizontal="right" vertical="center" wrapText="1"/>
    </xf>
    <xf numFmtId="0" fontId="8" fillId="7" borderId="0" xfId="0" applyFont="1" applyFill="1" applyAlignment="1">
      <alignment horizontal="right"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5" fillId="0" borderId="0" xfId="0" applyFont="1"/>
    <xf numFmtId="0" fontId="16" fillId="7" borderId="0" xfId="0" applyFont="1" applyFill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8" fillId="7" borderId="1" xfId="0" applyFont="1" applyFill="1" applyBorder="1"/>
    <xf numFmtId="0" fontId="10" fillId="9" borderId="1" xfId="0" applyFont="1" applyFill="1" applyBorder="1"/>
    <xf numFmtId="0" fontId="19" fillId="2" borderId="3" xfId="0" applyFont="1" applyFill="1" applyBorder="1" applyAlignment="1">
      <alignment vertical="center" wrapText="1"/>
    </xf>
    <xf numFmtId="0" fontId="18" fillId="7" borderId="0" xfId="0" applyFont="1" applyFill="1"/>
    <xf numFmtId="0" fontId="18" fillId="7" borderId="0" xfId="0" applyFont="1" applyFill="1" applyAlignment="1">
      <alignment horizontal="right" vertical="center" wrapText="1"/>
    </xf>
    <xf numFmtId="0" fontId="12" fillId="7" borderId="0" xfId="0" applyFont="1" applyFill="1" applyAlignment="1">
      <alignment horizontal="right" vertical="center" wrapText="1"/>
    </xf>
    <xf numFmtId="0" fontId="12" fillId="7" borderId="12" xfId="0" applyFont="1" applyFill="1" applyBorder="1" applyAlignment="1">
      <alignment horizontal="right" vertical="center" wrapText="1"/>
    </xf>
    <xf numFmtId="1" fontId="12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7" borderId="12" xfId="0" applyFont="1" applyFill="1" applyBorder="1" applyAlignment="1">
      <alignment vertical="center" wrapText="1"/>
    </xf>
    <xf numFmtId="0" fontId="18" fillId="7" borderId="5" xfId="0" applyFont="1" applyFill="1" applyBorder="1"/>
    <xf numFmtId="1" fontId="18" fillId="7" borderId="0" xfId="0" applyNumberFormat="1" applyFont="1" applyFill="1" applyAlignment="1">
      <alignment horizontal="right" vertical="center" wrapText="1"/>
    </xf>
    <xf numFmtId="0" fontId="0" fillId="0" borderId="12" xfId="0" applyBorder="1"/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right" vertical="center" wrapText="1"/>
    </xf>
    <xf numFmtId="1" fontId="11" fillId="7" borderId="5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vertical="center" wrapText="1"/>
    </xf>
    <xf numFmtId="0" fontId="13" fillId="7" borderId="14" xfId="0" applyFont="1" applyFill="1" applyBorder="1" applyAlignment="1">
      <alignment vertical="center" wrapText="1"/>
    </xf>
    <xf numFmtId="0" fontId="16" fillId="7" borderId="8" xfId="0" applyFont="1" applyFill="1" applyBorder="1"/>
    <xf numFmtId="0" fontId="16" fillId="7" borderId="0" xfId="0" applyFont="1" applyFill="1"/>
    <xf numFmtId="0" fontId="15" fillId="10" borderId="4" xfId="0" applyFont="1" applyFill="1" applyBorder="1" applyAlignment="1">
      <alignment horizontal="right" vertical="center" wrapText="1"/>
    </xf>
    <xf numFmtId="0" fontId="21" fillId="10" borderId="4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/>
    </xf>
    <xf numFmtId="0" fontId="22" fillId="3" borderId="6" xfId="0" applyFont="1" applyFill="1" applyBorder="1" applyAlignment="1">
      <alignment vertical="center"/>
    </xf>
    <xf numFmtId="0" fontId="24" fillId="0" borderId="0" xfId="0" applyFont="1"/>
    <xf numFmtId="0" fontId="26" fillId="0" borderId="0" xfId="0" applyFont="1"/>
    <xf numFmtId="0" fontId="26" fillId="0" borderId="8" xfId="0" applyFont="1" applyBorder="1"/>
    <xf numFmtId="0" fontId="26" fillId="7" borderId="0" xfId="0" applyFont="1" applyFill="1"/>
    <xf numFmtId="0" fontId="23" fillId="7" borderId="0" xfId="0" applyFont="1" applyFill="1" applyAlignment="1">
      <alignment vertical="center"/>
    </xf>
    <xf numFmtId="0" fontId="2" fillId="7" borderId="13" xfId="0" applyFont="1" applyFill="1" applyBorder="1" applyAlignment="1">
      <alignment vertical="center"/>
    </xf>
    <xf numFmtId="0" fontId="16" fillId="0" borderId="0" xfId="0" applyFont="1"/>
    <xf numFmtId="0" fontId="4" fillId="7" borderId="0" xfId="0" applyFont="1" applyFill="1"/>
    <xf numFmtId="0" fontId="27" fillId="0" borderId="0" xfId="0" applyFont="1"/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12" borderId="4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right" vertical="center" wrapText="1"/>
    </xf>
    <xf numFmtId="0" fontId="29" fillId="3" borderId="4" xfId="0" applyFont="1" applyFill="1" applyBorder="1" applyAlignment="1">
      <alignment horizontal="right" vertical="center" wrapText="1"/>
    </xf>
    <xf numFmtId="0" fontId="29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8" fillId="7" borderId="0" xfId="0" applyNumberFormat="1" applyFont="1" applyFill="1" applyAlignment="1">
      <alignment horizontal="right" vertical="center" wrapText="1"/>
    </xf>
    <xf numFmtId="0" fontId="28" fillId="7" borderId="0" xfId="0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 wrapText="1"/>
    </xf>
    <xf numFmtId="0" fontId="1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22" fillId="3" borderId="9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right" vertical="center" wrapText="1"/>
    </xf>
    <xf numFmtId="1" fontId="13" fillId="8" borderId="4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32" fillId="0" borderId="0" xfId="0" applyFont="1"/>
    <xf numFmtId="0" fontId="32" fillId="0" borderId="8" xfId="0" applyFont="1" applyBorder="1"/>
    <xf numFmtId="0" fontId="32" fillId="7" borderId="0" xfId="0" applyFont="1" applyFill="1"/>
    <xf numFmtId="0" fontId="8" fillId="7" borderId="1" xfId="0" applyFont="1" applyFill="1" applyBorder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14" fontId="10" fillId="7" borderId="3" xfId="0" applyNumberFormat="1" applyFont="1" applyFill="1" applyBorder="1" applyAlignment="1">
      <alignment horizontal="left" vertical="center" wrapText="1"/>
    </xf>
    <xf numFmtId="14" fontId="16" fillId="7" borderId="1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5" fillId="7" borderId="11" xfId="0" applyFont="1" applyFill="1" applyBorder="1" applyAlignment="1">
      <alignment vertical="center" wrapText="1"/>
    </xf>
    <xf numFmtId="0" fontId="30" fillId="7" borderId="9" xfId="0" applyFont="1" applyFill="1" applyBorder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15" fillId="16" borderId="4" xfId="0" applyFont="1" applyFill="1" applyBorder="1" applyAlignment="1">
      <alignment horizontal="right" vertical="center" wrapText="1"/>
    </xf>
    <xf numFmtId="0" fontId="34" fillId="16" borderId="3" xfId="0" applyFont="1" applyFill="1" applyBorder="1" applyAlignment="1">
      <alignment vertical="center" wrapText="1"/>
    </xf>
    <xf numFmtId="0" fontId="34" fillId="12" borderId="3" xfId="0" applyFont="1" applyFill="1" applyBorder="1" applyAlignment="1">
      <alignment vertical="center" wrapText="1"/>
    </xf>
    <xf numFmtId="0" fontId="35" fillId="0" borderId="8" xfId="0" applyFont="1" applyBorder="1"/>
    <xf numFmtId="0" fontId="35" fillId="7" borderId="0" xfId="0" applyFont="1" applyFill="1"/>
    <xf numFmtId="0" fontId="34" fillId="16" borderId="4" xfId="0" applyFont="1" applyFill="1" applyBorder="1" applyAlignment="1">
      <alignment horizontal="right" vertical="center" wrapText="1"/>
    </xf>
    <xf numFmtId="1" fontId="34" fillId="16" borderId="4" xfId="0" applyNumberFormat="1" applyFont="1" applyFill="1" applyBorder="1" applyAlignment="1">
      <alignment horizontal="right" vertical="center" wrapText="1"/>
    </xf>
    <xf numFmtId="14" fontId="34" fillId="16" borderId="3" xfId="0" applyNumberFormat="1" applyFont="1" applyFill="1" applyBorder="1" applyAlignment="1">
      <alignment horizontal="left" vertical="center" wrapText="1"/>
    </xf>
    <xf numFmtId="0" fontId="8" fillId="7" borderId="13" xfId="0" applyFont="1" applyFill="1" applyBorder="1"/>
    <xf numFmtId="0" fontId="0" fillId="0" borderId="8" xfId="0" applyBorder="1" applyAlignment="1">
      <alignment vertical="center" wrapText="1"/>
    </xf>
    <xf numFmtId="0" fontId="15" fillId="6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horizontal="right" vertical="center" wrapText="1"/>
    </xf>
    <xf numFmtId="0" fontId="34" fillId="16" borderId="1" xfId="0" applyFont="1" applyFill="1" applyBorder="1" applyAlignment="1">
      <alignment vertical="center" wrapText="1"/>
    </xf>
    <xf numFmtId="0" fontId="15" fillId="16" borderId="2" xfId="0" applyFont="1" applyFill="1" applyBorder="1" applyAlignment="1">
      <alignment horizontal="right" vertical="center" wrapText="1"/>
    </xf>
    <xf numFmtId="0" fontId="34" fillId="12" borderId="2" xfId="0" applyFont="1" applyFill="1" applyBorder="1" applyAlignment="1">
      <alignment vertical="center" wrapText="1"/>
    </xf>
    <xf numFmtId="0" fontId="15" fillId="12" borderId="2" xfId="0" applyFont="1" applyFill="1" applyBorder="1" applyAlignment="1">
      <alignment horizontal="right" vertical="center" wrapText="1"/>
    </xf>
    <xf numFmtId="0" fontId="29" fillId="10" borderId="2" xfId="0" applyFont="1" applyFill="1" applyBorder="1" applyAlignment="1">
      <alignment horizontal="right" vertical="center" wrapText="1"/>
    </xf>
    <xf numFmtId="0" fontId="15" fillId="10" borderId="2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vertical="center" wrapText="1"/>
    </xf>
    <xf numFmtId="0" fontId="21" fillId="10" borderId="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vertical="center" wrapText="1"/>
    </xf>
    <xf numFmtId="0" fontId="29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 wrapText="1"/>
    </xf>
    <xf numFmtId="0" fontId="8" fillId="7" borderId="0" xfId="0" applyFont="1" applyFill="1"/>
    <xf numFmtId="0" fontId="13" fillId="3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36" fillId="7" borderId="0" xfId="0" applyFont="1" applyFill="1" applyAlignment="1">
      <alignment horizontal="right" vertical="center" wrapText="1"/>
    </xf>
    <xf numFmtId="0" fontId="15" fillId="7" borderId="0" xfId="0" applyFont="1" applyFill="1"/>
    <xf numFmtId="14" fontId="13" fillId="3" borderId="3" xfId="0" applyNumberFormat="1" applyFont="1" applyFill="1" applyBorder="1" applyAlignment="1">
      <alignment horizontal="left" vertical="center" wrapText="1"/>
    </xf>
    <xf numFmtId="0" fontId="38" fillId="0" borderId="0" xfId="0" applyFont="1"/>
    <xf numFmtId="0" fontId="25" fillId="19" borderId="2" xfId="0" applyFont="1" applyFill="1" applyBorder="1" applyAlignment="1">
      <alignment horizontal="right" vertical="center" wrapText="1"/>
    </xf>
    <xf numFmtId="0" fontId="25" fillId="19" borderId="4" xfId="0" applyFont="1" applyFill="1" applyBorder="1" applyAlignment="1">
      <alignment horizontal="right" vertical="center" wrapText="1"/>
    </xf>
    <xf numFmtId="0" fontId="40" fillId="3" borderId="1" xfId="0" applyFont="1" applyFill="1" applyBorder="1" applyAlignment="1">
      <alignment vertical="center" wrapText="1"/>
    </xf>
    <xf numFmtId="0" fontId="40" fillId="3" borderId="3" xfId="0" applyFont="1" applyFill="1" applyBorder="1" applyAlignment="1">
      <alignment vertical="center" wrapText="1"/>
    </xf>
    <xf numFmtId="0" fontId="40" fillId="17" borderId="2" xfId="0" applyFont="1" applyFill="1" applyBorder="1" applyAlignment="1">
      <alignment vertical="center" wrapText="1"/>
    </xf>
    <xf numFmtId="0" fontId="40" fillId="17" borderId="4" xfId="0" applyFont="1" applyFill="1" applyBorder="1" applyAlignment="1">
      <alignment vertical="center" wrapText="1"/>
    </xf>
    <xf numFmtId="0" fontId="40" fillId="17" borderId="3" xfId="0" applyFont="1" applyFill="1" applyBorder="1" applyAlignment="1">
      <alignment vertical="center" wrapText="1"/>
    </xf>
    <xf numFmtId="0" fontId="40" fillId="17" borderId="2" xfId="0" applyFont="1" applyFill="1" applyBorder="1" applyAlignment="1">
      <alignment horizontal="right" vertical="center" wrapText="1"/>
    </xf>
    <xf numFmtId="0" fontId="40" fillId="17" borderId="4" xfId="0" applyFont="1" applyFill="1" applyBorder="1" applyAlignment="1">
      <alignment horizontal="right" vertical="center" wrapText="1"/>
    </xf>
    <xf numFmtId="0" fontId="40" fillId="17" borderId="1" xfId="0" applyFont="1" applyFill="1" applyBorder="1" applyAlignment="1">
      <alignment horizontal="right" vertical="center" wrapText="1"/>
    </xf>
    <xf numFmtId="0" fontId="40" fillId="17" borderId="3" xfId="0" applyFont="1" applyFill="1" applyBorder="1" applyAlignment="1">
      <alignment horizontal="right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right" vertical="center" wrapText="1"/>
    </xf>
    <xf numFmtId="1" fontId="40" fillId="3" borderId="4" xfId="0" applyNumberFormat="1" applyFont="1" applyFill="1" applyBorder="1" applyAlignment="1">
      <alignment horizontal="right" vertical="center" wrapText="1"/>
    </xf>
    <xf numFmtId="0" fontId="40" fillId="3" borderId="2" xfId="0" applyFont="1" applyFill="1" applyBorder="1" applyAlignment="1">
      <alignment horizontal="right" vertical="center" wrapText="1"/>
    </xf>
    <xf numFmtId="14" fontId="40" fillId="3" borderId="3" xfId="0" applyNumberFormat="1" applyFont="1" applyFill="1" applyBorder="1" applyAlignment="1">
      <alignment horizontal="left" vertical="center" wrapText="1"/>
    </xf>
    <xf numFmtId="0" fontId="41" fillId="0" borderId="0" xfId="0" applyFont="1"/>
    <xf numFmtId="0" fontId="42" fillId="7" borderId="8" xfId="0" applyFont="1" applyFill="1" applyBorder="1" applyAlignment="1">
      <alignment horizontal="right" vertical="center" wrapText="1"/>
    </xf>
    <xf numFmtId="0" fontId="41" fillId="7" borderId="0" xfId="0" applyFont="1" applyFill="1"/>
    <xf numFmtId="0" fontId="41" fillId="0" borderId="8" xfId="0" applyFont="1" applyBorder="1"/>
    <xf numFmtId="0" fontId="29" fillId="19" borderId="4" xfId="0" applyFont="1" applyFill="1" applyBorder="1" applyAlignment="1">
      <alignment horizontal="right" vertical="center" wrapText="1"/>
    </xf>
    <xf numFmtId="0" fontId="41" fillId="7" borderId="8" xfId="0" applyFont="1" applyFill="1" applyBorder="1"/>
    <xf numFmtId="0" fontId="12" fillId="17" borderId="3" xfId="0" applyFont="1" applyFill="1" applyBorder="1" applyAlignment="1">
      <alignment vertical="center" wrapText="1"/>
    </xf>
    <xf numFmtId="0" fontId="29" fillId="17" borderId="4" xfId="0" applyFont="1" applyFill="1" applyBorder="1" applyAlignment="1">
      <alignment horizontal="right" vertical="center" wrapText="1"/>
    </xf>
    <xf numFmtId="0" fontId="15" fillId="17" borderId="4" xfId="0" applyFont="1" applyFill="1" applyBorder="1" applyAlignment="1">
      <alignment horizontal="right" vertical="center" wrapText="1"/>
    </xf>
    <xf numFmtId="0" fontId="12" fillId="17" borderId="1" xfId="0" applyFont="1" applyFill="1" applyBorder="1" applyAlignment="1">
      <alignment vertical="center" wrapText="1"/>
    </xf>
    <xf numFmtId="0" fontId="29" fillId="17" borderId="2" xfId="0" applyFont="1" applyFill="1" applyBorder="1" applyAlignment="1">
      <alignment horizontal="right" vertical="center" wrapText="1"/>
    </xf>
    <xf numFmtId="0" fontId="15" fillId="17" borderId="2" xfId="0" applyFont="1" applyFill="1" applyBorder="1" applyAlignment="1">
      <alignment horizontal="right" vertical="center" wrapText="1"/>
    </xf>
    <xf numFmtId="0" fontId="15" fillId="17" borderId="5" xfId="0" applyFont="1" applyFill="1" applyBorder="1" applyAlignment="1">
      <alignment horizontal="right" vertical="center" wrapText="1"/>
    </xf>
    <xf numFmtId="0" fontId="42" fillId="7" borderId="0" xfId="0" applyFont="1" applyFill="1" applyAlignment="1">
      <alignment vertical="center"/>
    </xf>
    <xf numFmtId="0" fontId="29" fillId="14" borderId="2" xfId="0" applyFont="1" applyFill="1" applyBorder="1" applyAlignment="1">
      <alignment horizontal="right" vertical="center" wrapText="1"/>
    </xf>
    <xf numFmtId="0" fontId="29" fillId="14" borderId="4" xfId="0" applyFont="1" applyFill="1" applyBorder="1" applyAlignment="1">
      <alignment horizontal="right" vertical="center" wrapText="1"/>
    </xf>
    <xf numFmtId="0" fontId="29" fillId="18" borderId="2" xfId="0" applyFont="1" applyFill="1" applyBorder="1" applyAlignment="1">
      <alignment horizontal="right" vertical="center" wrapText="1"/>
    </xf>
    <xf numFmtId="0" fontId="29" fillId="18" borderId="4" xfId="0" applyFont="1" applyFill="1" applyBorder="1" applyAlignment="1">
      <alignment horizontal="right" vertical="center" wrapText="1"/>
    </xf>
    <xf numFmtId="0" fontId="29" fillId="16" borderId="2" xfId="0" applyFont="1" applyFill="1" applyBorder="1" applyAlignment="1">
      <alignment horizontal="right" vertical="center" wrapText="1"/>
    </xf>
    <xf numFmtId="0" fontId="29" fillId="16" borderId="4" xfId="0" applyFont="1" applyFill="1" applyBorder="1" applyAlignment="1">
      <alignment horizontal="right" vertical="center" wrapText="1"/>
    </xf>
    <xf numFmtId="0" fontId="29" fillId="12" borderId="2" xfId="0" applyFont="1" applyFill="1" applyBorder="1" applyAlignment="1">
      <alignment horizontal="right" vertical="center" wrapText="1"/>
    </xf>
    <xf numFmtId="0" fontId="29" fillId="12" borderId="4" xfId="0" applyFont="1" applyFill="1" applyBorder="1" applyAlignment="1">
      <alignment horizontal="right" vertical="center" wrapText="1"/>
    </xf>
    <xf numFmtId="0" fontId="29" fillId="7" borderId="8" xfId="0" applyFont="1" applyFill="1" applyBorder="1" applyAlignment="1">
      <alignment horizontal="right" vertical="center" wrapText="1"/>
    </xf>
    <xf numFmtId="0" fontId="29" fillId="7" borderId="0" xfId="0" applyFont="1" applyFill="1" applyAlignment="1">
      <alignment horizontal="right" vertical="center" wrapText="1"/>
    </xf>
    <xf numFmtId="0" fontId="43" fillId="0" borderId="0" xfId="0" applyFont="1"/>
    <xf numFmtId="0" fontId="34" fillId="7" borderId="0" xfId="0" applyFont="1" applyFill="1" applyAlignment="1">
      <alignment horizontal="right" vertical="center" wrapText="1"/>
    </xf>
    <xf numFmtId="0" fontId="29" fillId="19" borderId="2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vertical="center" wrapText="1"/>
    </xf>
    <xf numFmtId="0" fontId="13" fillId="10" borderId="4" xfId="0" applyFont="1" applyFill="1" applyBorder="1" applyAlignment="1">
      <alignment horizontal="right" vertical="center" wrapText="1"/>
    </xf>
    <xf numFmtId="0" fontId="10" fillId="10" borderId="2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right" vertical="center" wrapText="1"/>
    </xf>
    <xf numFmtId="0" fontId="10" fillId="10" borderId="3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vertical="center" wrapText="1"/>
    </xf>
    <xf numFmtId="0" fontId="13" fillId="10" borderId="4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wrapText="1"/>
    </xf>
    <xf numFmtId="0" fontId="25" fillId="10" borderId="2" xfId="0" applyFont="1" applyFill="1" applyBorder="1" applyAlignment="1">
      <alignment horizontal="right" vertical="center" wrapText="1"/>
    </xf>
    <xf numFmtId="0" fontId="25" fillId="10" borderId="4" xfId="0" applyFont="1" applyFill="1" applyBorder="1" applyAlignment="1">
      <alignment horizontal="right" vertical="center" wrapText="1"/>
    </xf>
    <xf numFmtId="0" fontId="37" fillId="0" borderId="0" xfId="0" applyFont="1"/>
    <xf numFmtId="1" fontId="19" fillId="2" borderId="4" xfId="0" applyNumberFormat="1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0" fillId="0" borderId="0" xfId="0"/>
    <xf numFmtId="0" fontId="2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/>
    <xf numFmtId="0" fontId="16" fillId="0" borderId="0" xfId="0" applyFont="1"/>
    <xf numFmtId="0" fontId="16" fillId="7" borderId="0" xfId="0" applyFont="1" applyFill="1"/>
    <xf numFmtId="0" fontId="10" fillId="7" borderId="19" xfId="0" applyFont="1" applyFill="1" applyBorder="1" applyAlignment="1">
      <alignment horizontal="right" vertical="center" wrapText="1"/>
    </xf>
    <xf numFmtId="1" fontId="10" fillId="7" borderId="2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1" fontId="10" fillId="7" borderId="4" xfId="0" applyNumberFormat="1" applyFont="1" applyFill="1" applyBorder="1" applyAlignment="1">
      <alignment horizontal="right" vertical="center" wrapText="1"/>
    </xf>
    <xf numFmtId="0" fontId="10" fillId="7" borderId="21" xfId="0" applyFont="1" applyFill="1" applyBorder="1" applyAlignment="1">
      <alignment horizontal="right" vertical="center" wrapText="1"/>
    </xf>
    <xf numFmtId="0" fontId="10" fillId="7" borderId="18" xfId="0" applyFont="1" applyFill="1" applyBorder="1" applyAlignment="1">
      <alignment horizontal="right" vertical="center" wrapText="1"/>
    </xf>
    <xf numFmtId="0" fontId="10" fillId="7" borderId="17" xfId="0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38" fillId="7" borderId="0" xfId="0" applyFont="1" applyFill="1"/>
    <xf numFmtId="0" fontId="10" fillId="7" borderId="14" xfId="0" applyFont="1" applyFill="1" applyBorder="1" applyAlignment="1">
      <alignment horizontal="right" vertical="center" wrapText="1"/>
    </xf>
    <xf numFmtId="1" fontId="10" fillId="7" borderId="1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12" fillId="7" borderId="1" xfId="0" applyFont="1" applyFill="1" applyBorder="1" applyAlignment="1">
      <alignment horizontal="right" vertical="center" wrapText="1"/>
    </xf>
    <xf numFmtId="0" fontId="16" fillId="0" borderId="12" xfId="0" applyFont="1" applyBorder="1"/>
    <xf numFmtId="0" fontId="2" fillId="7" borderId="13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0" fillId="7" borderId="13" xfId="0" applyFont="1" applyFill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1" fontId="10" fillId="7" borderId="16" xfId="0" applyNumberFormat="1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0" fillId="0" borderId="0" xfId="0"/>
    <xf numFmtId="0" fontId="12" fillId="9" borderId="1" xfId="0" applyFont="1" applyFill="1" applyBorder="1"/>
    <xf numFmtId="0" fontId="2" fillId="7" borderId="0" xfId="0" applyFont="1" applyFill="1" applyBorder="1" applyAlignment="1">
      <alignment horizontal="center" vertical="center" wrapText="1"/>
    </xf>
    <xf numFmtId="0" fontId="0" fillId="0" borderId="0" xfId="0"/>
    <xf numFmtId="0" fontId="16" fillId="7" borderId="0" xfId="0" applyFont="1" applyFill="1"/>
    <xf numFmtId="0" fontId="13" fillId="16" borderId="2" xfId="0" applyFont="1" applyFill="1" applyBorder="1" applyAlignment="1">
      <alignment horizontal="right" vertical="center" wrapText="1"/>
    </xf>
    <xf numFmtId="0" fontId="13" fillId="16" borderId="4" xfId="0" applyFont="1" applyFill="1" applyBorder="1" applyAlignment="1">
      <alignment horizontal="right" vertical="center" wrapText="1"/>
    </xf>
    <xf numFmtId="0" fontId="13" fillId="12" borderId="2" xfId="0" applyFont="1" applyFill="1" applyBorder="1" applyAlignment="1">
      <alignment horizontal="right" vertical="center" wrapText="1"/>
    </xf>
    <xf numFmtId="0" fontId="13" fillId="12" borderId="4" xfId="0" applyFont="1" applyFill="1" applyBorder="1" applyAlignment="1">
      <alignment horizontal="right" vertical="center" wrapText="1"/>
    </xf>
    <xf numFmtId="0" fontId="13" fillId="17" borderId="2" xfId="0" applyFont="1" applyFill="1" applyBorder="1" applyAlignment="1">
      <alignment horizontal="right" vertical="center" wrapText="1"/>
    </xf>
    <xf numFmtId="0" fontId="13" fillId="17" borderId="4" xfId="0" applyFont="1" applyFill="1" applyBorder="1" applyAlignment="1">
      <alignment horizontal="right" vertical="center" wrapText="1"/>
    </xf>
    <xf numFmtId="0" fontId="0" fillId="0" borderId="0" xfId="0"/>
    <xf numFmtId="0" fontId="44" fillId="14" borderId="2" xfId="0" applyFont="1" applyFill="1" applyBorder="1" applyAlignment="1">
      <alignment horizontal="right" vertical="center" wrapText="1"/>
    </xf>
    <xf numFmtId="0" fontId="44" fillId="14" borderId="4" xfId="0" applyFont="1" applyFill="1" applyBorder="1" applyAlignment="1">
      <alignment horizontal="right" vertical="center" wrapText="1"/>
    </xf>
    <xf numFmtId="0" fontId="44" fillId="18" borderId="2" xfId="0" applyFont="1" applyFill="1" applyBorder="1" applyAlignment="1">
      <alignment horizontal="right" vertical="center" wrapText="1"/>
    </xf>
    <xf numFmtId="0" fontId="44" fillId="18" borderId="4" xfId="0" applyFont="1" applyFill="1" applyBorder="1" applyAlignment="1">
      <alignment horizontal="right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44" fillId="10" borderId="2" xfId="0" applyFont="1" applyFill="1" applyBorder="1" applyAlignment="1">
      <alignment horizontal="right" vertical="center" wrapText="1"/>
    </xf>
    <xf numFmtId="0" fontId="44" fillId="10" borderId="4" xfId="0" applyFont="1" applyFill="1" applyBorder="1" applyAlignment="1">
      <alignment horizontal="right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/>
    <xf numFmtId="0" fontId="16" fillId="7" borderId="0" xfId="0" applyFont="1" applyFill="1"/>
    <xf numFmtId="0" fontId="10" fillId="21" borderId="2" xfId="0" applyFont="1" applyFill="1" applyBorder="1" applyAlignment="1">
      <alignment horizontal="right" vertical="center" wrapText="1"/>
    </xf>
    <xf numFmtId="0" fontId="10" fillId="21" borderId="4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0" fillId="0" borderId="0" xfId="0"/>
    <xf numFmtId="0" fontId="1" fillId="7" borderId="13" xfId="0" applyFont="1" applyFill="1" applyBorder="1" applyAlignment="1">
      <alignment horizontal="center" vertical="center" wrapText="1"/>
    </xf>
    <xf numFmtId="0" fontId="16" fillId="7" borderId="0" xfId="0" applyFont="1" applyFill="1"/>
    <xf numFmtId="0" fontId="44" fillId="3" borderId="2" xfId="0" applyFont="1" applyFill="1" applyBorder="1" applyAlignment="1">
      <alignment horizontal="right" vertical="center" wrapText="1"/>
    </xf>
    <xf numFmtId="0" fontId="44" fillId="3" borderId="4" xfId="0" applyFont="1" applyFill="1" applyBorder="1" applyAlignment="1">
      <alignment horizontal="right" vertical="center" wrapText="1"/>
    </xf>
    <xf numFmtId="0" fontId="13" fillId="8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right" vertical="center" wrapText="1"/>
    </xf>
    <xf numFmtId="1" fontId="13" fillId="3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16" fillId="7" borderId="0" xfId="0" applyFont="1" applyFill="1"/>
    <xf numFmtId="0" fontId="45" fillId="21" borderId="2" xfId="0" applyFont="1" applyFill="1" applyBorder="1" applyAlignment="1">
      <alignment horizontal="right" vertical="center" wrapText="1"/>
    </xf>
    <xf numFmtId="0" fontId="45" fillId="21" borderId="4" xfId="0" applyFont="1" applyFill="1" applyBorder="1" applyAlignment="1">
      <alignment horizontal="right" vertical="center" wrapText="1"/>
    </xf>
    <xf numFmtId="0" fontId="45" fillId="0" borderId="0" xfId="0" applyFont="1"/>
    <xf numFmtId="0" fontId="46" fillId="0" borderId="0" xfId="0" applyFont="1"/>
    <xf numFmtId="0" fontId="15" fillId="14" borderId="1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vertical="center" wrapText="1"/>
    </xf>
    <xf numFmtId="0" fontId="15" fillId="14" borderId="2" xfId="0" applyFont="1" applyFill="1" applyBorder="1" applyAlignment="1">
      <alignment horizontal="right" vertical="center" wrapText="1"/>
    </xf>
    <xf numFmtId="0" fontId="15" fillId="18" borderId="2" xfId="0" applyFont="1" applyFill="1" applyBorder="1" applyAlignment="1">
      <alignment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15" fillId="18" borderId="4" xfId="0" applyFont="1" applyFill="1" applyBorder="1" applyAlignment="1">
      <alignment vertical="center" wrapText="1"/>
    </xf>
    <xf numFmtId="0" fontId="15" fillId="18" borderId="3" xfId="0" applyFont="1" applyFill="1" applyBorder="1" applyAlignment="1">
      <alignment vertical="center" wrapText="1"/>
    </xf>
    <xf numFmtId="0" fontId="15" fillId="18" borderId="2" xfId="0" applyFont="1" applyFill="1" applyBorder="1" applyAlignment="1">
      <alignment horizontal="right" vertical="center" wrapText="1"/>
    </xf>
    <xf numFmtId="0" fontId="15" fillId="18" borderId="4" xfId="0" applyFont="1" applyFill="1" applyBorder="1" applyAlignment="1">
      <alignment horizontal="right" vertical="center" wrapText="1"/>
    </xf>
    <xf numFmtId="1" fontId="15" fillId="14" borderId="4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16" fillId="7" borderId="0" xfId="0" applyFont="1" applyFill="1"/>
    <xf numFmtId="0" fontId="16" fillId="7" borderId="0" xfId="0" applyFont="1" applyFill="1"/>
    <xf numFmtId="0" fontId="0" fillId="0" borderId="0" xfId="0"/>
    <xf numFmtId="0" fontId="0" fillId="0" borderId="0" xfId="0" applyAlignment="1"/>
    <xf numFmtId="0" fontId="0" fillId="0" borderId="0" xfId="0" applyAlignment="1"/>
    <xf numFmtId="0" fontId="0" fillId="0" borderId="0" xfId="0"/>
    <xf numFmtId="0" fontId="48" fillId="21" borderId="1" xfId="0" applyFont="1" applyFill="1" applyBorder="1" applyAlignment="1">
      <alignment vertical="center" wrapText="1"/>
    </xf>
    <xf numFmtId="0" fontId="48" fillId="21" borderId="3" xfId="0" applyFont="1" applyFill="1" applyBorder="1" applyAlignment="1">
      <alignment vertical="center" wrapText="1"/>
    </xf>
    <xf numFmtId="0" fontId="48" fillId="10" borderId="2" xfId="0" applyFont="1" applyFill="1" applyBorder="1" applyAlignment="1">
      <alignment vertical="center" wrapText="1"/>
    </xf>
    <xf numFmtId="0" fontId="48" fillId="10" borderId="4" xfId="0" applyFont="1" applyFill="1" applyBorder="1" applyAlignment="1">
      <alignment vertical="center" wrapText="1"/>
    </xf>
    <xf numFmtId="0" fontId="48" fillId="10" borderId="3" xfId="0" applyFont="1" applyFill="1" applyBorder="1" applyAlignment="1">
      <alignment vertical="center" wrapText="1"/>
    </xf>
    <xf numFmtId="0" fontId="48" fillId="10" borderId="2" xfId="0" applyFont="1" applyFill="1" applyBorder="1" applyAlignment="1">
      <alignment horizontal="right" vertical="center" wrapText="1"/>
    </xf>
    <xf numFmtId="0" fontId="48" fillId="10" borderId="4" xfId="0" applyFont="1" applyFill="1" applyBorder="1" applyAlignment="1">
      <alignment horizontal="right" vertical="center" wrapText="1"/>
    </xf>
    <xf numFmtId="14" fontId="48" fillId="21" borderId="3" xfId="0" applyNumberFormat="1" applyFont="1" applyFill="1" applyBorder="1" applyAlignment="1">
      <alignment horizontal="left" vertical="center" wrapText="1"/>
    </xf>
    <xf numFmtId="0" fontId="48" fillId="21" borderId="4" xfId="0" applyFont="1" applyFill="1" applyBorder="1" applyAlignment="1">
      <alignment horizontal="right" vertical="center" wrapText="1"/>
    </xf>
    <xf numFmtId="1" fontId="48" fillId="21" borderId="4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/>
    <xf numFmtId="0" fontId="0" fillId="0" borderId="0" xfId="0" applyAlignment="1"/>
    <xf numFmtId="0" fontId="10" fillId="7" borderId="20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 applyAlignment="1"/>
    <xf numFmtId="0" fontId="12" fillId="23" borderId="1" xfId="0" applyFont="1" applyFill="1" applyBorder="1" applyAlignment="1">
      <alignment vertical="center" wrapText="1"/>
    </xf>
    <xf numFmtId="0" fontId="29" fillId="23" borderId="2" xfId="0" applyFont="1" applyFill="1" applyBorder="1" applyAlignment="1">
      <alignment horizontal="center" vertical="center" wrapText="1"/>
    </xf>
    <xf numFmtId="0" fontId="15" fillId="23" borderId="2" xfId="0" applyFont="1" applyFill="1" applyBorder="1" applyAlignment="1">
      <alignment horizontal="right" vertical="center" wrapText="1"/>
    </xf>
    <xf numFmtId="0" fontId="12" fillId="23" borderId="3" xfId="0" applyFont="1" applyFill="1" applyBorder="1" applyAlignment="1">
      <alignment vertical="center" wrapText="1"/>
    </xf>
    <xf numFmtId="0" fontId="29" fillId="23" borderId="4" xfId="0" applyFont="1" applyFill="1" applyBorder="1" applyAlignment="1">
      <alignment horizontal="right" vertical="center" wrapText="1"/>
    </xf>
    <xf numFmtId="0" fontId="15" fillId="23" borderId="4" xfId="0" applyFont="1" applyFill="1" applyBorder="1" applyAlignment="1">
      <alignment horizontal="right" vertical="center" wrapText="1"/>
    </xf>
    <xf numFmtId="0" fontId="12" fillId="23" borderId="16" xfId="0" applyFont="1" applyFill="1" applyBorder="1" applyAlignment="1">
      <alignment horizontal="right" vertical="center" wrapText="1"/>
    </xf>
    <xf numFmtId="1" fontId="12" fillId="23" borderId="4" xfId="0" applyNumberFormat="1" applyFont="1" applyFill="1" applyBorder="1" applyAlignment="1">
      <alignment horizontal="right" vertical="center" wrapText="1"/>
    </xf>
    <xf numFmtId="0" fontId="12" fillId="23" borderId="1" xfId="0" applyFont="1" applyFill="1" applyBorder="1" applyAlignment="1">
      <alignment horizontal="right" vertical="center" wrapText="1"/>
    </xf>
    <xf numFmtId="1" fontId="12" fillId="23" borderId="1" xfId="0" applyNumberFormat="1" applyFont="1" applyFill="1" applyBorder="1" applyAlignment="1">
      <alignment horizontal="right" vertical="center" wrapText="1"/>
    </xf>
    <xf numFmtId="0" fontId="12" fillId="23" borderId="2" xfId="0" applyFont="1" applyFill="1" applyBorder="1" applyAlignment="1">
      <alignment horizontal="right" vertical="center" wrapText="1"/>
    </xf>
    <xf numFmtId="14" fontId="12" fillId="23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49" fillId="0" borderId="0" xfId="0" applyFont="1"/>
    <xf numFmtId="0" fontId="50" fillId="0" borderId="0" xfId="0" applyFont="1"/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0" fillId="0" borderId="0" xfId="0" applyAlignment="1"/>
    <xf numFmtId="0" fontId="16" fillId="7" borderId="0" xfId="0" applyFont="1" applyFill="1" applyBorder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0" fillId="0" borderId="0" xfId="0" applyAlignment="1"/>
    <xf numFmtId="0" fontId="16" fillId="7" borderId="13" xfId="0" applyFont="1" applyFill="1" applyBorder="1" applyAlignment="1">
      <alignment vertical="center" wrapText="1"/>
    </xf>
    <xf numFmtId="0" fontId="0" fillId="0" borderId="13" xfId="0" applyBorder="1" applyAlignment="1"/>
    <xf numFmtId="1" fontId="8" fillId="7" borderId="4" xfId="0" applyNumberFormat="1" applyFont="1" applyFill="1" applyBorder="1" applyAlignment="1">
      <alignment horizontal="right" vertical="center" wrapText="1"/>
    </xf>
    <xf numFmtId="1" fontId="8" fillId="7" borderId="2" xfId="0" applyNumberFormat="1" applyFont="1" applyFill="1" applyBorder="1" applyAlignment="1">
      <alignment horizontal="right" vertical="center" wrapText="1"/>
    </xf>
    <xf numFmtId="0" fontId="8" fillId="7" borderId="19" xfId="0" applyFont="1" applyFill="1" applyBorder="1" applyAlignment="1">
      <alignment horizontal="right" vertical="center" wrapText="1"/>
    </xf>
    <xf numFmtId="0" fontId="0" fillId="0" borderId="0" xfId="0" applyBorder="1"/>
    <xf numFmtId="0" fontId="13" fillId="23" borderId="2" xfId="0" applyFont="1" applyFill="1" applyBorder="1" applyAlignment="1">
      <alignment horizontal="right" vertical="center" wrapText="1"/>
    </xf>
    <xf numFmtId="0" fontId="13" fillId="23" borderId="4" xfId="0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right" vertical="center" wrapText="1"/>
    </xf>
    <xf numFmtId="0" fontId="10" fillId="7" borderId="11" xfId="0" applyFont="1" applyFill="1" applyBorder="1" applyAlignment="1">
      <alignment horizontal="right" vertical="center" wrapText="1"/>
    </xf>
    <xf numFmtId="0" fontId="10" fillId="7" borderId="0" xfId="0" applyFont="1" applyFill="1" applyBorder="1" applyAlignment="1">
      <alignment horizontal="right" vertical="center" wrapText="1"/>
    </xf>
    <xf numFmtId="1" fontId="10" fillId="7" borderId="0" xfId="0" applyNumberFormat="1" applyFont="1" applyFill="1" applyBorder="1" applyAlignment="1">
      <alignment horizontal="right" vertical="center" wrapText="1"/>
    </xf>
    <xf numFmtId="0" fontId="0" fillId="0" borderId="14" xfId="0" applyBorder="1" applyAlignment="1"/>
    <xf numFmtId="0" fontId="51" fillId="6" borderId="2" xfId="0" applyFont="1" applyFill="1" applyBorder="1" applyAlignment="1">
      <alignment horizontal="right" vertical="center" wrapText="1"/>
    </xf>
    <xf numFmtId="0" fontId="51" fillId="6" borderId="4" xfId="0" applyFont="1" applyFill="1" applyBorder="1" applyAlignment="1">
      <alignment horizontal="right" vertical="center" wrapText="1"/>
    </xf>
    <xf numFmtId="0" fontId="51" fillId="2" borderId="2" xfId="0" applyFont="1" applyFill="1" applyBorder="1" applyAlignment="1">
      <alignment horizontal="right" vertical="center" wrapText="1"/>
    </xf>
    <xf numFmtId="0" fontId="51" fillId="2" borderId="4" xfId="0" applyFont="1" applyFill="1" applyBorder="1" applyAlignment="1">
      <alignment horizontal="right" vertical="center" wrapText="1"/>
    </xf>
    <xf numFmtId="0" fontId="52" fillId="21" borderId="2" xfId="0" applyFont="1" applyFill="1" applyBorder="1" applyAlignment="1">
      <alignment horizontal="right" vertical="center" wrapText="1"/>
    </xf>
    <xf numFmtId="0" fontId="52" fillId="21" borderId="4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0" fontId="29" fillId="24" borderId="2" xfId="0" applyFont="1" applyFill="1" applyBorder="1" applyAlignment="1">
      <alignment horizontal="right" vertical="center" wrapText="1"/>
    </xf>
    <xf numFmtId="0" fontId="13" fillId="24" borderId="2" xfId="0" applyFont="1" applyFill="1" applyBorder="1" applyAlignment="1">
      <alignment horizontal="right" vertical="center" wrapText="1"/>
    </xf>
    <xf numFmtId="0" fontId="29" fillId="24" borderId="4" xfId="0" applyFont="1" applyFill="1" applyBorder="1" applyAlignment="1">
      <alignment horizontal="right" vertical="center" wrapText="1"/>
    </xf>
    <xf numFmtId="0" fontId="13" fillId="24" borderId="4" xfId="0" applyFont="1" applyFill="1" applyBorder="1" applyAlignment="1">
      <alignment horizontal="right" vertical="center" wrapText="1"/>
    </xf>
    <xf numFmtId="0" fontId="54" fillId="24" borderId="1" xfId="0" applyFont="1" applyFill="1" applyBorder="1" applyAlignment="1">
      <alignment vertical="center" wrapText="1"/>
    </xf>
    <xf numFmtId="0" fontId="54" fillId="24" borderId="3" xfId="0" applyFont="1" applyFill="1" applyBorder="1" applyAlignment="1">
      <alignment vertical="center" wrapText="1"/>
    </xf>
    <xf numFmtId="0" fontId="54" fillId="24" borderId="2" xfId="0" applyFont="1" applyFill="1" applyBorder="1" applyAlignment="1">
      <alignment horizontal="right" vertical="center" wrapText="1"/>
    </xf>
    <xf numFmtId="0" fontId="54" fillId="10" borderId="1" xfId="0" applyFont="1" applyFill="1" applyBorder="1" applyAlignment="1">
      <alignment vertical="center" wrapText="1"/>
    </xf>
    <xf numFmtId="0" fontId="54" fillId="24" borderId="4" xfId="0" applyFont="1" applyFill="1" applyBorder="1" applyAlignment="1">
      <alignment horizontal="right" vertical="center" wrapText="1"/>
    </xf>
    <xf numFmtId="0" fontId="54" fillId="10" borderId="3" xfId="0" applyFont="1" applyFill="1" applyBorder="1" applyAlignment="1">
      <alignment vertical="center" wrapText="1"/>
    </xf>
    <xf numFmtId="0" fontId="54" fillId="10" borderId="2" xfId="0" applyFont="1" applyFill="1" applyBorder="1" applyAlignment="1">
      <alignment horizontal="right" vertical="center" wrapText="1"/>
    </xf>
    <xf numFmtId="0" fontId="54" fillId="10" borderId="4" xfId="0" applyFont="1" applyFill="1" applyBorder="1" applyAlignment="1">
      <alignment horizontal="right" vertical="center" wrapText="1"/>
    </xf>
    <xf numFmtId="1" fontId="54" fillId="24" borderId="4" xfId="0" applyNumberFormat="1" applyFont="1" applyFill="1" applyBorder="1" applyAlignment="1">
      <alignment horizontal="right" vertical="center" wrapText="1"/>
    </xf>
    <xf numFmtId="0" fontId="54" fillId="24" borderId="3" xfId="0" applyFont="1" applyFill="1" applyBorder="1" applyAlignment="1">
      <alignment horizontal="right" vertical="center" wrapText="1"/>
    </xf>
    <xf numFmtId="14" fontId="15" fillId="14" borderId="3" xfId="0" applyNumberFormat="1" applyFont="1" applyFill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9" borderId="12" xfId="0" applyFont="1" applyFill="1" applyBorder="1"/>
    <xf numFmtId="0" fontId="10" fillId="7" borderId="1" xfId="0" applyFont="1" applyFill="1" applyBorder="1" applyAlignment="1">
      <alignment vertical="top" wrapText="1"/>
    </xf>
    <xf numFmtId="0" fontId="10" fillId="7" borderId="0" xfId="0" applyFont="1" applyFill="1" applyBorder="1"/>
    <xf numFmtId="0" fontId="10" fillId="4" borderId="1" xfId="0" applyFont="1" applyFill="1" applyBorder="1" applyAlignment="1">
      <alignment vertical="top" wrapText="1"/>
    </xf>
    <xf numFmtId="0" fontId="13" fillId="8" borderId="5" xfId="0" applyFont="1" applyFill="1" applyBorder="1" applyAlignment="1">
      <alignment vertical="center" wrapText="1"/>
    </xf>
    <xf numFmtId="0" fontId="13" fillId="8" borderId="0" xfId="0" applyFont="1" applyFill="1" applyBorder="1" applyAlignment="1">
      <alignment horizontal="right" vertical="center" wrapText="1"/>
    </xf>
    <xf numFmtId="1" fontId="13" fillId="8" borderId="0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16" fillId="7" borderId="0" xfId="0" applyFont="1" applyFill="1"/>
    <xf numFmtId="0" fontId="12" fillId="23" borderId="4" xfId="0" applyFont="1" applyFill="1" applyBorder="1" applyAlignment="1">
      <alignment horizontal="right" vertical="center" wrapText="1"/>
    </xf>
    <xf numFmtId="0" fontId="10" fillId="7" borderId="6" xfId="0" applyFont="1" applyFill="1" applyBorder="1" applyAlignment="1">
      <alignment horizontal="right" vertical="center" wrapText="1"/>
    </xf>
    <xf numFmtId="0" fontId="8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16" fillId="7" borderId="0" xfId="0" applyFont="1" applyFill="1" applyAlignment="1">
      <alignment vertical="center" wrapText="1"/>
    </xf>
    <xf numFmtId="0" fontId="0" fillId="0" borderId="0" xfId="0" applyAlignment="1"/>
    <xf numFmtId="0" fontId="2" fillId="7" borderId="0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13" fillId="19" borderId="2" xfId="0" applyFont="1" applyFill="1" applyBorder="1" applyAlignment="1">
      <alignment horizontal="right" vertical="center" wrapText="1"/>
    </xf>
    <xf numFmtId="0" fontId="13" fillId="19" borderId="3" xfId="0" applyFont="1" applyFill="1" applyBorder="1" applyAlignment="1">
      <alignment vertical="center" wrapText="1"/>
    </xf>
    <xf numFmtId="0" fontId="4" fillId="0" borderId="0" xfId="0" applyFont="1"/>
    <xf numFmtId="0" fontId="13" fillId="7" borderId="8" xfId="0" applyFont="1" applyFill="1" applyBorder="1" applyAlignment="1">
      <alignment vertical="center" wrapText="1"/>
    </xf>
    <xf numFmtId="0" fontId="13" fillId="7" borderId="0" xfId="0" applyFont="1" applyFill="1" applyAlignment="1">
      <alignment vertical="center" wrapText="1"/>
    </xf>
    <xf numFmtId="0" fontId="13" fillId="7" borderId="8" xfId="0" applyFont="1" applyFill="1" applyBorder="1" applyAlignment="1">
      <alignment horizontal="right" vertical="center" wrapText="1"/>
    </xf>
    <xf numFmtId="0" fontId="13" fillId="19" borderId="4" xfId="0" applyFont="1" applyFill="1" applyBorder="1" applyAlignment="1">
      <alignment horizontal="right" vertical="center" wrapText="1"/>
    </xf>
    <xf numFmtId="1" fontId="13" fillId="19" borderId="4" xfId="0" applyNumberFormat="1" applyFont="1" applyFill="1" applyBorder="1" applyAlignment="1">
      <alignment horizontal="right" vertical="center" wrapText="1"/>
    </xf>
    <xf numFmtId="14" fontId="13" fillId="19" borderId="3" xfId="0" applyNumberFormat="1" applyFont="1" applyFill="1" applyBorder="1" applyAlignment="1">
      <alignment horizontal="left" vertical="center" wrapText="1"/>
    </xf>
    <xf numFmtId="0" fontId="29" fillId="25" borderId="2" xfId="0" applyFont="1" applyFill="1" applyBorder="1" applyAlignment="1">
      <alignment horizontal="right" vertical="center" wrapText="1"/>
    </xf>
    <xf numFmtId="0" fontId="13" fillId="25" borderId="2" xfId="0" applyFont="1" applyFill="1" applyBorder="1" applyAlignment="1">
      <alignment horizontal="right" vertical="center" wrapText="1"/>
    </xf>
    <xf numFmtId="0" fontId="29" fillId="25" borderId="4" xfId="0" applyFont="1" applyFill="1" applyBorder="1" applyAlignment="1">
      <alignment horizontal="right" vertical="center" wrapText="1"/>
    </xf>
    <xf numFmtId="0" fontId="13" fillId="25" borderId="4" xfId="0" applyFont="1" applyFill="1" applyBorder="1" applyAlignment="1">
      <alignment horizontal="right" vertical="center" wrapText="1"/>
    </xf>
    <xf numFmtId="0" fontId="10" fillId="25" borderId="1" xfId="0" applyFont="1" applyFill="1" applyBorder="1" applyAlignment="1">
      <alignment vertical="center" wrapText="1"/>
    </xf>
    <xf numFmtId="0" fontId="10" fillId="25" borderId="3" xfId="0" applyFont="1" applyFill="1" applyBorder="1" applyAlignment="1">
      <alignment vertical="center" wrapText="1"/>
    </xf>
    <xf numFmtId="0" fontId="10" fillId="25" borderId="2" xfId="0" applyFont="1" applyFill="1" applyBorder="1" applyAlignment="1">
      <alignment horizontal="right" vertical="center" wrapText="1"/>
    </xf>
    <xf numFmtId="0" fontId="10" fillId="25" borderId="4" xfId="0" applyFont="1" applyFill="1" applyBorder="1" applyAlignment="1">
      <alignment horizontal="right" vertical="center" wrapText="1"/>
    </xf>
    <xf numFmtId="0" fontId="10" fillId="10" borderId="2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14" fontId="10" fillId="25" borderId="20" xfId="0" applyNumberFormat="1" applyFont="1" applyFill="1" applyBorder="1" applyAlignment="1">
      <alignment horizontal="left" vertical="center" wrapText="1"/>
    </xf>
    <xf numFmtId="1" fontId="10" fillId="25" borderId="4" xfId="0" applyNumberFormat="1" applyFont="1" applyFill="1" applyBorder="1" applyAlignment="1">
      <alignment horizontal="right" vertical="center" wrapText="1"/>
    </xf>
    <xf numFmtId="0" fontId="10" fillId="25" borderId="19" xfId="0" applyFont="1" applyFill="1" applyBorder="1" applyAlignment="1">
      <alignment horizontal="right" vertical="center" wrapText="1"/>
    </xf>
    <xf numFmtId="1" fontId="10" fillId="25" borderId="2" xfId="0" applyNumberFormat="1" applyFont="1" applyFill="1" applyBorder="1" applyAlignment="1">
      <alignment horizontal="right" vertical="center" wrapText="1"/>
    </xf>
    <xf numFmtId="14" fontId="10" fillId="25" borderId="1" xfId="0" applyNumberFormat="1" applyFont="1" applyFill="1" applyBorder="1" applyAlignment="1">
      <alignment horizontal="left" vertical="center" wrapText="1"/>
    </xf>
    <xf numFmtId="0" fontId="10" fillId="25" borderId="1" xfId="0" applyFont="1" applyFill="1" applyBorder="1" applyAlignment="1">
      <alignment horizontal="right" vertical="center" wrapText="1"/>
    </xf>
    <xf numFmtId="0" fontId="10" fillId="25" borderId="20" xfId="0" applyFont="1" applyFill="1" applyBorder="1" applyAlignment="1">
      <alignment vertical="center" wrapText="1"/>
    </xf>
    <xf numFmtId="0" fontId="10" fillId="25" borderId="17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10" fillId="25" borderId="14" xfId="0" applyFont="1" applyFill="1" applyBorder="1" applyAlignment="1">
      <alignment horizontal="right" vertical="center" wrapText="1"/>
    </xf>
    <xf numFmtId="0" fontId="0" fillId="0" borderId="0" xfId="0" applyAlignment="1"/>
    <xf numFmtId="0" fontId="0" fillId="0" borderId="0" xfId="0"/>
    <xf numFmtId="0" fontId="0" fillId="0" borderId="13" xfId="0" applyBorder="1" applyAlignment="1"/>
    <xf numFmtId="0" fontId="16" fillId="7" borderId="0" xfId="0" applyFont="1" applyFill="1"/>
    <xf numFmtId="0" fontId="0" fillId="0" borderId="0" xfId="0" applyAlignment="1"/>
    <xf numFmtId="0" fontId="0" fillId="0" borderId="0" xfId="0"/>
    <xf numFmtId="0" fontId="1" fillId="7" borderId="0" xfId="0" applyFont="1" applyFill="1" applyAlignment="1">
      <alignment horizontal="center" vertical="center" wrapText="1"/>
    </xf>
    <xf numFmtId="0" fontId="0" fillId="0" borderId="13" xfId="0" applyBorder="1" applyAlignment="1"/>
    <xf numFmtId="0" fontId="16" fillId="7" borderId="0" xfId="0" applyFont="1" applyFill="1"/>
    <xf numFmtId="0" fontId="2" fillId="7" borderId="0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right" vertical="center" wrapText="1"/>
    </xf>
    <xf numFmtId="1" fontId="13" fillId="8" borderId="5" xfId="0" applyNumberFormat="1" applyFont="1" applyFill="1" applyBorder="1" applyAlignment="1">
      <alignment horizontal="right" vertical="center" wrapText="1"/>
    </xf>
    <xf numFmtId="0" fontId="8" fillId="7" borderId="8" xfId="0" applyFont="1" applyFill="1" applyBorder="1" applyAlignment="1">
      <alignment horizontal="right" vertical="center" wrapText="1"/>
    </xf>
    <xf numFmtId="0" fontId="0" fillId="7" borderId="0" xfId="0" applyFill="1" applyAlignment="1"/>
    <xf numFmtId="14" fontId="10" fillId="7" borderId="9" xfId="0" applyNumberFormat="1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38" fillId="7" borderId="0" xfId="0" applyFont="1" applyFill="1" applyBorder="1"/>
    <xf numFmtId="0" fontId="32" fillId="0" borderId="0" xfId="0" applyFont="1" applyBorder="1"/>
    <xf numFmtId="0" fontId="25" fillId="25" borderId="4" xfId="0" applyFont="1" applyFill="1" applyBorder="1" applyAlignment="1">
      <alignment horizontal="right" vertical="center" wrapText="1"/>
    </xf>
    <xf numFmtId="0" fontId="25" fillId="25" borderId="2" xfId="0" applyFont="1" applyFill="1" applyBorder="1" applyAlignment="1">
      <alignment horizontal="right" vertical="center" wrapText="1"/>
    </xf>
    <xf numFmtId="0" fontId="40" fillId="7" borderId="0" xfId="0" applyFont="1" applyFill="1" applyBorder="1" applyAlignment="1">
      <alignment horizontal="right" vertical="center" wrapText="1"/>
    </xf>
    <xf numFmtId="0" fontId="0" fillId="7" borderId="0" xfId="0" applyFill="1" applyBorder="1" applyAlignment="1"/>
    <xf numFmtId="1" fontId="40" fillId="7" borderId="0" xfId="0" applyNumberFormat="1" applyFont="1" applyFill="1" applyBorder="1" applyAlignment="1">
      <alignment horizontal="right" vertical="center" wrapText="1"/>
    </xf>
    <xf numFmtId="0" fontId="40" fillId="7" borderId="11" xfId="0" applyFont="1" applyFill="1" applyBorder="1" applyAlignment="1">
      <alignment vertical="center" wrapText="1"/>
    </xf>
    <xf numFmtId="0" fontId="44" fillId="17" borderId="2" xfId="0" applyFont="1" applyFill="1" applyBorder="1" applyAlignment="1">
      <alignment horizontal="right" vertical="center" wrapText="1"/>
    </xf>
    <xf numFmtId="0" fontId="44" fillId="17" borderId="4" xfId="0" applyFont="1" applyFill="1" applyBorder="1" applyAlignment="1">
      <alignment horizontal="right" vertical="center" wrapText="1"/>
    </xf>
    <xf numFmtId="0" fontId="15" fillId="14" borderId="0" xfId="0" applyFont="1" applyFill="1" applyBorder="1" applyAlignment="1">
      <alignment vertical="center" wrapText="1"/>
    </xf>
    <xf numFmtId="0" fontId="15" fillId="14" borderId="0" xfId="0" applyFont="1" applyFill="1" applyBorder="1" applyAlignment="1">
      <alignment horizontal="right" vertical="center" wrapText="1"/>
    </xf>
    <xf numFmtId="1" fontId="15" fillId="14" borderId="0" xfId="0" applyNumberFormat="1" applyFont="1" applyFill="1" applyBorder="1" applyAlignment="1">
      <alignment horizontal="right" vertical="center" wrapText="1"/>
    </xf>
    <xf numFmtId="0" fontId="44" fillId="24" borderId="2" xfId="0" applyFont="1" applyFill="1" applyBorder="1" applyAlignment="1">
      <alignment horizontal="right" vertical="center" wrapText="1"/>
    </xf>
    <xf numFmtId="0" fontId="44" fillId="24" borderId="4" xfId="0" applyFont="1" applyFill="1" applyBorder="1" applyAlignment="1">
      <alignment horizontal="right" vertical="center" wrapText="1"/>
    </xf>
    <xf numFmtId="0" fontId="0" fillId="0" borderId="0" xfId="0" applyAlignment="1"/>
    <xf numFmtId="0" fontId="0" fillId="0" borderId="0" xfId="0"/>
    <xf numFmtId="0" fontId="0" fillId="0" borderId="13" xfId="0" applyBorder="1" applyAlignment="1"/>
    <xf numFmtId="1" fontId="10" fillId="25" borderId="1" xfId="0" applyNumberFormat="1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top" wrapText="1"/>
    </xf>
    <xf numFmtId="0" fontId="8" fillId="4" borderId="6" xfId="0" applyFont="1" applyFill="1" applyBorder="1"/>
    <xf numFmtId="0" fontId="10" fillId="4" borderId="2" xfId="0" applyFont="1" applyFill="1" applyBorder="1" applyAlignment="1">
      <alignment horizontal="right" vertical="center" wrapText="1"/>
    </xf>
    <xf numFmtId="0" fontId="0" fillId="0" borderId="0" xfId="0" applyAlignment="1"/>
    <xf numFmtId="0" fontId="0" fillId="0" borderId="0" xfId="0"/>
    <xf numFmtId="0" fontId="16" fillId="7" borderId="0" xfId="0" applyFont="1" applyFill="1"/>
    <xf numFmtId="0" fontId="12" fillId="3" borderId="1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right" vertical="center" wrapText="1"/>
    </xf>
    <xf numFmtId="0" fontId="12" fillId="5" borderId="3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right" vertical="center" wrapText="1"/>
    </xf>
    <xf numFmtId="0" fontId="12" fillId="5" borderId="4" xfId="0" applyFont="1" applyFill="1" applyBorder="1" applyAlignment="1">
      <alignment horizontal="right" vertical="center" wrapText="1"/>
    </xf>
    <xf numFmtId="0" fontId="13" fillId="7" borderId="9" xfId="0" applyFont="1" applyFill="1" applyBorder="1" applyAlignment="1">
      <alignment vertical="center" wrapText="1"/>
    </xf>
    <xf numFmtId="1" fontId="12" fillId="3" borderId="4" xfId="0" applyNumberFormat="1" applyFont="1" applyFill="1" applyBorder="1" applyAlignment="1">
      <alignment horizontal="right" vertical="center" wrapText="1"/>
    </xf>
    <xf numFmtId="0" fontId="2" fillId="25" borderId="11" xfId="0" applyFont="1" applyFill="1" applyBorder="1" applyAlignment="1">
      <alignment horizontal="left"/>
    </xf>
    <xf numFmtId="0" fontId="2" fillId="25" borderId="12" xfId="0" applyFont="1" applyFill="1" applyBorder="1" applyAlignment="1">
      <alignment horizontal="left"/>
    </xf>
    <xf numFmtId="0" fontId="2" fillId="25" borderId="2" xfId="0" applyFont="1" applyFill="1" applyBorder="1" applyAlignment="1">
      <alignment horizontal="left"/>
    </xf>
    <xf numFmtId="0" fontId="10" fillId="20" borderId="7" xfId="0" applyFont="1" applyFill="1" applyBorder="1" applyAlignment="1">
      <alignment vertical="center" wrapText="1"/>
    </xf>
    <xf numFmtId="0" fontId="10" fillId="20" borderId="3" xfId="0" applyFont="1" applyFill="1" applyBorder="1" applyAlignment="1">
      <alignment vertical="center" wrapText="1"/>
    </xf>
    <xf numFmtId="0" fontId="10" fillId="22" borderId="7" xfId="0" applyFont="1" applyFill="1" applyBorder="1" applyAlignment="1">
      <alignment vertical="center" wrapText="1"/>
    </xf>
    <xf numFmtId="0" fontId="10" fillId="22" borderId="3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vertical="center" wrapText="1"/>
    </xf>
    <xf numFmtId="0" fontId="10" fillId="13" borderId="3" xfId="0" applyFont="1" applyFill="1" applyBorder="1" applyAlignment="1">
      <alignment vertical="center" wrapText="1"/>
    </xf>
    <xf numFmtId="0" fontId="10" fillId="11" borderId="7" xfId="0" applyFont="1" applyFill="1" applyBorder="1" applyAlignment="1">
      <alignment vertical="center" wrapText="1"/>
    </xf>
    <xf numFmtId="0" fontId="10" fillId="11" borderId="3" xfId="0" applyFont="1" applyFill="1" applyBorder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0" fillId="0" borderId="0" xfId="0" applyAlignment="1"/>
    <xf numFmtId="0" fontId="16" fillId="7" borderId="13" xfId="0" applyFont="1" applyFill="1" applyBorder="1" applyAlignment="1">
      <alignment vertical="center" wrapText="1"/>
    </xf>
    <xf numFmtId="0" fontId="0" fillId="0" borderId="0" xfId="0" applyFont="1" applyAlignment="1"/>
    <xf numFmtId="0" fontId="0" fillId="7" borderId="0" xfId="0" applyFont="1" applyFill="1" applyAlignment="1"/>
    <xf numFmtId="0" fontId="16" fillId="7" borderId="9" xfId="0" applyFont="1" applyFill="1" applyBorder="1" applyAlignment="1">
      <alignment vertical="center" wrapText="1"/>
    </xf>
    <xf numFmtId="0" fontId="0" fillId="0" borderId="8" xfId="0" applyBorder="1" applyAlignment="1"/>
    <xf numFmtId="0" fontId="0" fillId="0" borderId="0" xfId="0" applyBorder="1" applyAlignment="1"/>
    <xf numFmtId="0" fontId="2" fillId="7" borderId="9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0" borderId="0" xfId="0"/>
    <xf numFmtId="0" fontId="31" fillId="23" borderId="9" xfId="0" applyFont="1" applyFill="1" applyBorder="1" applyAlignment="1">
      <alignment horizontal="left" vertical="center"/>
    </xf>
    <xf numFmtId="0" fontId="31" fillId="23" borderId="8" xfId="0" applyFont="1" applyFill="1" applyBorder="1" applyAlignment="1">
      <alignment horizontal="left" vertical="center"/>
    </xf>
    <xf numFmtId="0" fontId="31" fillId="23" borderId="6" xfId="0" applyFont="1" applyFill="1" applyBorder="1" applyAlignment="1">
      <alignment horizontal="left" vertical="center"/>
    </xf>
    <xf numFmtId="0" fontId="16" fillId="7" borderId="8" xfId="0" applyFont="1" applyFill="1" applyBorder="1" applyAlignment="1"/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0" fillId="22" borderId="6" xfId="0" applyFont="1" applyFill="1" applyBorder="1" applyAlignment="1">
      <alignment vertical="center" wrapText="1"/>
    </xf>
    <xf numFmtId="0" fontId="10" fillId="22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vertical="center" wrapText="1"/>
    </xf>
    <xf numFmtId="0" fontId="10" fillId="11" borderId="4" xfId="0" applyFont="1" applyFill="1" applyBorder="1" applyAlignment="1">
      <alignment vertical="center" wrapText="1"/>
    </xf>
    <xf numFmtId="0" fontId="53" fillId="24" borderId="11" xfId="0" applyFont="1" applyFill="1" applyBorder="1" applyAlignment="1">
      <alignment horizontal="left" vertical="center"/>
    </xf>
    <xf numFmtId="0" fontId="53" fillId="24" borderId="12" xfId="0" applyFont="1" applyFill="1" applyBorder="1" applyAlignment="1">
      <alignment horizontal="left" vertical="center"/>
    </xf>
    <xf numFmtId="0" fontId="53" fillId="24" borderId="2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16" fillId="7" borderId="0" xfId="0" applyFont="1" applyFill="1" applyAlignment="1"/>
    <xf numFmtId="0" fontId="6" fillId="14" borderId="11" xfId="0" applyFont="1" applyFill="1" applyBorder="1" applyAlignment="1">
      <alignment vertical="center"/>
    </xf>
    <xf numFmtId="0" fontId="5" fillId="14" borderId="12" xfId="0" applyFont="1" applyFill="1" applyBorder="1"/>
    <xf numFmtId="0" fontId="5" fillId="14" borderId="2" xfId="0" applyFont="1" applyFill="1" applyBorder="1"/>
    <xf numFmtId="0" fontId="47" fillId="21" borderId="9" xfId="0" applyFont="1" applyFill="1" applyBorder="1" applyAlignment="1">
      <alignment horizontal="left" vertical="center"/>
    </xf>
    <xf numFmtId="0" fontId="47" fillId="21" borderId="8" xfId="0" applyFont="1" applyFill="1" applyBorder="1" applyAlignment="1">
      <alignment horizontal="left" vertical="center"/>
    </xf>
    <xf numFmtId="0" fontId="47" fillId="21" borderId="6" xfId="0" applyFont="1" applyFill="1" applyBorder="1" applyAlignment="1">
      <alignment horizontal="left" vertical="center"/>
    </xf>
    <xf numFmtId="0" fontId="0" fillId="0" borderId="13" xfId="0" applyBorder="1" applyAlignment="1"/>
    <xf numFmtId="0" fontId="0" fillId="0" borderId="13" xfId="0" applyBorder="1"/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6" fillId="7" borderId="8" xfId="0" applyFont="1" applyFill="1" applyBorder="1"/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39" fillId="3" borderId="9" xfId="0" applyFont="1" applyFill="1" applyBorder="1" applyAlignment="1">
      <alignment horizontal="left" vertical="center"/>
    </xf>
    <xf numFmtId="0" fontId="39" fillId="3" borderId="8" xfId="0" applyFont="1" applyFill="1" applyBorder="1" applyAlignment="1">
      <alignment horizontal="left" vertical="center"/>
    </xf>
    <xf numFmtId="0" fontId="39" fillId="3" borderId="6" xfId="0" applyFont="1" applyFill="1" applyBorder="1" applyAlignment="1">
      <alignment horizontal="left" vertical="center"/>
    </xf>
    <xf numFmtId="0" fontId="10" fillId="15" borderId="7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33" fillId="16" borderId="9" xfId="0" applyFont="1" applyFill="1" applyBorder="1" applyAlignment="1">
      <alignment horizontal="left" vertical="center"/>
    </xf>
    <xf numFmtId="0" fontId="33" fillId="16" borderId="8" xfId="0" applyFont="1" applyFill="1" applyBorder="1" applyAlignment="1">
      <alignment horizontal="left" vertical="center"/>
    </xf>
    <xf numFmtId="0" fontId="33" fillId="16" borderId="6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center" vertical="center" wrapText="1"/>
    </xf>
    <xf numFmtId="0" fontId="16" fillId="7" borderId="0" xfId="0" applyFont="1" applyFill="1"/>
    <xf numFmtId="0" fontId="16" fillId="0" borderId="0" xfId="0" applyFont="1" applyAlignment="1"/>
    <xf numFmtId="0" fontId="22" fillId="19" borderId="9" xfId="0" applyFont="1" applyFill="1" applyBorder="1" applyAlignment="1">
      <alignment horizontal="left" vertical="center"/>
    </xf>
    <xf numFmtId="0" fontId="22" fillId="19" borderId="8" xfId="0" applyFont="1" applyFill="1" applyBorder="1" applyAlignment="1">
      <alignment horizontal="left" vertical="center"/>
    </xf>
    <xf numFmtId="0" fontId="22" fillId="19" borderId="6" xfId="0" applyFont="1" applyFill="1" applyBorder="1" applyAlignment="1">
      <alignment horizontal="left" vertical="center"/>
    </xf>
    <xf numFmtId="0" fontId="16" fillId="7" borderId="8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133926"/>
      <color rgb="FF008000"/>
      <color rgb="FF682300"/>
      <color rgb="FFFF80FF"/>
      <color rgb="FFE2AC00"/>
      <color rgb="FFC09200"/>
      <color rgb="FFBC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6"/>
  <sheetViews>
    <sheetView tabSelected="1" workbookViewId="0">
      <selection activeCell="AA19" sqref="AA19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4" width="4.140625" style="464" customWidth="1"/>
    <col min="5" max="5" width="4.7109375" customWidth="1"/>
    <col min="6" max="6" width="16.42578125" customWidth="1"/>
    <col min="7" max="8" width="5.28515625" customWidth="1"/>
    <col min="9" max="9" width="5.28515625" style="464" customWidth="1"/>
    <col min="10" max="10" width="5.28515625" customWidth="1"/>
    <col min="11" max="11" width="16.42578125" bestFit="1" customWidth="1"/>
    <col min="12" max="17" width="4.7109375" customWidth="1"/>
    <col min="18" max="19" width="5.7109375" customWidth="1"/>
    <col min="20" max="34" width="4.7109375" customWidth="1"/>
    <col min="35" max="37" width="5.42578125" customWidth="1"/>
    <col min="38" max="46" width="5.7109375" customWidth="1"/>
  </cols>
  <sheetData>
    <row r="1" spans="1:54" ht="15.95" customHeight="1" thickBot="1" x14ac:dyDescent="0.3">
      <c r="A1" s="512" t="s">
        <v>804</v>
      </c>
      <c r="B1" s="513"/>
      <c r="C1" s="513"/>
      <c r="D1" s="513"/>
      <c r="E1" s="513"/>
      <c r="F1" s="513"/>
      <c r="G1" s="513"/>
      <c r="H1" s="513"/>
      <c r="I1" s="513"/>
      <c r="J1" s="514"/>
      <c r="K1" s="531" t="s">
        <v>658</v>
      </c>
      <c r="L1" s="525" t="s">
        <v>33</v>
      </c>
      <c r="M1" s="526"/>
      <c r="N1" s="527"/>
      <c r="O1" s="525" t="s">
        <v>102</v>
      </c>
      <c r="P1" s="526"/>
      <c r="Q1" s="527"/>
      <c r="R1" s="525" t="s">
        <v>657</v>
      </c>
      <c r="S1" s="527"/>
      <c r="T1" s="519" t="s">
        <v>836</v>
      </c>
      <c r="U1" s="520"/>
      <c r="V1" s="521"/>
      <c r="W1" s="519" t="s">
        <v>816</v>
      </c>
      <c r="X1" s="520"/>
      <c r="Y1" s="521"/>
      <c r="Z1" s="282"/>
      <c r="AA1" s="272"/>
      <c r="AB1" s="273"/>
      <c r="AC1" s="519" t="s">
        <v>574</v>
      </c>
      <c r="AD1" s="520"/>
      <c r="AE1" s="521"/>
      <c r="AF1" s="519" t="s">
        <v>217</v>
      </c>
      <c r="AG1" s="520"/>
      <c r="AH1" s="521"/>
      <c r="AI1" s="519" t="s">
        <v>147</v>
      </c>
      <c r="AJ1" s="520"/>
      <c r="AK1" s="521"/>
      <c r="AL1" s="519" t="s">
        <v>137</v>
      </c>
      <c r="AM1" s="520"/>
      <c r="AN1" s="521"/>
      <c r="AO1" s="519" t="s">
        <v>101</v>
      </c>
      <c r="AP1" s="520"/>
      <c r="AQ1" s="521"/>
      <c r="AR1" s="519" t="s">
        <v>128</v>
      </c>
      <c r="AS1" s="520"/>
      <c r="AT1" s="521"/>
      <c r="AU1" s="105"/>
      <c r="AV1" s="4"/>
      <c r="AW1" s="4"/>
      <c r="AX1" s="4"/>
      <c r="AZ1" s="4"/>
    </row>
    <row r="2" spans="1:54" ht="15" customHeight="1" thickBot="1" x14ac:dyDescent="0.3">
      <c r="A2" s="434" t="s">
        <v>0</v>
      </c>
      <c r="B2" s="430" t="s">
        <v>815</v>
      </c>
      <c r="C2" s="431" t="s">
        <v>72</v>
      </c>
      <c r="D2" s="478" t="s">
        <v>73</v>
      </c>
      <c r="E2" s="436" t="s">
        <v>1</v>
      </c>
      <c r="F2" s="211" t="s">
        <v>2</v>
      </c>
      <c r="G2" s="147" t="s">
        <v>815</v>
      </c>
      <c r="H2" s="212" t="s">
        <v>72</v>
      </c>
      <c r="I2" s="217" t="s">
        <v>73</v>
      </c>
      <c r="J2" s="438" t="s">
        <v>1</v>
      </c>
      <c r="K2" s="532"/>
      <c r="L2" s="528"/>
      <c r="M2" s="529"/>
      <c r="N2" s="530"/>
      <c r="O2" s="528"/>
      <c r="P2" s="529"/>
      <c r="Q2" s="530"/>
      <c r="R2" s="528"/>
      <c r="S2" s="530"/>
      <c r="T2" s="522"/>
      <c r="U2" s="523"/>
      <c r="V2" s="524"/>
      <c r="W2" s="522"/>
      <c r="X2" s="523"/>
      <c r="Y2" s="524"/>
      <c r="Z2" s="282"/>
      <c r="AA2" s="272"/>
      <c r="AB2" s="273"/>
      <c r="AC2" s="522"/>
      <c r="AD2" s="523"/>
      <c r="AE2" s="524"/>
      <c r="AF2" s="522"/>
      <c r="AG2" s="523"/>
      <c r="AH2" s="524"/>
      <c r="AI2" s="522"/>
      <c r="AJ2" s="523"/>
      <c r="AK2" s="524"/>
      <c r="AL2" s="522"/>
      <c r="AM2" s="523"/>
      <c r="AN2" s="524"/>
      <c r="AO2" s="522"/>
      <c r="AP2" s="523"/>
      <c r="AQ2" s="524"/>
      <c r="AR2" s="522"/>
      <c r="AS2" s="523"/>
      <c r="AT2" s="524"/>
      <c r="AU2" s="105"/>
      <c r="AZ2" s="4"/>
      <c r="BA2" s="4"/>
      <c r="BB2" s="4"/>
    </row>
    <row r="3" spans="1:54" ht="15" customHeight="1" thickBot="1" x14ac:dyDescent="0.3">
      <c r="A3" s="435" t="s">
        <v>103</v>
      </c>
      <c r="B3" s="432">
        <v>0</v>
      </c>
      <c r="C3" s="433">
        <v>0</v>
      </c>
      <c r="D3" s="477">
        <v>0</v>
      </c>
      <c r="E3" s="437">
        <f>SUM(B3:D3)</f>
        <v>0</v>
      </c>
      <c r="F3" s="209" t="s">
        <v>103</v>
      </c>
      <c r="G3" s="97">
        <v>0</v>
      </c>
      <c r="H3" s="210">
        <v>0</v>
      </c>
      <c r="I3" s="218">
        <v>0</v>
      </c>
      <c r="J3" s="439">
        <f>SUM(G3:I3)</f>
        <v>0</v>
      </c>
      <c r="K3" s="33" t="s">
        <v>51</v>
      </c>
      <c r="L3" s="3" t="s">
        <v>129</v>
      </c>
      <c r="M3" s="3" t="s">
        <v>27</v>
      </c>
      <c r="N3" s="3" t="s">
        <v>28</v>
      </c>
      <c r="O3" s="3" t="s">
        <v>129</v>
      </c>
      <c r="P3" s="3" t="s">
        <v>27</v>
      </c>
      <c r="Q3" s="3" t="s">
        <v>28</v>
      </c>
      <c r="R3" s="3" t="s">
        <v>40</v>
      </c>
      <c r="S3" s="3" t="s">
        <v>166</v>
      </c>
      <c r="T3" s="98" t="s">
        <v>129</v>
      </c>
      <c r="U3" s="98" t="s">
        <v>27</v>
      </c>
      <c r="V3" s="98" t="s">
        <v>28</v>
      </c>
      <c r="W3" s="98" t="s">
        <v>129</v>
      </c>
      <c r="X3" s="98" t="s">
        <v>27</v>
      </c>
      <c r="Y3" s="98" t="s">
        <v>28</v>
      </c>
      <c r="Z3" s="113"/>
      <c r="AA3" s="114"/>
      <c r="AB3" s="269"/>
      <c r="AC3" s="103" t="s">
        <v>129</v>
      </c>
      <c r="AD3" s="98" t="s">
        <v>27</v>
      </c>
      <c r="AE3" s="98" t="s">
        <v>28</v>
      </c>
      <c r="AF3" s="103" t="s">
        <v>129</v>
      </c>
      <c r="AG3" s="98" t="s">
        <v>27</v>
      </c>
      <c r="AH3" s="119" t="s">
        <v>28</v>
      </c>
      <c r="AI3" s="119" t="s">
        <v>129</v>
      </c>
      <c r="AJ3" s="98" t="s">
        <v>27</v>
      </c>
      <c r="AK3" s="98" t="s">
        <v>28</v>
      </c>
      <c r="AL3" s="98" t="s">
        <v>129</v>
      </c>
      <c r="AM3" s="98" t="s">
        <v>27</v>
      </c>
      <c r="AN3" s="98" t="s">
        <v>28</v>
      </c>
      <c r="AO3" s="98" t="s">
        <v>129</v>
      </c>
      <c r="AP3" s="98" t="s">
        <v>27</v>
      </c>
      <c r="AQ3" s="98" t="s">
        <v>28</v>
      </c>
      <c r="AR3" s="98" t="s">
        <v>129</v>
      </c>
      <c r="AS3" s="98" t="s">
        <v>27</v>
      </c>
      <c r="AT3" s="98" t="s">
        <v>28</v>
      </c>
      <c r="AU3" s="52"/>
      <c r="AV3" s="4"/>
      <c r="AW3" s="4"/>
      <c r="AX3" s="4"/>
    </row>
    <row r="4" spans="1:54" ht="15" customHeight="1" thickBot="1" x14ac:dyDescent="0.3">
      <c r="A4" s="435" t="s">
        <v>1071</v>
      </c>
      <c r="B4" s="432">
        <v>0</v>
      </c>
      <c r="C4" s="433">
        <v>0</v>
      </c>
      <c r="D4" s="477">
        <v>0</v>
      </c>
      <c r="E4" s="437">
        <f t="shared" ref="E4:E46" si="0">SUM(B4:D4)</f>
        <v>0</v>
      </c>
      <c r="F4" s="209" t="s">
        <v>1071</v>
      </c>
      <c r="G4" s="97">
        <v>11</v>
      </c>
      <c r="H4" s="210">
        <v>0</v>
      </c>
      <c r="I4" s="218">
        <v>0</v>
      </c>
      <c r="J4" s="439">
        <f t="shared" ref="J4:J46" si="1">SUM(G4:I4)</f>
        <v>11</v>
      </c>
      <c r="K4" s="444" t="s">
        <v>103</v>
      </c>
      <c r="L4" s="437" t="s">
        <v>34</v>
      </c>
      <c r="M4" s="437" t="s">
        <v>34</v>
      </c>
      <c r="N4" s="441" t="s">
        <v>34</v>
      </c>
      <c r="O4" s="437" t="s">
        <v>34</v>
      </c>
      <c r="P4" s="437" t="s">
        <v>34</v>
      </c>
      <c r="Q4" s="441" t="s">
        <v>34</v>
      </c>
      <c r="R4" s="445">
        <v>1</v>
      </c>
      <c r="S4" s="445">
        <v>1</v>
      </c>
      <c r="T4" s="98" t="s">
        <v>34</v>
      </c>
      <c r="U4" s="98" t="s">
        <v>34</v>
      </c>
      <c r="V4" s="357" t="s">
        <v>34</v>
      </c>
      <c r="W4" s="6">
        <v>1</v>
      </c>
      <c r="X4" s="6">
        <v>2</v>
      </c>
      <c r="Y4" s="239">
        <v>50</v>
      </c>
      <c r="Z4" s="113"/>
      <c r="AA4" s="114"/>
      <c r="AB4" s="269"/>
      <c r="AC4" s="328" t="s">
        <v>34</v>
      </c>
      <c r="AD4" s="239" t="s">
        <v>34</v>
      </c>
      <c r="AE4" s="239" t="s">
        <v>34</v>
      </c>
      <c r="AF4" s="328" t="s">
        <v>34</v>
      </c>
      <c r="AG4" s="239" t="s">
        <v>34</v>
      </c>
      <c r="AH4" s="239" t="s">
        <v>34</v>
      </c>
      <c r="AI4" s="6" t="s">
        <v>34</v>
      </c>
      <c r="AJ4" s="239" t="s">
        <v>34</v>
      </c>
      <c r="AK4" s="239" t="s">
        <v>34</v>
      </c>
      <c r="AL4" s="239" t="s">
        <v>34</v>
      </c>
      <c r="AM4" s="239" t="s">
        <v>34</v>
      </c>
      <c r="AN4" s="239" t="s">
        <v>34</v>
      </c>
      <c r="AO4" s="239" t="s">
        <v>34</v>
      </c>
      <c r="AP4" s="239" t="s">
        <v>34</v>
      </c>
      <c r="AQ4" s="239" t="s">
        <v>34</v>
      </c>
      <c r="AR4" s="6" t="s">
        <v>34</v>
      </c>
      <c r="AS4" s="6" t="s">
        <v>34</v>
      </c>
      <c r="AT4" s="6" t="s">
        <v>34</v>
      </c>
      <c r="AU4" s="101"/>
    </row>
    <row r="5" spans="1:54" ht="15" customHeight="1" thickBot="1" x14ac:dyDescent="0.3">
      <c r="A5" s="435" t="s">
        <v>69</v>
      </c>
      <c r="B5" s="432">
        <v>0</v>
      </c>
      <c r="C5" s="433">
        <v>0</v>
      </c>
      <c r="D5" s="477">
        <v>0</v>
      </c>
      <c r="E5" s="437">
        <f t="shared" si="0"/>
        <v>0</v>
      </c>
      <c r="F5" s="213" t="s">
        <v>69</v>
      </c>
      <c r="G5" s="97">
        <v>0</v>
      </c>
      <c r="H5" s="210">
        <v>0</v>
      </c>
      <c r="I5" s="218">
        <v>0</v>
      </c>
      <c r="J5" s="439">
        <f t="shared" si="1"/>
        <v>0</v>
      </c>
      <c r="K5" s="440" t="s">
        <v>1071</v>
      </c>
      <c r="L5" s="437">
        <v>5</v>
      </c>
      <c r="M5" s="437">
        <v>6</v>
      </c>
      <c r="N5" s="441">
        <f>SUM(L5/M5)*100</f>
        <v>83.333333333333343</v>
      </c>
      <c r="O5" s="437" t="s">
        <v>34</v>
      </c>
      <c r="P5" s="437" t="s">
        <v>34</v>
      </c>
      <c r="Q5" s="441" t="s">
        <v>34</v>
      </c>
      <c r="R5" s="458">
        <v>4</v>
      </c>
      <c r="S5" s="458">
        <v>4</v>
      </c>
      <c r="T5" s="98" t="s">
        <v>34</v>
      </c>
      <c r="U5" s="98" t="s">
        <v>34</v>
      </c>
      <c r="V5" s="357" t="s">
        <v>34</v>
      </c>
      <c r="W5" s="7" t="s">
        <v>34</v>
      </c>
      <c r="X5" s="7" t="s">
        <v>34</v>
      </c>
      <c r="Y5" s="6" t="s">
        <v>34</v>
      </c>
      <c r="Z5" s="455"/>
      <c r="AA5" s="456"/>
      <c r="AB5" s="457"/>
      <c r="AC5" s="6" t="s">
        <v>34</v>
      </c>
      <c r="AD5" s="6" t="s">
        <v>34</v>
      </c>
      <c r="AE5" s="6" t="s">
        <v>34</v>
      </c>
      <c r="AF5" s="6" t="s">
        <v>34</v>
      </c>
      <c r="AG5" s="6" t="s">
        <v>34</v>
      </c>
      <c r="AH5" s="6" t="s">
        <v>34</v>
      </c>
      <c r="AI5" s="6" t="s">
        <v>34</v>
      </c>
      <c r="AJ5" s="6" t="s">
        <v>34</v>
      </c>
      <c r="AK5" s="6" t="s">
        <v>34</v>
      </c>
      <c r="AL5" s="6" t="s">
        <v>34</v>
      </c>
      <c r="AM5" s="6" t="s">
        <v>34</v>
      </c>
      <c r="AN5" s="6" t="s">
        <v>34</v>
      </c>
      <c r="AO5" s="6" t="s">
        <v>34</v>
      </c>
      <c r="AP5" s="6" t="s">
        <v>34</v>
      </c>
      <c r="AQ5" s="6" t="s">
        <v>34</v>
      </c>
      <c r="AR5" s="239" t="s">
        <v>34</v>
      </c>
      <c r="AS5" s="239" t="s">
        <v>34</v>
      </c>
      <c r="AT5" s="239" t="s">
        <v>34</v>
      </c>
      <c r="AU5" s="102"/>
      <c r="AZ5" s="4"/>
      <c r="BA5" s="4"/>
      <c r="BB5" s="4"/>
    </row>
    <row r="6" spans="1:54" ht="15" customHeight="1" thickBot="1" x14ac:dyDescent="0.3">
      <c r="A6" s="435" t="s">
        <v>212</v>
      </c>
      <c r="B6" s="432">
        <v>4</v>
      </c>
      <c r="C6" s="433">
        <v>0</v>
      </c>
      <c r="D6" s="477">
        <v>0</v>
      </c>
      <c r="E6" s="437">
        <f t="shared" si="0"/>
        <v>4</v>
      </c>
      <c r="F6" s="213" t="s">
        <v>212</v>
      </c>
      <c r="G6" s="97">
        <v>20</v>
      </c>
      <c r="H6" s="210">
        <v>0</v>
      </c>
      <c r="I6" s="218">
        <v>0</v>
      </c>
      <c r="J6" s="439">
        <f t="shared" si="1"/>
        <v>20</v>
      </c>
      <c r="K6" s="434" t="s">
        <v>748</v>
      </c>
      <c r="L6" s="437">
        <v>18</v>
      </c>
      <c r="M6" s="437">
        <v>26</v>
      </c>
      <c r="N6" s="441">
        <f>SUM(L6/M6)*100</f>
        <v>69.230769230769226</v>
      </c>
      <c r="O6" s="437">
        <v>0</v>
      </c>
      <c r="P6" s="437">
        <v>1</v>
      </c>
      <c r="Q6" s="441">
        <f>SUM(O6/P6)*100</f>
        <v>0</v>
      </c>
      <c r="R6" s="436">
        <v>-1</v>
      </c>
      <c r="S6" s="436">
        <v>-1</v>
      </c>
      <c r="T6" s="98">
        <v>1</v>
      </c>
      <c r="U6" s="98">
        <v>1</v>
      </c>
      <c r="V6" s="357">
        <f>SUM(T6/U6)*100</f>
        <v>100</v>
      </c>
      <c r="W6" s="7">
        <v>14</v>
      </c>
      <c r="X6" s="7">
        <v>20</v>
      </c>
      <c r="Y6" s="232">
        <f t="shared" ref="Y6" si="2">SUM(W6/X6)*100</f>
        <v>70</v>
      </c>
      <c r="Z6" s="113"/>
      <c r="AA6" s="114"/>
      <c r="AB6" s="269"/>
      <c r="AC6" s="6">
        <v>15</v>
      </c>
      <c r="AD6" s="7">
        <v>20</v>
      </c>
      <c r="AE6" s="232">
        <f>SUM(AC6/AD6)*100</f>
        <v>75</v>
      </c>
      <c r="AF6" s="221">
        <v>7</v>
      </c>
      <c r="AG6" s="7">
        <v>8</v>
      </c>
      <c r="AH6" s="232">
        <f>SUM(AF6/AG6)*100</f>
        <v>87.5</v>
      </c>
      <c r="AI6" s="221">
        <v>7</v>
      </c>
      <c r="AJ6" s="7">
        <v>9</v>
      </c>
      <c r="AK6" s="232">
        <f>SUM(AI6/AJ6)*100</f>
        <v>77.777777777777786</v>
      </c>
      <c r="AL6" s="7">
        <v>3</v>
      </c>
      <c r="AM6" s="7">
        <v>3</v>
      </c>
      <c r="AN6" s="232">
        <f>SUM(AL6/AM6)*100</f>
        <v>100</v>
      </c>
      <c r="AO6" s="7">
        <v>3</v>
      </c>
      <c r="AP6" s="7">
        <v>4</v>
      </c>
      <c r="AQ6" s="232">
        <f>SUM(AO6/AP6)*100</f>
        <v>75</v>
      </c>
      <c r="AR6" s="231" t="s">
        <v>34</v>
      </c>
      <c r="AS6" s="231" t="s">
        <v>34</v>
      </c>
      <c r="AT6" s="231" t="s">
        <v>34</v>
      </c>
      <c r="AU6" s="102"/>
    </row>
    <row r="7" spans="1:54" ht="15" customHeight="1" thickBot="1" x14ac:dyDescent="0.3">
      <c r="A7" s="435" t="s">
        <v>745</v>
      </c>
      <c r="B7" s="432">
        <v>0</v>
      </c>
      <c r="C7" s="433">
        <v>0</v>
      </c>
      <c r="D7" s="477">
        <v>0</v>
      </c>
      <c r="E7" s="437">
        <f t="shared" si="0"/>
        <v>0</v>
      </c>
      <c r="F7" s="213" t="s">
        <v>745</v>
      </c>
      <c r="G7" s="97">
        <v>0</v>
      </c>
      <c r="H7" s="210">
        <v>0</v>
      </c>
      <c r="I7" s="218">
        <v>0</v>
      </c>
      <c r="J7" s="439">
        <f t="shared" si="1"/>
        <v>0</v>
      </c>
      <c r="K7" s="435" t="s">
        <v>10</v>
      </c>
      <c r="L7" s="437" t="s">
        <v>34</v>
      </c>
      <c r="M7" s="437" t="s">
        <v>34</v>
      </c>
      <c r="N7" s="441" t="s">
        <v>34</v>
      </c>
      <c r="O7" s="437" t="s">
        <v>34</v>
      </c>
      <c r="P7" s="437" t="s">
        <v>34</v>
      </c>
      <c r="Q7" s="441" t="s">
        <v>34</v>
      </c>
      <c r="R7" s="437">
        <v>1</v>
      </c>
      <c r="S7" s="437">
        <v>1</v>
      </c>
      <c r="T7" s="98" t="s">
        <v>34</v>
      </c>
      <c r="U7" s="98" t="s">
        <v>34</v>
      </c>
      <c r="V7" s="357" t="s">
        <v>34</v>
      </c>
      <c r="W7" s="7" t="s">
        <v>34</v>
      </c>
      <c r="X7" s="7" t="s">
        <v>34</v>
      </c>
      <c r="Y7" s="7" t="s">
        <v>34</v>
      </c>
      <c r="Z7" s="113"/>
      <c r="AA7" s="114"/>
      <c r="AB7" s="269"/>
      <c r="AC7" s="6">
        <v>1</v>
      </c>
      <c r="AD7" s="231">
        <v>1</v>
      </c>
      <c r="AE7" s="230">
        <f>SUM(AC7/AD7)*100</f>
        <v>100</v>
      </c>
      <c r="AF7" s="221" t="s">
        <v>34</v>
      </c>
      <c r="AG7" s="7" t="s">
        <v>34</v>
      </c>
      <c r="AH7" s="7" t="s">
        <v>34</v>
      </c>
      <c r="AI7" s="221" t="s">
        <v>34</v>
      </c>
      <c r="AJ7" s="7" t="s">
        <v>34</v>
      </c>
      <c r="AK7" s="7" t="s">
        <v>34</v>
      </c>
      <c r="AL7" s="7" t="s">
        <v>34</v>
      </c>
      <c r="AM7" s="7" t="s">
        <v>34</v>
      </c>
      <c r="AN7" s="7" t="s">
        <v>34</v>
      </c>
      <c r="AO7" s="7" t="s">
        <v>34</v>
      </c>
      <c r="AP7" s="7" t="s">
        <v>34</v>
      </c>
      <c r="AQ7" s="7" t="s">
        <v>34</v>
      </c>
      <c r="AR7" s="7" t="s">
        <v>34</v>
      </c>
      <c r="AS7" s="7" t="s">
        <v>34</v>
      </c>
      <c r="AT7" s="7" t="s">
        <v>34</v>
      </c>
      <c r="AU7" s="102"/>
    </row>
    <row r="8" spans="1:54" ht="15" customHeight="1" thickBot="1" x14ac:dyDescent="0.3">
      <c r="A8" s="435" t="s">
        <v>79</v>
      </c>
      <c r="B8" s="432">
        <v>0</v>
      </c>
      <c r="C8" s="433">
        <v>0</v>
      </c>
      <c r="D8" s="477">
        <v>0</v>
      </c>
      <c r="E8" s="437">
        <f t="shared" si="0"/>
        <v>0</v>
      </c>
      <c r="F8" s="213" t="s">
        <v>79</v>
      </c>
      <c r="G8" s="97">
        <v>0</v>
      </c>
      <c r="H8" s="210">
        <v>0</v>
      </c>
      <c r="I8" s="218">
        <v>0</v>
      </c>
      <c r="J8" s="439">
        <f t="shared" si="1"/>
        <v>0</v>
      </c>
      <c r="K8" s="435" t="s">
        <v>752</v>
      </c>
      <c r="L8" s="437" t="s">
        <v>34</v>
      </c>
      <c r="M8" s="437" t="s">
        <v>34</v>
      </c>
      <c r="N8" s="441" t="s">
        <v>34</v>
      </c>
      <c r="O8" s="437" t="s">
        <v>34</v>
      </c>
      <c r="P8" s="437" t="s">
        <v>34</v>
      </c>
      <c r="Q8" s="441" t="s">
        <v>34</v>
      </c>
      <c r="R8" s="437">
        <v>3</v>
      </c>
      <c r="S8" s="437">
        <v>3</v>
      </c>
      <c r="T8" s="98">
        <v>6</v>
      </c>
      <c r="U8" s="98">
        <v>9</v>
      </c>
      <c r="V8" s="357">
        <f>SUM(T8/U8)*100</f>
        <v>66.666666666666657</v>
      </c>
      <c r="W8" s="7" t="s">
        <v>34</v>
      </c>
      <c r="X8" s="7" t="s">
        <v>34</v>
      </c>
      <c r="Y8" s="7" t="s">
        <v>34</v>
      </c>
      <c r="Z8" s="113"/>
      <c r="AA8" s="114"/>
      <c r="AB8" s="269"/>
      <c r="AC8" s="7" t="s">
        <v>34</v>
      </c>
      <c r="AD8" s="7" t="s">
        <v>34</v>
      </c>
      <c r="AE8" s="7" t="s">
        <v>34</v>
      </c>
      <c r="AF8" s="7" t="s">
        <v>34</v>
      </c>
      <c r="AG8" s="7" t="s">
        <v>34</v>
      </c>
      <c r="AH8" s="7" t="s">
        <v>34</v>
      </c>
      <c r="AI8" s="7" t="s">
        <v>34</v>
      </c>
      <c r="AJ8" s="7" t="s">
        <v>34</v>
      </c>
      <c r="AK8" s="7" t="s">
        <v>34</v>
      </c>
      <c r="AL8" s="7" t="s">
        <v>34</v>
      </c>
      <c r="AM8" s="7" t="s">
        <v>34</v>
      </c>
      <c r="AN8" s="7" t="s">
        <v>34</v>
      </c>
      <c r="AO8" s="7" t="s">
        <v>34</v>
      </c>
      <c r="AP8" s="7" t="s">
        <v>34</v>
      </c>
      <c r="AQ8" s="7" t="s">
        <v>34</v>
      </c>
      <c r="AR8" s="7" t="s">
        <v>34</v>
      </c>
      <c r="AS8" s="7" t="s">
        <v>34</v>
      </c>
      <c r="AT8" s="7" t="s">
        <v>34</v>
      </c>
    </row>
    <row r="9" spans="1:54" ht="15" customHeight="1" thickBot="1" x14ac:dyDescent="0.3">
      <c r="A9" s="435" t="s">
        <v>65</v>
      </c>
      <c r="B9" s="432">
        <v>1</v>
      </c>
      <c r="C9" s="433">
        <v>0</v>
      </c>
      <c r="D9" s="477">
        <v>0</v>
      </c>
      <c r="E9" s="437">
        <f t="shared" si="0"/>
        <v>1</v>
      </c>
      <c r="F9" s="213" t="s">
        <v>65</v>
      </c>
      <c r="G9" s="97">
        <v>5</v>
      </c>
      <c r="H9" s="210">
        <v>0</v>
      </c>
      <c r="I9" s="218">
        <v>0</v>
      </c>
      <c r="J9" s="439">
        <f t="shared" si="1"/>
        <v>5</v>
      </c>
      <c r="K9" s="435" t="s">
        <v>211</v>
      </c>
      <c r="L9" s="437" t="s">
        <v>34</v>
      </c>
      <c r="M9" s="437" t="s">
        <v>34</v>
      </c>
      <c r="N9" s="441" t="s">
        <v>34</v>
      </c>
      <c r="O9" s="437" t="s">
        <v>34</v>
      </c>
      <c r="P9" s="437" t="s">
        <v>34</v>
      </c>
      <c r="Q9" s="441" t="s">
        <v>34</v>
      </c>
      <c r="R9" s="437">
        <v>-1</v>
      </c>
      <c r="S9" s="437">
        <v>-1</v>
      </c>
      <c r="T9" s="98" t="s">
        <v>34</v>
      </c>
      <c r="U9" s="98" t="s">
        <v>34</v>
      </c>
      <c r="V9" s="357" t="s">
        <v>34</v>
      </c>
      <c r="W9" s="7">
        <v>0</v>
      </c>
      <c r="X9" s="7">
        <v>1</v>
      </c>
      <c r="Y9" s="7">
        <v>0</v>
      </c>
      <c r="Z9" s="113"/>
      <c r="AA9" s="114"/>
      <c r="AB9" s="269"/>
      <c r="AC9" s="6" t="s">
        <v>34</v>
      </c>
      <c r="AD9" s="7" t="s">
        <v>34</v>
      </c>
      <c r="AE9" s="7" t="s">
        <v>34</v>
      </c>
      <c r="AF9" s="7" t="s">
        <v>34</v>
      </c>
      <c r="AG9" s="7" t="s">
        <v>34</v>
      </c>
      <c r="AH9" s="7" t="s">
        <v>34</v>
      </c>
      <c r="AI9" s="7" t="s">
        <v>34</v>
      </c>
      <c r="AJ9" s="7" t="s">
        <v>34</v>
      </c>
      <c r="AK9" s="7" t="s">
        <v>34</v>
      </c>
      <c r="AL9" s="7" t="s">
        <v>34</v>
      </c>
      <c r="AM9" s="7" t="s">
        <v>34</v>
      </c>
      <c r="AN9" s="7" t="s">
        <v>34</v>
      </c>
      <c r="AO9" s="7" t="s">
        <v>34</v>
      </c>
      <c r="AP9" s="7" t="s">
        <v>34</v>
      </c>
      <c r="AQ9" s="7" t="s">
        <v>34</v>
      </c>
      <c r="AR9" s="7" t="s">
        <v>34</v>
      </c>
      <c r="AS9" s="7" t="s">
        <v>34</v>
      </c>
      <c r="AT9" s="7" t="s">
        <v>34</v>
      </c>
    </row>
    <row r="10" spans="1:54" ht="15" customHeight="1" thickBot="1" x14ac:dyDescent="0.3">
      <c r="A10" s="435" t="s">
        <v>177</v>
      </c>
      <c r="B10" s="432">
        <v>1</v>
      </c>
      <c r="C10" s="433">
        <v>0</v>
      </c>
      <c r="D10" s="477">
        <v>1</v>
      </c>
      <c r="E10" s="437">
        <f t="shared" si="0"/>
        <v>2</v>
      </c>
      <c r="F10" s="213" t="s">
        <v>177</v>
      </c>
      <c r="G10" s="97">
        <v>5</v>
      </c>
      <c r="H10" s="210">
        <v>0</v>
      </c>
      <c r="I10" s="218">
        <v>5</v>
      </c>
      <c r="J10" s="439">
        <f t="shared" si="1"/>
        <v>10</v>
      </c>
      <c r="K10" s="435" t="s">
        <v>1043</v>
      </c>
      <c r="L10" s="437">
        <v>2</v>
      </c>
      <c r="M10" s="437">
        <v>5</v>
      </c>
      <c r="N10" s="441">
        <f>SUM(L10/M10)*100</f>
        <v>40</v>
      </c>
      <c r="O10" s="437" t="s">
        <v>34</v>
      </c>
      <c r="P10" s="437" t="s">
        <v>34</v>
      </c>
      <c r="Q10" s="441" t="s">
        <v>34</v>
      </c>
      <c r="R10" s="437">
        <v>1</v>
      </c>
      <c r="S10" s="437">
        <v>1</v>
      </c>
      <c r="T10" s="98">
        <v>11</v>
      </c>
      <c r="U10" s="98">
        <v>13</v>
      </c>
      <c r="V10" s="357">
        <f>SUM(T10/U10)*100</f>
        <v>84.615384615384613</v>
      </c>
      <c r="W10" s="7">
        <v>61</v>
      </c>
      <c r="X10" s="7">
        <v>79</v>
      </c>
      <c r="Y10" s="7">
        <v>77</v>
      </c>
      <c r="Z10" s="448"/>
      <c r="AA10" s="449"/>
      <c r="AB10" s="450"/>
      <c r="AC10" s="6" t="s">
        <v>34</v>
      </c>
      <c r="AD10" s="7" t="s">
        <v>34</v>
      </c>
      <c r="AE10" s="7" t="s">
        <v>34</v>
      </c>
      <c r="AF10" s="7" t="s">
        <v>34</v>
      </c>
      <c r="AG10" s="7" t="s">
        <v>34</v>
      </c>
      <c r="AH10" s="7" t="s">
        <v>34</v>
      </c>
      <c r="AI10" s="7" t="s">
        <v>34</v>
      </c>
      <c r="AJ10" s="7" t="s">
        <v>34</v>
      </c>
      <c r="AK10" s="7" t="s">
        <v>34</v>
      </c>
      <c r="AL10" s="7" t="s">
        <v>34</v>
      </c>
      <c r="AM10" s="7" t="s">
        <v>34</v>
      </c>
      <c r="AN10" s="7" t="s">
        <v>34</v>
      </c>
      <c r="AO10" s="7" t="s">
        <v>34</v>
      </c>
      <c r="AP10" s="7" t="s">
        <v>34</v>
      </c>
      <c r="AQ10" s="7" t="s">
        <v>34</v>
      </c>
      <c r="AR10" s="7" t="s">
        <v>34</v>
      </c>
      <c r="AS10" s="7" t="s">
        <v>34</v>
      </c>
      <c r="AT10" s="7" t="s">
        <v>34</v>
      </c>
      <c r="AV10" s="4"/>
      <c r="AW10" s="4"/>
      <c r="AX10" s="4"/>
    </row>
    <row r="11" spans="1:54" ht="15" customHeight="1" thickBot="1" x14ac:dyDescent="0.3">
      <c r="A11" s="435" t="s">
        <v>22</v>
      </c>
      <c r="B11" s="432">
        <v>0</v>
      </c>
      <c r="C11" s="433">
        <v>0</v>
      </c>
      <c r="D11" s="477">
        <v>0</v>
      </c>
      <c r="E11" s="437">
        <f t="shared" si="0"/>
        <v>0</v>
      </c>
      <c r="F11" s="213" t="s">
        <v>22</v>
      </c>
      <c r="G11" s="97">
        <v>0</v>
      </c>
      <c r="H11" s="210">
        <v>0</v>
      </c>
      <c r="I11" s="218">
        <v>0</v>
      </c>
      <c r="J11" s="439">
        <f t="shared" si="1"/>
        <v>0</v>
      </c>
      <c r="K11" s="435" t="s">
        <v>100</v>
      </c>
      <c r="L11" s="437">
        <v>55</v>
      </c>
      <c r="M11" s="437">
        <v>62</v>
      </c>
      <c r="N11" s="443">
        <f>SUM(L11/M11)*100</f>
        <v>88.709677419354833</v>
      </c>
      <c r="O11" s="437">
        <v>4</v>
      </c>
      <c r="P11" s="437">
        <v>5</v>
      </c>
      <c r="Q11" s="441">
        <f>SUM(O11/P11)*100</f>
        <v>80</v>
      </c>
      <c r="R11" s="437">
        <v>3</v>
      </c>
      <c r="S11" s="437">
        <v>3</v>
      </c>
      <c r="T11" s="98">
        <v>80</v>
      </c>
      <c r="U11" s="98">
        <v>102</v>
      </c>
      <c r="V11" s="358">
        <f>SUM(T11/U11)*100</f>
        <v>78.431372549019613</v>
      </c>
      <c r="W11" s="7">
        <v>40</v>
      </c>
      <c r="X11" s="7">
        <v>50</v>
      </c>
      <c r="Y11" s="230">
        <f>SUM(W11/X11)*100</f>
        <v>80</v>
      </c>
      <c r="Z11" s="113"/>
      <c r="AA11" s="114"/>
      <c r="AB11" s="269"/>
      <c r="AC11" s="221">
        <v>52</v>
      </c>
      <c r="AD11" s="7">
        <v>60</v>
      </c>
      <c r="AE11" s="230">
        <f>SUM(AC11/AD11)*100</f>
        <v>86.666666666666671</v>
      </c>
      <c r="AF11" s="221">
        <v>22</v>
      </c>
      <c r="AG11" s="7">
        <v>29</v>
      </c>
      <c r="AH11" s="232">
        <f>SUM(AF11/AG11)*100</f>
        <v>75.862068965517238</v>
      </c>
      <c r="AI11" s="221">
        <v>19</v>
      </c>
      <c r="AJ11" s="7">
        <v>29</v>
      </c>
      <c r="AK11" s="232">
        <f>SUM(AI11/AJ11)*100</f>
        <v>65.517241379310349</v>
      </c>
      <c r="AL11" s="7" t="s">
        <v>34</v>
      </c>
      <c r="AM11" s="7" t="s">
        <v>34</v>
      </c>
      <c r="AN11" s="7" t="s">
        <v>34</v>
      </c>
      <c r="AO11" s="7" t="s">
        <v>34</v>
      </c>
      <c r="AP11" s="7" t="s">
        <v>34</v>
      </c>
      <c r="AQ11" s="7" t="s">
        <v>34</v>
      </c>
      <c r="AR11" s="7" t="s">
        <v>34</v>
      </c>
      <c r="AS11" s="7" t="s">
        <v>34</v>
      </c>
      <c r="AT11" s="7" t="s">
        <v>34</v>
      </c>
    </row>
    <row r="12" spans="1:54" ht="15" customHeight="1" thickBot="1" x14ac:dyDescent="0.3">
      <c r="A12" s="435" t="s">
        <v>746</v>
      </c>
      <c r="B12" s="432">
        <v>2</v>
      </c>
      <c r="C12" s="433">
        <v>0</v>
      </c>
      <c r="D12" s="477">
        <v>0</v>
      </c>
      <c r="E12" s="437">
        <f t="shared" si="0"/>
        <v>2</v>
      </c>
      <c r="F12" s="213" t="s">
        <v>746</v>
      </c>
      <c r="G12" s="97">
        <v>10</v>
      </c>
      <c r="H12" s="210">
        <v>0</v>
      </c>
      <c r="I12" s="218">
        <v>0</v>
      </c>
      <c r="J12" s="439">
        <f t="shared" si="1"/>
        <v>10</v>
      </c>
      <c r="Z12" s="360"/>
      <c r="AB12" s="360"/>
    </row>
    <row r="13" spans="1:54" ht="15" customHeight="1" thickBot="1" x14ac:dyDescent="0.3">
      <c r="A13" s="435" t="s">
        <v>822</v>
      </c>
      <c r="B13" s="432">
        <v>0</v>
      </c>
      <c r="C13" s="433">
        <v>0</v>
      </c>
      <c r="D13" s="477">
        <v>0</v>
      </c>
      <c r="E13" s="437">
        <f t="shared" si="0"/>
        <v>0</v>
      </c>
      <c r="F13" s="213" t="s">
        <v>822</v>
      </c>
      <c r="G13" s="97">
        <v>0</v>
      </c>
      <c r="H13" s="210">
        <v>0</v>
      </c>
      <c r="I13" s="218">
        <v>0</v>
      </c>
      <c r="J13" s="439">
        <f t="shared" si="1"/>
        <v>0</v>
      </c>
      <c r="K13" s="517" t="s">
        <v>659</v>
      </c>
      <c r="L13" s="525" t="s">
        <v>33</v>
      </c>
      <c r="M13" s="526"/>
      <c r="N13" s="527"/>
      <c r="O13" s="519" t="s">
        <v>836</v>
      </c>
      <c r="P13" s="520"/>
      <c r="Q13" s="521"/>
      <c r="R13" s="519" t="s">
        <v>816</v>
      </c>
      <c r="S13" s="520"/>
      <c r="T13" s="521"/>
      <c r="U13" s="519" t="s">
        <v>574</v>
      </c>
      <c r="V13" s="520"/>
      <c r="W13" s="521"/>
      <c r="X13" s="272"/>
      <c r="Y13" s="272"/>
      <c r="Z13" s="272"/>
      <c r="AA13" s="351"/>
      <c r="AB13" s="351"/>
      <c r="AC13" s="272"/>
      <c r="AD13" s="105"/>
      <c r="AE13" s="105"/>
      <c r="AF13" s="519" t="s">
        <v>217</v>
      </c>
      <c r="AG13" s="520"/>
      <c r="AH13" s="521"/>
      <c r="AI13" s="519" t="s">
        <v>147</v>
      </c>
      <c r="AJ13" s="520"/>
      <c r="AK13" s="521"/>
      <c r="AL13" s="519" t="s">
        <v>137</v>
      </c>
      <c r="AM13" s="520"/>
      <c r="AN13" s="521"/>
      <c r="AO13" s="519" t="s">
        <v>138</v>
      </c>
      <c r="AP13" s="520"/>
      <c r="AQ13" s="521"/>
      <c r="AT13" s="4"/>
      <c r="AU13" s="4"/>
      <c r="AV13" s="4"/>
      <c r="AW13" s="4"/>
    </row>
    <row r="14" spans="1:54" ht="15" customHeight="1" thickBot="1" x14ac:dyDescent="0.3">
      <c r="A14" s="435" t="s">
        <v>74</v>
      </c>
      <c r="B14" s="432">
        <v>6</v>
      </c>
      <c r="C14" s="433">
        <v>0</v>
      </c>
      <c r="D14" s="477">
        <v>1</v>
      </c>
      <c r="E14" s="437">
        <f t="shared" si="0"/>
        <v>7</v>
      </c>
      <c r="F14" s="213" t="s">
        <v>74</v>
      </c>
      <c r="G14" s="97">
        <v>30</v>
      </c>
      <c r="H14" s="210">
        <v>0</v>
      </c>
      <c r="I14" s="218">
        <v>5</v>
      </c>
      <c r="J14" s="439">
        <f t="shared" si="1"/>
        <v>35</v>
      </c>
      <c r="K14" s="518"/>
      <c r="L14" s="528"/>
      <c r="M14" s="529"/>
      <c r="N14" s="530"/>
      <c r="O14" s="522"/>
      <c r="P14" s="523"/>
      <c r="Q14" s="524"/>
      <c r="R14" s="522"/>
      <c r="S14" s="523"/>
      <c r="T14" s="524"/>
      <c r="U14" s="522"/>
      <c r="V14" s="523"/>
      <c r="W14" s="524"/>
      <c r="X14" s="272"/>
      <c r="Y14" s="272"/>
      <c r="Z14" s="272"/>
      <c r="AA14" s="351"/>
      <c r="AB14" s="351"/>
      <c r="AC14" s="272"/>
      <c r="AD14" s="105"/>
      <c r="AE14" s="105"/>
      <c r="AF14" s="522"/>
      <c r="AG14" s="523"/>
      <c r="AH14" s="524"/>
      <c r="AI14" s="522"/>
      <c r="AJ14" s="523"/>
      <c r="AK14" s="524"/>
      <c r="AL14" s="522"/>
      <c r="AM14" s="523"/>
      <c r="AN14" s="524"/>
      <c r="AO14" s="522"/>
      <c r="AP14" s="523"/>
      <c r="AQ14" s="524"/>
      <c r="AX14" s="4"/>
    </row>
    <row r="15" spans="1:54" ht="15" customHeight="1" thickBot="1" x14ac:dyDescent="0.3">
      <c r="A15" s="435" t="s">
        <v>1085</v>
      </c>
      <c r="B15" s="432">
        <v>1</v>
      </c>
      <c r="C15" s="433">
        <v>0</v>
      </c>
      <c r="D15" s="477">
        <v>1</v>
      </c>
      <c r="E15" s="437">
        <f t="shared" si="0"/>
        <v>2</v>
      </c>
      <c r="F15" s="213" t="s">
        <v>1085</v>
      </c>
      <c r="G15" s="97">
        <v>5</v>
      </c>
      <c r="H15" s="210">
        <v>0</v>
      </c>
      <c r="I15" s="218">
        <v>5</v>
      </c>
      <c r="J15" s="439">
        <f t="shared" si="1"/>
        <v>10</v>
      </c>
      <c r="K15" s="33"/>
      <c r="L15" s="3" t="s">
        <v>129</v>
      </c>
      <c r="M15" s="3" t="s">
        <v>27</v>
      </c>
      <c r="N15" s="3" t="s">
        <v>28</v>
      </c>
      <c r="O15" s="98" t="s">
        <v>129</v>
      </c>
      <c r="P15" s="98" t="s">
        <v>27</v>
      </c>
      <c r="Q15" s="98" t="s">
        <v>28</v>
      </c>
      <c r="R15" s="98" t="s">
        <v>129</v>
      </c>
      <c r="S15" s="98" t="s">
        <v>27</v>
      </c>
      <c r="T15" s="98" t="s">
        <v>28</v>
      </c>
      <c r="U15" s="103" t="s">
        <v>129</v>
      </c>
      <c r="V15" s="98" t="s">
        <v>27</v>
      </c>
      <c r="W15" s="98" t="s">
        <v>28</v>
      </c>
      <c r="X15" s="351"/>
      <c r="Y15" s="351"/>
      <c r="Z15" s="351"/>
      <c r="AA15" s="351"/>
      <c r="AB15" s="351"/>
      <c r="AC15" s="327"/>
      <c r="AF15" s="103" t="s">
        <v>129</v>
      </c>
      <c r="AG15" s="98" t="s">
        <v>27</v>
      </c>
      <c r="AH15" s="98" t="s">
        <v>28</v>
      </c>
      <c r="AI15" s="103" t="s">
        <v>129</v>
      </c>
      <c r="AJ15" s="98" t="s">
        <v>27</v>
      </c>
      <c r="AK15" s="98" t="s">
        <v>28</v>
      </c>
      <c r="AL15" s="103" t="s">
        <v>129</v>
      </c>
      <c r="AM15" s="98" t="s">
        <v>27</v>
      </c>
      <c r="AN15" s="98" t="s">
        <v>28</v>
      </c>
      <c r="AO15" s="119" t="s">
        <v>129</v>
      </c>
      <c r="AP15" s="98" t="s">
        <v>27</v>
      </c>
      <c r="AQ15" s="98" t="s">
        <v>28</v>
      </c>
      <c r="AY15" s="4"/>
      <c r="AZ15" s="4"/>
      <c r="BA15" s="4"/>
    </row>
    <row r="16" spans="1:54" ht="15" customHeight="1" thickBot="1" x14ac:dyDescent="0.3">
      <c r="A16" s="435" t="s">
        <v>71</v>
      </c>
      <c r="B16" s="432">
        <v>0</v>
      </c>
      <c r="C16" s="433">
        <v>0</v>
      </c>
      <c r="D16" s="477">
        <v>0</v>
      </c>
      <c r="E16" s="437">
        <f t="shared" si="0"/>
        <v>0</v>
      </c>
      <c r="F16" s="213" t="s">
        <v>71</v>
      </c>
      <c r="G16" s="97">
        <v>0</v>
      </c>
      <c r="H16" s="210">
        <v>0</v>
      </c>
      <c r="I16" s="218">
        <v>0</v>
      </c>
      <c r="J16" s="439">
        <f t="shared" si="1"/>
        <v>0</v>
      </c>
      <c r="K16" s="444" t="s">
        <v>103</v>
      </c>
      <c r="L16" s="445" t="s">
        <v>34</v>
      </c>
      <c r="M16" s="445" t="s">
        <v>34</v>
      </c>
      <c r="N16" s="445" t="s">
        <v>34</v>
      </c>
      <c r="O16" s="119" t="s">
        <v>34</v>
      </c>
      <c r="P16" s="119" t="s">
        <v>34</v>
      </c>
      <c r="Q16" s="119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351"/>
      <c r="Y16" s="351"/>
      <c r="Z16" s="351"/>
      <c r="AA16" s="351"/>
      <c r="AB16" s="351"/>
      <c r="AC16" s="327"/>
      <c r="AD16" s="165"/>
      <c r="AE16" s="165"/>
      <c r="AF16" s="6" t="s">
        <v>34</v>
      </c>
      <c r="AG16" s="6" t="s">
        <v>34</v>
      </c>
      <c r="AH16" s="6" t="s">
        <v>34</v>
      </c>
      <c r="AI16" s="6" t="s">
        <v>34</v>
      </c>
      <c r="AJ16" s="6" t="s">
        <v>34</v>
      </c>
      <c r="AK16" s="6" t="s">
        <v>34</v>
      </c>
      <c r="AL16" s="274" t="s">
        <v>34</v>
      </c>
      <c r="AM16" s="6" t="s">
        <v>34</v>
      </c>
      <c r="AN16" s="231" t="s">
        <v>34</v>
      </c>
      <c r="AO16" s="6" t="s">
        <v>34</v>
      </c>
      <c r="AP16" s="231" t="s">
        <v>34</v>
      </c>
      <c r="AQ16" s="231" t="s">
        <v>34</v>
      </c>
    </row>
    <row r="17" spans="1:50" ht="15.75" thickBot="1" x14ac:dyDescent="0.3">
      <c r="A17" s="435" t="s">
        <v>99</v>
      </c>
      <c r="B17" s="432">
        <v>0</v>
      </c>
      <c r="C17" s="433">
        <v>0</v>
      </c>
      <c r="D17" s="477">
        <v>0</v>
      </c>
      <c r="E17" s="437">
        <f t="shared" si="0"/>
        <v>0</v>
      </c>
      <c r="F17" s="213" t="s">
        <v>99</v>
      </c>
      <c r="G17" s="97">
        <v>0</v>
      </c>
      <c r="H17" s="210">
        <v>0</v>
      </c>
      <c r="I17" s="218">
        <v>0</v>
      </c>
      <c r="J17" s="439">
        <f t="shared" si="1"/>
        <v>0</v>
      </c>
      <c r="K17" s="434" t="s">
        <v>748</v>
      </c>
      <c r="L17" s="445">
        <v>3</v>
      </c>
      <c r="M17" s="445">
        <v>5</v>
      </c>
      <c r="N17" s="442">
        <f>SUM(L17/M17)*100</f>
        <v>60</v>
      </c>
      <c r="O17" s="119" t="s">
        <v>34</v>
      </c>
      <c r="P17" s="119" t="s">
        <v>34</v>
      </c>
      <c r="Q17" s="359" t="s">
        <v>34</v>
      </c>
      <c r="R17" s="6">
        <v>4</v>
      </c>
      <c r="S17" s="6">
        <v>4</v>
      </c>
      <c r="T17" s="229">
        <f>SUM(R17/S17)*100</f>
        <v>100</v>
      </c>
      <c r="U17" s="6" t="s">
        <v>34</v>
      </c>
      <c r="V17" s="6" t="s">
        <v>34</v>
      </c>
      <c r="W17" s="6" t="s">
        <v>34</v>
      </c>
      <c r="X17" s="351"/>
      <c r="Y17" s="351"/>
      <c r="Z17" s="351"/>
      <c r="AA17" s="351"/>
      <c r="AB17" s="351"/>
      <c r="AC17" s="327"/>
      <c r="AF17" s="328">
        <v>7</v>
      </c>
      <c r="AG17" s="6">
        <v>9</v>
      </c>
      <c r="AH17" s="240">
        <f>SUM(AF17/AG17)*100</f>
        <v>77.777777777777786</v>
      </c>
      <c r="AI17" s="6" t="s">
        <v>34</v>
      </c>
      <c r="AJ17" s="6" t="s">
        <v>34</v>
      </c>
      <c r="AK17" s="6" t="s">
        <v>34</v>
      </c>
      <c r="AL17" s="6" t="s">
        <v>34</v>
      </c>
      <c r="AM17" s="7" t="s">
        <v>34</v>
      </c>
      <c r="AN17" s="7" t="s">
        <v>34</v>
      </c>
      <c r="AO17" s="221" t="s">
        <v>34</v>
      </c>
      <c r="AP17" s="7" t="s">
        <v>34</v>
      </c>
      <c r="AQ17" s="7" t="s">
        <v>34</v>
      </c>
    </row>
    <row r="18" spans="1:50" ht="15.75" thickBot="1" x14ac:dyDescent="0.3">
      <c r="A18" s="435" t="s">
        <v>163</v>
      </c>
      <c r="B18" s="432">
        <v>2</v>
      </c>
      <c r="C18" s="433">
        <v>0</v>
      </c>
      <c r="D18" s="477">
        <v>0</v>
      </c>
      <c r="E18" s="437">
        <f t="shared" si="0"/>
        <v>2</v>
      </c>
      <c r="F18" s="209" t="s">
        <v>163</v>
      </c>
      <c r="G18" s="97">
        <v>10</v>
      </c>
      <c r="H18" s="210">
        <v>0</v>
      </c>
      <c r="I18" s="218">
        <v>0</v>
      </c>
      <c r="J18" s="439">
        <f t="shared" si="1"/>
        <v>10</v>
      </c>
      <c r="K18" s="434" t="s">
        <v>100</v>
      </c>
      <c r="L18" s="445" t="s">
        <v>34</v>
      </c>
      <c r="M18" s="445" t="s">
        <v>34</v>
      </c>
      <c r="N18" s="445" t="s">
        <v>34</v>
      </c>
      <c r="O18" s="98">
        <v>3</v>
      </c>
      <c r="P18" s="98">
        <v>4</v>
      </c>
      <c r="Q18" s="358">
        <f>SUM(O18/P18)*100</f>
        <v>75</v>
      </c>
      <c r="R18" s="7">
        <v>6</v>
      </c>
      <c r="S18" s="7">
        <v>7</v>
      </c>
      <c r="T18" s="230">
        <f>SUM(R18/S18)*100</f>
        <v>85.714285714285708</v>
      </c>
      <c r="U18" s="221">
        <v>14</v>
      </c>
      <c r="V18" s="7">
        <v>19</v>
      </c>
      <c r="W18" s="230">
        <f>SUM(U18/V18)*100</f>
        <v>73.68421052631578</v>
      </c>
      <c r="X18" s="351"/>
      <c r="Y18" s="351"/>
      <c r="Z18" s="351"/>
      <c r="AA18" s="351"/>
      <c r="AB18" s="351"/>
      <c r="AC18" s="327"/>
      <c r="AF18" s="6">
        <v>17</v>
      </c>
      <c r="AG18" s="6">
        <v>19</v>
      </c>
      <c r="AH18" s="240">
        <f>SUM(AF18/AG18)*100</f>
        <v>89.473684210526315</v>
      </c>
      <c r="AI18" s="6">
        <v>1</v>
      </c>
      <c r="AJ18" s="6">
        <v>1</v>
      </c>
      <c r="AK18" s="240">
        <f>SUM(AI18/AJ18)*100</f>
        <v>100</v>
      </c>
      <c r="AL18" s="6" t="s">
        <v>34</v>
      </c>
      <c r="AM18" s="231" t="s">
        <v>34</v>
      </c>
      <c r="AN18" s="231" t="s">
        <v>34</v>
      </c>
      <c r="AO18" s="6" t="s">
        <v>34</v>
      </c>
      <c r="AP18" s="231" t="s">
        <v>34</v>
      </c>
      <c r="AQ18" s="231" t="s">
        <v>34</v>
      </c>
    </row>
    <row r="19" spans="1:50" ht="15.75" thickBot="1" x14ac:dyDescent="0.3">
      <c r="A19" s="435" t="s">
        <v>824</v>
      </c>
      <c r="B19" s="432">
        <v>0</v>
      </c>
      <c r="C19" s="433">
        <v>0</v>
      </c>
      <c r="D19" s="477">
        <v>0</v>
      </c>
      <c r="E19" s="437">
        <f t="shared" si="0"/>
        <v>0</v>
      </c>
      <c r="F19" s="209" t="s">
        <v>824</v>
      </c>
      <c r="G19" s="97">
        <v>0</v>
      </c>
      <c r="H19" s="210">
        <v>0</v>
      </c>
      <c r="I19" s="218">
        <v>0</v>
      </c>
      <c r="J19" s="439">
        <f t="shared" si="1"/>
        <v>0</v>
      </c>
      <c r="X19" s="351"/>
      <c r="Y19" s="351"/>
      <c r="Z19" s="351"/>
      <c r="AA19" s="351"/>
      <c r="AB19" s="351"/>
      <c r="AF19" s="326"/>
      <c r="AG19" s="326"/>
      <c r="AH19" s="326"/>
      <c r="AI19" s="39"/>
      <c r="AJ19" s="39"/>
      <c r="AK19" s="39"/>
      <c r="AO19" s="4"/>
    </row>
    <row r="20" spans="1:50" ht="16.5" thickBot="1" x14ac:dyDescent="0.3">
      <c r="A20" s="435" t="s">
        <v>826</v>
      </c>
      <c r="B20" s="432">
        <v>0</v>
      </c>
      <c r="C20" s="433">
        <v>0</v>
      </c>
      <c r="D20" s="477">
        <v>0</v>
      </c>
      <c r="E20" s="437">
        <f t="shared" si="0"/>
        <v>0</v>
      </c>
      <c r="F20" s="213" t="s">
        <v>826</v>
      </c>
      <c r="G20" s="97">
        <v>0</v>
      </c>
      <c r="H20" s="210">
        <v>0</v>
      </c>
      <c r="I20" s="218">
        <v>0</v>
      </c>
      <c r="J20" s="439">
        <f t="shared" si="1"/>
        <v>0</v>
      </c>
      <c r="K20" s="533" t="s">
        <v>660</v>
      </c>
      <c r="L20" s="525" t="s">
        <v>33</v>
      </c>
      <c r="M20" s="526"/>
      <c r="N20" s="527"/>
      <c r="O20" s="519" t="s">
        <v>836</v>
      </c>
      <c r="P20" s="520"/>
      <c r="Q20" s="521"/>
      <c r="R20" s="519" t="s">
        <v>816</v>
      </c>
      <c r="S20" s="520"/>
      <c r="T20" s="521"/>
      <c r="U20" s="519" t="s">
        <v>574</v>
      </c>
      <c r="V20" s="520"/>
      <c r="W20" s="521"/>
      <c r="X20" s="272"/>
      <c r="Y20" s="272"/>
      <c r="Z20" s="272"/>
      <c r="AA20" s="463"/>
      <c r="AB20" s="463"/>
      <c r="AC20" s="272"/>
      <c r="AD20" s="465"/>
      <c r="AE20" s="465"/>
      <c r="AF20" s="519" t="s">
        <v>217</v>
      </c>
      <c r="AG20" s="520"/>
      <c r="AH20" s="521"/>
      <c r="AI20" s="519" t="s">
        <v>147</v>
      </c>
      <c r="AJ20" s="520"/>
      <c r="AK20" s="521"/>
      <c r="AL20" s="519" t="s">
        <v>137</v>
      </c>
      <c r="AM20" s="520"/>
      <c r="AN20" s="521"/>
      <c r="AO20" s="519" t="s">
        <v>138</v>
      </c>
      <c r="AP20" s="520"/>
      <c r="AQ20" s="521"/>
      <c r="AR20" s="464"/>
      <c r="AS20" s="464"/>
      <c r="AT20" s="464"/>
      <c r="AX20" s="4"/>
    </row>
    <row r="21" spans="1:50" ht="15" customHeight="1" thickBot="1" x14ac:dyDescent="0.3">
      <c r="A21" s="435" t="s">
        <v>670</v>
      </c>
      <c r="B21" s="432">
        <v>0</v>
      </c>
      <c r="C21" s="433">
        <v>0</v>
      </c>
      <c r="D21" s="477">
        <v>0</v>
      </c>
      <c r="E21" s="437">
        <f t="shared" si="0"/>
        <v>0</v>
      </c>
      <c r="F21" s="213" t="s">
        <v>670</v>
      </c>
      <c r="G21" s="97">
        <v>0</v>
      </c>
      <c r="H21" s="210">
        <v>0</v>
      </c>
      <c r="I21" s="218">
        <v>0</v>
      </c>
      <c r="J21" s="439">
        <f t="shared" si="1"/>
        <v>0</v>
      </c>
      <c r="K21" s="534"/>
      <c r="L21" s="528"/>
      <c r="M21" s="529"/>
      <c r="N21" s="530"/>
      <c r="O21" s="522"/>
      <c r="P21" s="523"/>
      <c r="Q21" s="524"/>
      <c r="R21" s="522"/>
      <c r="S21" s="523"/>
      <c r="T21" s="524"/>
      <c r="U21" s="522"/>
      <c r="V21" s="523"/>
      <c r="W21" s="524"/>
      <c r="X21" s="272"/>
      <c r="Y21" s="272"/>
      <c r="Z21" s="272"/>
      <c r="AA21" s="463"/>
      <c r="AB21" s="463"/>
      <c r="AC21" s="272"/>
      <c r="AD21" s="465"/>
      <c r="AE21" s="465"/>
      <c r="AF21" s="522"/>
      <c r="AG21" s="523"/>
      <c r="AH21" s="524"/>
      <c r="AI21" s="522"/>
      <c r="AJ21" s="523"/>
      <c r="AK21" s="524"/>
      <c r="AL21" s="522"/>
      <c r="AM21" s="523"/>
      <c r="AN21" s="524"/>
      <c r="AO21" s="522"/>
      <c r="AP21" s="523"/>
      <c r="AQ21" s="524"/>
      <c r="AR21" s="464"/>
      <c r="AS21" s="464"/>
      <c r="AT21" s="464"/>
      <c r="AV21" s="4"/>
      <c r="AW21" s="4"/>
      <c r="AX21" s="4"/>
    </row>
    <row r="22" spans="1:50" ht="15" customHeight="1" thickBot="1" x14ac:dyDescent="0.3">
      <c r="A22" s="435" t="s">
        <v>10</v>
      </c>
      <c r="B22" s="432">
        <v>0</v>
      </c>
      <c r="C22" s="433">
        <v>0</v>
      </c>
      <c r="D22" s="477">
        <v>0</v>
      </c>
      <c r="E22" s="437">
        <f t="shared" si="0"/>
        <v>0</v>
      </c>
      <c r="F22" s="213" t="s">
        <v>10</v>
      </c>
      <c r="G22" s="97">
        <v>0</v>
      </c>
      <c r="H22" s="210">
        <v>0</v>
      </c>
      <c r="I22" s="218">
        <v>0</v>
      </c>
      <c r="J22" s="439">
        <f t="shared" si="1"/>
        <v>0</v>
      </c>
      <c r="K22" s="33"/>
      <c r="L22" s="3" t="s">
        <v>129</v>
      </c>
      <c r="M22" s="3" t="s">
        <v>27</v>
      </c>
      <c r="N22" s="3" t="s">
        <v>28</v>
      </c>
      <c r="O22" s="98" t="s">
        <v>129</v>
      </c>
      <c r="P22" s="98" t="s">
        <v>27</v>
      </c>
      <c r="Q22" s="98" t="s">
        <v>28</v>
      </c>
      <c r="R22" s="98" t="s">
        <v>129</v>
      </c>
      <c r="S22" s="98" t="s">
        <v>27</v>
      </c>
      <c r="T22" s="98" t="s">
        <v>28</v>
      </c>
      <c r="U22" s="103" t="s">
        <v>129</v>
      </c>
      <c r="V22" s="98" t="s">
        <v>27</v>
      </c>
      <c r="W22" s="98" t="s">
        <v>28</v>
      </c>
      <c r="X22" s="463"/>
      <c r="Y22" s="463"/>
      <c r="Z22" s="463"/>
      <c r="AA22" s="463"/>
      <c r="AB22" s="463"/>
      <c r="AC22" s="463"/>
      <c r="AD22" s="464"/>
      <c r="AE22" s="464"/>
      <c r="AF22" s="103" t="s">
        <v>129</v>
      </c>
      <c r="AG22" s="98" t="s">
        <v>27</v>
      </c>
      <c r="AH22" s="98" t="s">
        <v>28</v>
      </c>
      <c r="AI22" s="103" t="s">
        <v>129</v>
      </c>
      <c r="AJ22" s="98" t="s">
        <v>27</v>
      </c>
      <c r="AK22" s="98" t="s">
        <v>28</v>
      </c>
      <c r="AL22" s="103" t="s">
        <v>129</v>
      </c>
      <c r="AM22" s="98" t="s">
        <v>27</v>
      </c>
      <c r="AN22" s="98" t="s">
        <v>28</v>
      </c>
      <c r="AO22" s="119" t="s">
        <v>129</v>
      </c>
      <c r="AP22" s="98" t="s">
        <v>27</v>
      </c>
      <c r="AQ22" s="98" t="s">
        <v>28</v>
      </c>
      <c r="AR22" s="464"/>
      <c r="AS22" s="464"/>
      <c r="AT22" s="464"/>
    </row>
    <row r="23" spans="1:50" ht="15" customHeight="1" thickBot="1" x14ac:dyDescent="0.3">
      <c r="A23" s="435" t="s">
        <v>828</v>
      </c>
      <c r="B23" s="432">
        <v>0</v>
      </c>
      <c r="C23" s="433">
        <v>0</v>
      </c>
      <c r="D23" s="477">
        <v>0</v>
      </c>
      <c r="E23" s="437">
        <f t="shared" si="0"/>
        <v>0</v>
      </c>
      <c r="F23" s="209" t="s">
        <v>829</v>
      </c>
      <c r="G23" s="97">
        <v>0</v>
      </c>
      <c r="H23" s="210">
        <v>0</v>
      </c>
      <c r="I23" s="218">
        <v>0</v>
      </c>
      <c r="J23" s="439">
        <f t="shared" si="1"/>
        <v>0</v>
      </c>
      <c r="K23" s="444" t="s">
        <v>1084</v>
      </c>
      <c r="L23" s="445">
        <v>10</v>
      </c>
      <c r="M23" s="445">
        <v>12</v>
      </c>
      <c r="N23" s="493">
        <f>SUM(L23/M23)*100</f>
        <v>83.333333333333343</v>
      </c>
      <c r="O23" s="119" t="s">
        <v>34</v>
      </c>
      <c r="P23" s="119" t="s">
        <v>34</v>
      </c>
      <c r="Q23" s="119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463"/>
      <c r="Y23" s="463"/>
      <c r="Z23" s="463"/>
      <c r="AA23" s="463"/>
      <c r="AB23" s="463"/>
      <c r="AC23" s="463"/>
      <c r="AD23" s="165"/>
      <c r="AE23" s="165"/>
      <c r="AF23" s="6" t="s">
        <v>34</v>
      </c>
      <c r="AG23" s="6" t="s">
        <v>34</v>
      </c>
      <c r="AH23" s="6" t="s">
        <v>34</v>
      </c>
      <c r="AI23" s="6" t="s">
        <v>34</v>
      </c>
      <c r="AJ23" s="6" t="s">
        <v>34</v>
      </c>
      <c r="AK23" s="6" t="s">
        <v>34</v>
      </c>
      <c r="AL23" s="6" t="s">
        <v>34</v>
      </c>
      <c r="AM23" s="6" t="s">
        <v>34</v>
      </c>
      <c r="AN23" s="231" t="s">
        <v>34</v>
      </c>
      <c r="AO23" s="6" t="s">
        <v>34</v>
      </c>
      <c r="AP23" s="231" t="s">
        <v>34</v>
      </c>
      <c r="AQ23" s="231" t="s">
        <v>34</v>
      </c>
      <c r="AR23" s="464"/>
      <c r="AS23" s="464"/>
      <c r="AT23" s="464"/>
    </row>
    <row r="24" spans="1:50" ht="15" customHeight="1" thickBot="1" x14ac:dyDescent="0.3">
      <c r="A24" s="435" t="s">
        <v>752</v>
      </c>
      <c r="B24" s="432">
        <v>1</v>
      </c>
      <c r="C24" s="433">
        <v>0</v>
      </c>
      <c r="D24" s="477">
        <v>0</v>
      </c>
      <c r="E24" s="437">
        <f t="shared" si="0"/>
        <v>1</v>
      </c>
      <c r="F24" s="209" t="s">
        <v>752</v>
      </c>
      <c r="G24" s="97">
        <v>5</v>
      </c>
      <c r="H24" s="210">
        <v>0</v>
      </c>
      <c r="I24" s="218">
        <v>0</v>
      </c>
      <c r="J24" s="439">
        <f t="shared" si="1"/>
        <v>5</v>
      </c>
      <c r="K24" s="473"/>
      <c r="L24" s="363"/>
      <c r="M24" s="329"/>
      <c r="N24" s="329"/>
      <c r="O24" s="474"/>
      <c r="P24" s="471"/>
      <c r="Q24" s="474"/>
      <c r="R24" s="329"/>
      <c r="S24" s="329"/>
      <c r="T24" s="329"/>
      <c r="U24" s="363"/>
      <c r="V24" s="329"/>
      <c r="W24" s="363"/>
      <c r="X24" s="472"/>
      <c r="Y24" s="472"/>
      <c r="Z24" s="472"/>
      <c r="AA24" s="472"/>
      <c r="AB24" s="472"/>
      <c r="AC24" s="472"/>
      <c r="AD24" s="238"/>
      <c r="AE24" s="475"/>
      <c r="AF24" s="329"/>
      <c r="AG24" s="329"/>
      <c r="AH24" s="329"/>
      <c r="AI24" s="363"/>
      <c r="AJ24" s="329"/>
      <c r="AK24" s="329"/>
      <c r="AL24" s="329"/>
      <c r="AM24" s="365"/>
      <c r="AN24" s="365"/>
      <c r="AO24" s="365"/>
      <c r="AP24" s="365"/>
      <c r="AQ24" s="365"/>
      <c r="AR24" s="39"/>
      <c r="AS24" s="39"/>
      <c r="AT24" s="39"/>
      <c r="AV24" s="4"/>
      <c r="AW24" s="4"/>
      <c r="AX24" s="4"/>
    </row>
    <row r="25" spans="1:50" ht="15.75" thickBot="1" x14ac:dyDescent="0.3">
      <c r="A25" s="435" t="s">
        <v>257</v>
      </c>
      <c r="B25" s="432">
        <v>1</v>
      </c>
      <c r="C25" s="433">
        <v>1</v>
      </c>
      <c r="D25" s="477">
        <v>0</v>
      </c>
      <c r="E25" s="437">
        <f t="shared" si="0"/>
        <v>2</v>
      </c>
      <c r="F25" s="213" t="s">
        <v>257</v>
      </c>
      <c r="G25" s="97">
        <v>5</v>
      </c>
      <c r="H25" s="210">
        <v>5</v>
      </c>
      <c r="I25" s="218">
        <v>0</v>
      </c>
      <c r="J25" s="439">
        <f t="shared" si="1"/>
        <v>10</v>
      </c>
      <c r="K25" s="515" t="s">
        <v>218</v>
      </c>
      <c r="L25" s="519" t="s">
        <v>836</v>
      </c>
      <c r="M25" s="520"/>
      <c r="N25" s="521"/>
      <c r="O25" s="519" t="s">
        <v>816</v>
      </c>
      <c r="P25" s="520"/>
      <c r="Q25" s="521"/>
      <c r="R25" s="519" t="s">
        <v>574</v>
      </c>
      <c r="S25" s="520"/>
      <c r="T25" s="521"/>
      <c r="U25" s="519" t="s">
        <v>217</v>
      </c>
      <c r="V25" s="520"/>
      <c r="W25" s="521"/>
      <c r="X25" s="351"/>
      <c r="Y25" s="351"/>
      <c r="Z25" s="351"/>
      <c r="AA25" s="351"/>
      <c r="AB25" s="351"/>
      <c r="AC25" s="223"/>
      <c r="AD25" s="223"/>
      <c r="AE25" s="223"/>
      <c r="AF25" s="519" t="s">
        <v>137</v>
      </c>
      <c r="AG25" s="520"/>
      <c r="AH25" s="521"/>
      <c r="AI25" s="519" t="s">
        <v>101</v>
      </c>
      <c r="AJ25" s="520"/>
      <c r="AK25" s="521"/>
      <c r="AL25" s="39"/>
      <c r="AM25" s="39"/>
      <c r="AN25" s="39"/>
    </row>
    <row r="26" spans="1:50" ht="15.75" thickBot="1" x14ac:dyDescent="0.3">
      <c r="A26" s="435" t="s">
        <v>723</v>
      </c>
      <c r="B26" s="432">
        <v>4</v>
      </c>
      <c r="C26" s="433">
        <v>0</v>
      </c>
      <c r="D26" s="477">
        <v>1</v>
      </c>
      <c r="E26" s="437">
        <f t="shared" si="0"/>
        <v>5</v>
      </c>
      <c r="F26" s="213" t="s">
        <v>723</v>
      </c>
      <c r="G26" s="97">
        <v>20</v>
      </c>
      <c r="H26" s="210">
        <v>0</v>
      </c>
      <c r="I26" s="218">
        <v>5</v>
      </c>
      <c r="J26" s="439">
        <f t="shared" si="1"/>
        <v>25</v>
      </c>
      <c r="K26" s="516"/>
      <c r="L26" s="522"/>
      <c r="M26" s="523"/>
      <c r="N26" s="524"/>
      <c r="O26" s="522"/>
      <c r="P26" s="523"/>
      <c r="Q26" s="524"/>
      <c r="R26" s="522"/>
      <c r="S26" s="523"/>
      <c r="T26" s="524"/>
      <c r="U26" s="522"/>
      <c r="V26" s="523"/>
      <c r="W26" s="524"/>
      <c r="X26" s="351"/>
      <c r="Y26" s="351"/>
      <c r="Z26" s="351"/>
      <c r="AA26" s="351"/>
      <c r="AB26" s="351"/>
      <c r="AC26" s="223"/>
      <c r="AD26" s="223"/>
      <c r="AE26" s="223"/>
      <c r="AF26" s="522"/>
      <c r="AG26" s="523"/>
      <c r="AH26" s="524"/>
      <c r="AI26" s="522"/>
      <c r="AJ26" s="523"/>
      <c r="AK26" s="524"/>
      <c r="AL26" s="39"/>
      <c r="AM26" s="39"/>
      <c r="AN26" s="39"/>
    </row>
    <row r="27" spans="1:50" ht="15.75" thickBot="1" x14ac:dyDescent="0.3">
      <c r="A27" s="435" t="s">
        <v>514</v>
      </c>
      <c r="B27" s="432">
        <v>5</v>
      </c>
      <c r="C27" s="433">
        <v>0</v>
      </c>
      <c r="D27" s="477">
        <v>1</v>
      </c>
      <c r="E27" s="437">
        <f t="shared" si="0"/>
        <v>6</v>
      </c>
      <c r="F27" s="213" t="s">
        <v>514</v>
      </c>
      <c r="G27" s="97">
        <v>25</v>
      </c>
      <c r="H27" s="210">
        <v>0</v>
      </c>
      <c r="I27" s="218">
        <v>5</v>
      </c>
      <c r="J27" s="439">
        <f t="shared" si="1"/>
        <v>30</v>
      </c>
      <c r="K27" s="33" t="s">
        <v>51</v>
      </c>
      <c r="L27" s="98" t="s">
        <v>129</v>
      </c>
      <c r="M27" s="98" t="s">
        <v>27</v>
      </c>
      <c r="N27" s="98" t="s">
        <v>28</v>
      </c>
      <c r="O27" s="98" t="s">
        <v>129</v>
      </c>
      <c r="P27" s="98" t="s">
        <v>27</v>
      </c>
      <c r="Q27" s="98" t="s">
        <v>28</v>
      </c>
      <c r="R27" s="98" t="s">
        <v>129</v>
      </c>
      <c r="S27" s="98" t="s">
        <v>27</v>
      </c>
      <c r="T27" s="98" t="s">
        <v>28</v>
      </c>
      <c r="U27" s="103" t="s">
        <v>129</v>
      </c>
      <c r="V27" s="98" t="s">
        <v>27</v>
      </c>
      <c r="W27" s="98" t="s">
        <v>28</v>
      </c>
      <c r="X27" s="351"/>
      <c r="Y27" s="351"/>
      <c r="Z27" s="351"/>
      <c r="AA27" s="351"/>
      <c r="AB27" s="351"/>
      <c r="AC27" s="223"/>
      <c r="AD27" s="223"/>
      <c r="AE27" s="223"/>
      <c r="AF27" s="103" t="s">
        <v>129</v>
      </c>
      <c r="AG27" s="98" t="s">
        <v>27</v>
      </c>
      <c r="AH27" s="98" t="s">
        <v>28</v>
      </c>
      <c r="AI27" s="103" t="s">
        <v>129</v>
      </c>
      <c r="AJ27" s="98" t="s">
        <v>27</v>
      </c>
      <c r="AK27" s="98" t="s">
        <v>28</v>
      </c>
      <c r="AL27" s="39"/>
      <c r="AM27" s="39"/>
      <c r="AN27" s="39"/>
    </row>
    <row r="28" spans="1:50" ht="15.75" thickBot="1" x14ac:dyDescent="0.3">
      <c r="A28" s="435" t="s">
        <v>831</v>
      </c>
      <c r="B28" s="432">
        <v>7</v>
      </c>
      <c r="C28" s="433">
        <v>0</v>
      </c>
      <c r="D28" s="477">
        <v>0</v>
      </c>
      <c r="E28" s="437">
        <f t="shared" si="0"/>
        <v>7</v>
      </c>
      <c r="F28" s="213" t="s">
        <v>831</v>
      </c>
      <c r="G28" s="97">
        <v>35</v>
      </c>
      <c r="H28" s="210">
        <v>0</v>
      </c>
      <c r="I28" s="218">
        <v>0</v>
      </c>
      <c r="J28" s="439">
        <f t="shared" si="1"/>
        <v>35</v>
      </c>
      <c r="K28" s="440" t="s">
        <v>103</v>
      </c>
      <c r="L28" s="119"/>
      <c r="M28" s="119"/>
      <c r="N28" s="119"/>
      <c r="O28" s="6">
        <v>0</v>
      </c>
      <c r="P28" s="6">
        <v>1</v>
      </c>
      <c r="Q28" s="230">
        <f>SUM(O28/P28)*100</f>
        <v>0</v>
      </c>
      <c r="R28" s="235" t="s">
        <v>34</v>
      </c>
      <c r="S28" s="234" t="s">
        <v>34</v>
      </c>
      <c r="T28" s="234" t="s">
        <v>34</v>
      </c>
      <c r="U28" s="235" t="s">
        <v>34</v>
      </c>
      <c r="V28" s="234" t="s">
        <v>34</v>
      </c>
      <c r="W28" s="234" t="s">
        <v>34</v>
      </c>
      <c r="X28" s="351"/>
      <c r="Y28" s="351"/>
      <c r="Z28" s="351"/>
      <c r="AA28" s="351"/>
      <c r="AB28" s="351"/>
      <c r="AC28" s="223"/>
      <c r="AD28" s="223"/>
      <c r="AE28" s="223"/>
      <c r="AF28" s="235" t="s">
        <v>34</v>
      </c>
      <c r="AG28" s="234" t="s">
        <v>34</v>
      </c>
      <c r="AH28" s="234" t="s">
        <v>34</v>
      </c>
      <c r="AI28" s="233" t="s">
        <v>34</v>
      </c>
      <c r="AJ28" s="234" t="s">
        <v>34</v>
      </c>
      <c r="AK28" s="234" t="s">
        <v>34</v>
      </c>
      <c r="AL28" s="39"/>
      <c r="AM28" s="39"/>
      <c r="AN28" s="39"/>
    </row>
    <row r="29" spans="1:50" ht="15.75" thickBot="1" x14ac:dyDescent="0.3">
      <c r="A29" s="435" t="s">
        <v>180</v>
      </c>
      <c r="B29" s="432">
        <v>2</v>
      </c>
      <c r="C29" s="433">
        <v>0</v>
      </c>
      <c r="D29" s="477">
        <v>1</v>
      </c>
      <c r="E29" s="437">
        <f t="shared" si="0"/>
        <v>3</v>
      </c>
      <c r="F29" s="213" t="s">
        <v>180</v>
      </c>
      <c r="G29" s="97">
        <v>10</v>
      </c>
      <c r="H29" s="210">
        <v>0</v>
      </c>
      <c r="I29" s="218">
        <v>5</v>
      </c>
      <c r="J29" s="439">
        <f t="shared" si="1"/>
        <v>15</v>
      </c>
      <c r="K29" s="434" t="s">
        <v>748</v>
      </c>
      <c r="L29" s="98"/>
      <c r="M29" s="98"/>
      <c r="N29" s="98"/>
      <c r="O29" s="6" t="s">
        <v>34</v>
      </c>
      <c r="P29" s="231" t="s">
        <v>34</v>
      </c>
      <c r="Q29" s="231" t="s">
        <v>34</v>
      </c>
      <c r="R29" s="6" t="s">
        <v>34</v>
      </c>
      <c r="S29" s="231" t="s">
        <v>34</v>
      </c>
      <c r="T29" s="231" t="s">
        <v>34</v>
      </c>
      <c r="U29" s="221">
        <v>3</v>
      </c>
      <c r="V29" s="7">
        <v>4</v>
      </c>
      <c r="W29" s="232">
        <f>SUM(U29/V29)*100</f>
        <v>75</v>
      </c>
      <c r="X29" s="351"/>
      <c r="Y29" s="351"/>
      <c r="Z29" s="351"/>
      <c r="AA29" s="351"/>
      <c r="AB29" s="351"/>
      <c r="AC29" s="326"/>
      <c r="AD29" s="326"/>
      <c r="AE29" s="326"/>
      <c r="AF29" s="221">
        <v>27</v>
      </c>
      <c r="AG29" s="7">
        <v>36</v>
      </c>
      <c r="AH29" s="232">
        <f>SUM(AF29/AG29)*100</f>
        <v>75</v>
      </c>
      <c r="AI29" s="6" t="s">
        <v>34</v>
      </c>
      <c r="AJ29" s="231" t="s">
        <v>34</v>
      </c>
      <c r="AK29" s="231" t="s">
        <v>34</v>
      </c>
      <c r="AL29" s="238"/>
      <c r="AM29" s="238"/>
      <c r="AN29" s="238"/>
      <c r="AO29" s="165"/>
      <c r="AP29" s="165"/>
      <c r="AQ29" s="165"/>
      <c r="AU29" s="4"/>
    </row>
    <row r="30" spans="1:50" ht="15.75" thickBot="1" x14ac:dyDescent="0.3">
      <c r="A30" s="435" t="s">
        <v>6</v>
      </c>
      <c r="B30" s="432">
        <v>0</v>
      </c>
      <c r="C30" s="433">
        <v>0</v>
      </c>
      <c r="D30" s="477">
        <v>0</v>
      </c>
      <c r="E30" s="437">
        <f t="shared" si="0"/>
        <v>0</v>
      </c>
      <c r="F30" s="213" t="s">
        <v>6</v>
      </c>
      <c r="G30" s="97">
        <v>0</v>
      </c>
      <c r="H30" s="210">
        <v>0</v>
      </c>
      <c r="I30" s="218">
        <v>0</v>
      </c>
      <c r="J30" s="439">
        <f t="shared" si="1"/>
        <v>0</v>
      </c>
      <c r="K30" s="446" t="s">
        <v>211</v>
      </c>
      <c r="L30" s="98" t="s">
        <v>34</v>
      </c>
      <c r="M30" s="98" t="s">
        <v>34</v>
      </c>
      <c r="N30" s="357" t="s">
        <v>34</v>
      </c>
      <c r="O30" s="7" t="s">
        <v>34</v>
      </c>
      <c r="P30" s="7" t="s">
        <v>34</v>
      </c>
      <c r="Q30" s="7" t="s">
        <v>34</v>
      </c>
      <c r="R30" s="6">
        <v>1</v>
      </c>
      <c r="S30" s="231">
        <v>1</v>
      </c>
      <c r="T30" s="231">
        <v>100</v>
      </c>
      <c r="U30" s="221" t="s">
        <v>34</v>
      </c>
      <c r="V30" s="7" t="s">
        <v>34</v>
      </c>
      <c r="W30" s="7" t="s">
        <v>34</v>
      </c>
      <c r="X30" s="351"/>
      <c r="Y30" s="351"/>
      <c r="Z30" s="351"/>
      <c r="AA30" s="351"/>
      <c r="AB30" s="351"/>
      <c r="AC30" s="306"/>
      <c r="AD30" s="306"/>
      <c r="AE30" s="306"/>
      <c r="AF30" s="6" t="s">
        <v>34</v>
      </c>
      <c r="AG30" s="7" t="s">
        <v>34</v>
      </c>
      <c r="AH30" s="7" t="s">
        <v>34</v>
      </c>
      <c r="AI30" s="6" t="s">
        <v>34</v>
      </c>
      <c r="AJ30" s="7" t="s">
        <v>34</v>
      </c>
      <c r="AK30" s="7" t="s">
        <v>34</v>
      </c>
      <c r="AL30" s="238"/>
      <c r="AM30" s="238"/>
      <c r="AN30" s="238"/>
      <c r="AO30" s="165"/>
      <c r="AP30" s="165"/>
      <c r="AQ30" s="165"/>
    </row>
    <row r="31" spans="1:50" ht="15.75" thickBot="1" x14ac:dyDescent="0.3">
      <c r="A31" s="435" t="s">
        <v>100</v>
      </c>
      <c r="B31" s="432">
        <v>2</v>
      </c>
      <c r="C31" s="433">
        <v>0</v>
      </c>
      <c r="D31" s="477">
        <v>0</v>
      </c>
      <c r="E31" s="437">
        <f t="shared" si="0"/>
        <v>2</v>
      </c>
      <c r="F31" s="213" t="s">
        <v>100</v>
      </c>
      <c r="G31" s="97">
        <v>150</v>
      </c>
      <c r="H31" s="210">
        <v>0</v>
      </c>
      <c r="I31" s="218">
        <v>0</v>
      </c>
      <c r="J31" s="439">
        <f t="shared" si="1"/>
        <v>150</v>
      </c>
      <c r="K31" s="447" t="s">
        <v>100</v>
      </c>
      <c r="L31" s="119">
        <v>5</v>
      </c>
      <c r="M31" s="119">
        <v>5</v>
      </c>
      <c r="N31" s="119">
        <f>SUM(L31/M31)*100</f>
        <v>100</v>
      </c>
      <c r="O31" s="7">
        <v>6</v>
      </c>
      <c r="P31" s="7">
        <v>6</v>
      </c>
      <c r="Q31" s="230">
        <f>SUM(O31/P31)*100</f>
        <v>100</v>
      </c>
      <c r="R31" s="229" t="s">
        <v>34</v>
      </c>
      <c r="S31" s="229" t="s">
        <v>34</v>
      </c>
      <c r="T31" s="229" t="s">
        <v>34</v>
      </c>
      <c r="U31" s="221">
        <v>7</v>
      </c>
      <c r="V31" s="7">
        <v>8</v>
      </c>
      <c r="W31" s="232">
        <f>SUM(U31/V31)*100</f>
        <v>87.5</v>
      </c>
      <c r="X31" s="351"/>
      <c r="Y31" s="351"/>
      <c r="Z31" s="351"/>
      <c r="AA31" s="351"/>
      <c r="AB31" s="351"/>
      <c r="AC31" s="223"/>
      <c r="AD31" s="223"/>
      <c r="AE31" s="223"/>
      <c r="AF31" s="221" t="s">
        <v>34</v>
      </c>
      <c r="AG31" s="7" t="s">
        <v>34</v>
      </c>
      <c r="AH31" s="7" t="s">
        <v>34</v>
      </c>
      <c r="AI31" s="221" t="s">
        <v>34</v>
      </c>
      <c r="AJ31" s="7" t="s">
        <v>34</v>
      </c>
      <c r="AK31" s="7" t="s">
        <v>34</v>
      </c>
      <c r="AL31" s="238"/>
      <c r="AM31" s="238"/>
      <c r="AN31" s="238"/>
      <c r="AO31" s="165"/>
      <c r="AP31" s="165"/>
      <c r="AQ31" s="165"/>
    </row>
    <row r="32" spans="1:50" ht="15.75" thickBot="1" x14ac:dyDescent="0.3">
      <c r="A32" s="435" t="s">
        <v>211</v>
      </c>
      <c r="B32" s="432">
        <v>3</v>
      </c>
      <c r="C32" s="433">
        <v>0</v>
      </c>
      <c r="D32" s="477">
        <v>0</v>
      </c>
      <c r="E32" s="437">
        <f t="shared" si="0"/>
        <v>3</v>
      </c>
      <c r="F32" s="213" t="s">
        <v>211</v>
      </c>
      <c r="G32" s="97">
        <v>15</v>
      </c>
      <c r="H32" s="210">
        <v>0</v>
      </c>
      <c r="I32" s="218">
        <v>0</v>
      </c>
      <c r="J32" s="439">
        <f t="shared" si="1"/>
        <v>15</v>
      </c>
      <c r="K32" s="540" t="s">
        <v>1044</v>
      </c>
      <c r="L32" s="541"/>
      <c r="M32" s="541"/>
      <c r="N32" s="541"/>
      <c r="O32" s="541"/>
      <c r="P32" s="541"/>
      <c r="Q32" s="541"/>
      <c r="R32" s="541"/>
      <c r="S32" s="541"/>
      <c r="T32" s="541"/>
      <c r="U32" s="541"/>
      <c r="V32" s="541"/>
      <c r="W32" s="541"/>
      <c r="X32" s="542"/>
      <c r="Y32" s="542"/>
      <c r="Z32" s="542"/>
      <c r="AP32" s="4"/>
      <c r="AQ32" s="4"/>
      <c r="AR32" s="4"/>
    </row>
    <row r="33" spans="1:46" ht="15.75" thickBot="1" x14ac:dyDescent="0.3">
      <c r="A33" s="435" t="s">
        <v>626</v>
      </c>
      <c r="B33" s="432">
        <v>2</v>
      </c>
      <c r="C33" s="433">
        <v>0</v>
      </c>
      <c r="D33" s="477">
        <v>0</v>
      </c>
      <c r="E33" s="437">
        <f t="shared" si="0"/>
        <v>2</v>
      </c>
      <c r="F33" s="213" t="s">
        <v>626</v>
      </c>
      <c r="G33" s="97">
        <v>10</v>
      </c>
      <c r="H33" s="210">
        <v>0</v>
      </c>
      <c r="I33" s="218">
        <v>0</v>
      </c>
      <c r="J33" s="439">
        <f t="shared" si="1"/>
        <v>10</v>
      </c>
      <c r="K33" s="537" t="s">
        <v>1027</v>
      </c>
      <c r="L33" s="538"/>
      <c r="M33" s="538"/>
      <c r="N33" s="538"/>
      <c r="O33" s="538"/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</row>
    <row r="34" spans="1:46" ht="15.75" thickBot="1" x14ac:dyDescent="0.3">
      <c r="A34" s="435" t="s">
        <v>19</v>
      </c>
      <c r="B34" s="432">
        <v>1</v>
      </c>
      <c r="C34" s="433">
        <v>0</v>
      </c>
      <c r="D34" s="477">
        <v>0</v>
      </c>
      <c r="E34" s="437">
        <f t="shared" si="0"/>
        <v>1</v>
      </c>
      <c r="F34" s="213" t="s">
        <v>19</v>
      </c>
      <c r="G34" s="97">
        <v>5</v>
      </c>
      <c r="H34" s="210">
        <v>0</v>
      </c>
      <c r="I34" s="218">
        <v>0</v>
      </c>
      <c r="J34" s="439">
        <f t="shared" si="1"/>
        <v>5</v>
      </c>
      <c r="K34" s="537" t="s">
        <v>1073</v>
      </c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39"/>
      <c r="Y34" s="539"/>
      <c r="Z34" s="539"/>
      <c r="AA34" s="539"/>
      <c r="AB34" s="539"/>
      <c r="AC34" s="539"/>
      <c r="AD34" s="539"/>
      <c r="AE34" s="539"/>
      <c r="AF34" s="539"/>
      <c r="AG34" s="539"/>
      <c r="AH34" s="539"/>
      <c r="AI34" s="539"/>
      <c r="AJ34" s="539"/>
      <c r="AK34" s="539"/>
      <c r="AL34" s="539"/>
      <c r="AM34" s="539"/>
      <c r="AN34" s="539"/>
      <c r="AO34" s="539"/>
      <c r="AP34" s="539"/>
      <c r="AQ34" s="539"/>
      <c r="AR34" s="539"/>
      <c r="AS34" s="539"/>
      <c r="AT34" s="539"/>
    </row>
    <row r="35" spans="1:46" ht="15.75" thickBot="1" x14ac:dyDescent="0.3">
      <c r="A35" s="435" t="s">
        <v>833</v>
      </c>
      <c r="B35" s="432">
        <v>0</v>
      </c>
      <c r="C35" s="433">
        <v>0</v>
      </c>
      <c r="D35" s="477">
        <v>0</v>
      </c>
      <c r="E35" s="437">
        <f t="shared" si="0"/>
        <v>0</v>
      </c>
      <c r="F35" s="213" t="s">
        <v>833</v>
      </c>
      <c r="G35" s="97">
        <v>4</v>
      </c>
      <c r="H35" s="210">
        <v>0</v>
      </c>
      <c r="I35" s="218">
        <v>0</v>
      </c>
      <c r="J35" s="439">
        <f t="shared" si="1"/>
        <v>4</v>
      </c>
    </row>
    <row r="36" spans="1:46" ht="15.75" thickBot="1" x14ac:dyDescent="0.3">
      <c r="A36" s="435" t="s">
        <v>322</v>
      </c>
      <c r="B36" s="432">
        <v>3</v>
      </c>
      <c r="C36" s="433">
        <v>0</v>
      </c>
      <c r="D36" s="477">
        <v>0</v>
      </c>
      <c r="E36" s="437">
        <f t="shared" si="0"/>
        <v>3</v>
      </c>
      <c r="F36" s="213" t="s">
        <v>322</v>
      </c>
      <c r="G36" s="97">
        <v>54</v>
      </c>
      <c r="H36" s="210">
        <v>9</v>
      </c>
      <c r="I36" s="218">
        <v>21</v>
      </c>
      <c r="J36" s="439">
        <f t="shared" si="1"/>
        <v>84</v>
      </c>
    </row>
    <row r="37" spans="1:46" ht="15.75" thickBot="1" x14ac:dyDescent="0.3">
      <c r="A37" s="435" t="s">
        <v>292</v>
      </c>
      <c r="B37" s="432">
        <v>0</v>
      </c>
      <c r="C37" s="433">
        <v>0</v>
      </c>
      <c r="D37" s="477">
        <v>0</v>
      </c>
      <c r="E37" s="437">
        <f t="shared" si="0"/>
        <v>0</v>
      </c>
      <c r="F37" s="213" t="s">
        <v>292</v>
      </c>
      <c r="G37" s="97">
        <v>0</v>
      </c>
      <c r="H37" s="210">
        <v>0</v>
      </c>
      <c r="I37" s="218">
        <v>0</v>
      </c>
      <c r="J37" s="439">
        <f t="shared" si="1"/>
        <v>0</v>
      </c>
      <c r="AJ37" s="4"/>
      <c r="AK37" s="4"/>
      <c r="AL37" s="4"/>
      <c r="AM37" s="4"/>
      <c r="AN37" s="4"/>
    </row>
    <row r="38" spans="1:46" ht="15.75" thickBot="1" x14ac:dyDescent="0.3">
      <c r="A38" s="435" t="s">
        <v>26</v>
      </c>
      <c r="B38" s="432">
        <v>2</v>
      </c>
      <c r="C38" s="433">
        <v>0</v>
      </c>
      <c r="D38" s="477">
        <v>0</v>
      </c>
      <c r="E38" s="437">
        <f t="shared" si="0"/>
        <v>2</v>
      </c>
      <c r="F38" s="213" t="s">
        <v>26</v>
      </c>
      <c r="G38" s="97">
        <v>10</v>
      </c>
      <c r="H38" s="210">
        <v>0</v>
      </c>
      <c r="I38" s="218">
        <v>0</v>
      </c>
      <c r="J38" s="439">
        <f t="shared" si="1"/>
        <v>10</v>
      </c>
    </row>
    <row r="39" spans="1:46" ht="15.75" thickBot="1" x14ac:dyDescent="0.3">
      <c r="A39" s="435" t="s">
        <v>187</v>
      </c>
      <c r="B39" s="432">
        <v>0</v>
      </c>
      <c r="C39" s="433">
        <v>1</v>
      </c>
      <c r="D39" s="477">
        <v>3</v>
      </c>
      <c r="E39" s="437">
        <f t="shared" si="0"/>
        <v>4</v>
      </c>
      <c r="F39" s="213" t="s">
        <v>187</v>
      </c>
      <c r="G39" s="97">
        <v>0</v>
      </c>
      <c r="H39" s="210">
        <v>5</v>
      </c>
      <c r="I39" s="218">
        <v>15</v>
      </c>
      <c r="J39" s="439">
        <f t="shared" si="1"/>
        <v>20</v>
      </c>
      <c r="AO39" s="4"/>
    </row>
    <row r="40" spans="1:46" ht="15.75" thickBot="1" x14ac:dyDescent="0.3">
      <c r="A40" s="435" t="s">
        <v>45</v>
      </c>
      <c r="B40" s="432">
        <v>1</v>
      </c>
      <c r="C40" s="433">
        <v>0</v>
      </c>
      <c r="D40" s="477">
        <v>0</v>
      </c>
      <c r="E40" s="437">
        <f t="shared" si="0"/>
        <v>1</v>
      </c>
      <c r="F40" s="213" t="s">
        <v>45</v>
      </c>
      <c r="G40" s="97">
        <v>5</v>
      </c>
      <c r="H40" s="210">
        <v>0</v>
      </c>
      <c r="I40" s="218">
        <v>0</v>
      </c>
      <c r="J40" s="439">
        <f t="shared" si="1"/>
        <v>5</v>
      </c>
    </row>
    <row r="41" spans="1:46" ht="15" customHeight="1" thickBot="1" x14ac:dyDescent="0.3">
      <c r="A41" s="435" t="s">
        <v>181</v>
      </c>
      <c r="B41" s="432">
        <v>3</v>
      </c>
      <c r="C41" s="433">
        <v>0</v>
      </c>
      <c r="D41" s="477">
        <v>0</v>
      </c>
      <c r="E41" s="437">
        <f t="shared" si="0"/>
        <v>3</v>
      </c>
      <c r="F41" s="213" t="s">
        <v>181</v>
      </c>
      <c r="G41" s="97">
        <v>15</v>
      </c>
      <c r="H41" s="210">
        <v>0</v>
      </c>
      <c r="I41" s="218">
        <v>0</v>
      </c>
      <c r="J41" s="439">
        <f t="shared" si="1"/>
        <v>15</v>
      </c>
    </row>
    <row r="42" spans="1:46" ht="15" customHeight="1" thickBot="1" x14ac:dyDescent="0.3">
      <c r="A42" s="435" t="s">
        <v>214</v>
      </c>
      <c r="B42" s="432">
        <v>0</v>
      </c>
      <c r="C42" s="433">
        <v>0</v>
      </c>
      <c r="D42" s="477">
        <v>0</v>
      </c>
      <c r="E42" s="437">
        <f t="shared" si="0"/>
        <v>0</v>
      </c>
      <c r="F42" s="213" t="s">
        <v>214</v>
      </c>
      <c r="G42" s="97">
        <v>0</v>
      </c>
      <c r="H42" s="210">
        <v>0</v>
      </c>
      <c r="I42" s="218">
        <v>0</v>
      </c>
      <c r="J42" s="439">
        <f t="shared" si="1"/>
        <v>0</v>
      </c>
    </row>
    <row r="43" spans="1:46" ht="15" customHeight="1" thickBot="1" x14ac:dyDescent="0.3">
      <c r="A43" s="435" t="s">
        <v>48</v>
      </c>
      <c r="B43" s="432">
        <v>2</v>
      </c>
      <c r="C43" s="433">
        <v>0</v>
      </c>
      <c r="D43" s="477">
        <v>0</v>
      </c>
      <c r="E43" s="437">
        <f t="shared" si="0"/>
        <v>2</v>
      </c>
      <c r="F43" s="213" t="s">
        <v>48</v>
      </c>
      <c r="G43" s="97">
        <v>10</v>
      </c>
      <c r="H43" s="210">
        <v>0</v>
      </c>
      <c r="I43" s="218">
        <v>0</v>
      </c>
      <c r="J43" s="439">
        <f t="shared" si="1"/>
        <v>10</v>
      </c>
    </row>
    <row r="44" spans="1:46" ht="15" customHeight="1" thickBot="1" x14ac:dyDescent="0.3">
      <c r="A44" s="435" t="s">
        <v>58</v>
      </c>
      <c r="B44" s="432">
        <v>3</v>
      </c>
      <c r="C44" s="433">
        <v>0</v>
      </c>
      <c r="D44" s="477">
        <v>1</v>
      </c>
      <c r="E44" s="437">
        <f t="shared" si="0"/>
        <v>4</v>
      </c>
      <c r="F44" s="213" t="s">
        <v>58</v>
      </c>
      <c r="G44" s="97">
        <v>15</v>
      </c>
      <c r="H44" s="210">
        <v>0</v>
      </c>
      <c r="I44" s="218">
        <v>5</v>
      </c>
      <c r="J44" s="439">
        <f t="shared" si="1"/>
        <v>20</v>
      </c>
    </row>
    <row r="45" spans="1:46" ht="15.75" thickBot="1" x14ac:dyDescent="0.3">
      <c r="A45" s="435" t="s">
        <v>7</v>
      </c>
      <c r="B45" s="432">
        <v>0</v>
      </c>
      <c r="C45" s="433">
        <v>0</v>
      </c>
      <c r="D45" s="477">
        <v>0</v>
      </c>
      <c r="E45" s="437">
        <f t="shared" si="0"/>
        <v>0</v>
      </c>
      <c r="F45" s="209" t="s">
        <v>7</v>
      </c>
      <c r="G45" s="97">
        <v>0</v>
      </c>
      <c r="H45" s="210">
        <v>0</v>
      </c>
      <c r="I45" s="218">
        <v>0</v>
      </c>
      <c r="J45" s="439">
        <f t="shared" si="1"/>
        <v>0</v>
      </c>
    </row>
    <row r="46" spans="1:46" ht="15.75" thickBot="1" x14ac:dyDescent="0.3">
      <c r="A46" s="435" t="s">
        <v>328</v>
      </c>
      <c r="B46" s="432">
        <v>1</v>
      </c>
      <c r="C46" s="433">
        <v>0</v>
      </c>
      <c r="D46" s="477">
        <v>0</v>
      </c>
      <c r="E46" s="437">
        <f t="shared" si="0"/>
        <v>1</v>
      </c>
      <c r="F46" s="209" t="s">
        <v>328</v>
      </c>
      <c r="G46" s="97">
        <v>5</v>
      </c>
      <c r="H46" s="210">
        <v>0</v>
      </c>
      <c r="I46" s="218">
        <v>0</v>
      </c>
      <c r="J46" s="439">
        <f t="shared" si="1"/>
        <v>5</v>
      </c>
    </row>
    <row r="47" spans="1:46" ht="15.75" thickBot="1" x14ac:dyDescent="0.3">
      <c r="A47" s="435" t="s">
        <v>3</v>
      </c>
      <c r="B47" s="432">
        <f>SUM(B3:B46)</f>
        <v>60</v>
      </c>
      <c r="C47" s="433">
        <f>SUM(C3:C46)</f>
        <v>2</v>
      </c>
      <c r="D47" s="477">
        <f>SUM(D3:D46)</f>
        <v>10</v>
      </c>
      <c r="E47" s="437">
        <f>SUM(B47:D47)</f>
        <v>72</v>
      </c>
      <c r="F47" s="209" t="s">
        <v>3</v>
      </c>
      <c r="G47" s="97">
        <f>SUM(G3:G46)</f>
        <v>494</v>
      </c>
      <c r="H47" s="210">
        <f>SUM(H3:H46)</f>
        <v>19</v>
      </c>
      <c r="I47" s="218">
        <f>SUM(I3:I46)</f>
        <v>71</v>
      </c>
      <c r="J47" s="439">
        <f>SUM(G47:I47)</f>
        <v>584</v>
      </c>
    </row>
    <row r="48" spans="1:46" x14ac:dyDescent="0.25">
      <c r="B48" s="182"/>
      <c r="C48" s="116"/>
      <c r="D48" s="116"/>
      <c r="E48" s="82"/>
      <c r="F48" s="41"/>
      <c r="G48" s="185"/>
      <c r="H48" s="117"/>
      <c r="I48" s="476"/>
    </row>
    <row r="49" spans="1:40" ht="15.75" thickBot="1" x14ac:dyDescent="0.3">
      <c r="A49" t="s">
        <v>30</v>
      </c>
      <c r="B49" s="182"/>
      <c r="C49" s="116"/>
      <c r="D49" s="116"/>
      <c r="E49" s="82"/>
      <c r="F49" s="39"/>
      <c r="G49" s="184"/>
      <c r="H49" s="118"/>
      <c r="I49" s="118"/>
      <c r="J49" s="39"/>
    </row>
    <row r="50" spans="1:40" ht="15.75" thickBot="1" x14ac:dyDescent="0.3">
      <c r="A50" s="434" t="s">
        <v>0</v>
      </c>
      <c r="B50" s="430" t="s">
        <v>815</v>
      </c>
      <c r="C50" s="431" t="s">
        <v>72</v>
      </c>
      <c r="D50" s="478" t="s">
        <v>73</v>
      </c>
      <c r="E50" s="436" t="s">
        <v>1</v>
      </c>
      <c r="F50" s="211" t="s">
        <v>2</v>
      </c>
      <c r="G50" s="147" t="s">
        <v>815</v>
      </c>
      <c r="H50" s="212" t="s">
        <v>72</v>
      </c>
      <c r="I50" s="217" t="s">
        <v>73</v>
      </c>
      <c r="J50" s="438" t="s">
        <v>1</v>
      </c>
      <c r="AJ50" s="4"/>
      <c r="AK50" s="4"/>
      <c r="AL50" s="4"/>
      <c r="AM50" s="4"/>
      <c r="AN50" s="4"/>
    </row>
    <row r="51" spans="1:40" ht="15.75" thickBot="1" x14ac:dyDescent="0.3">
      <c r="A51" s="435" t="s">
        <v>74</v>
      </c>
      <c r="B51" s="432">
        <v>6</v>
      </c>
      <c r="C51" s="433">
        <v>0</v>
      </c>
      <c r="D51" s="477">
        <v>1</v>
      </c>
      <c r="E51" s="437">
        <f t="shared" ref="E51:E95" si="3">SUM(B51:D51)</f>
        <v>7</v>
      </c>
      <c r="F51" s="209" t="s">
        <v>100</v>
      </c>
      <c r="G51" s="97">
        <v>150</v>
      </c>
      <c r="H51" s="210">
        <v>0</v>
      </c>
      <c r="I51" s="218">
        <v>0</v>
      </c>
      <c r="J51" s="439">
        <f t="shared" ref="J51:J95" si="4">SUM(G51:I51)</f>
        <v>150</v>
      </c>
    </row>
    <row r="52" spans="1:40" ht="15.75" thickBot="1" x14ac:dyDescent="0.3">
      <c r="A52" s="435" t="s">
        <v>831</v>
      </c>
      <c r="B52" s="432">
        <v>7</v>
      </c>
      <c r="C52" s="433">
        <v>0</v>
      </c>
      <c r="D52" s="477">
        <v>0</v>
      </c>
      <c r="E52" s="437">
        <f t="shared" si="3"/>
        <v>7</v>
      </c>
      <c r="F52" s="209" t="s">
        <v>322</v>
      </c>
      <c r="G52" s="97">
        <v>54</v>
      </c>
      <c r="H52" s="210">
        <v>9</v>
      </c>
      <c r="I52" s="218">
        <v>21</v>
      </c>
      <c r="J52" s="439">
        <f t="shared" si="4"/>
        <v>84</v>
      </c>
    </row>
    <row r="53" spans="1:40" ht="15.75" thickBot="1" x14ac:dyDescent="0.3">
      <c r="A53" s="435" t="s">
        <v>514</v>
      </c>
      <c r="B53" s="432">
        <v>5</v>
      </c>
      <c r="C53" s="433">
        <v>0</v>
      </c>
      <c r="D53" s="477">
        <v>1</v>
      </c>
      <c r="E53" s="437">
        <f t="shared" si="3"/>
        <v>6</v>
      </c>
      <c r="F53" s="213" t="s">
        <v>74</v>
      </c>
      <c r="G53" s="97">
        <v>30</v>
      </c>
      <c r="H53" s="210">
        <v>0</v>
      </c>
      <c r="I53" s="218">
        <v>5</v>
      </c>
      <c r="J53" s="439">
        <f t="shared" si="4"/>
        <v>35</v>
      </c>
    </row>
    <row r="54" spans="1:40" ht="15.75" thickBot="1" x14ac:dyDescent="0.3">
      <c r="A54" s="435" t="s">
        <v>723</v>
      </c>
      <c r="B54" s="432">
        <v>4</v>
      </c>
      <c r="C54" s="433">
        <v>0</v>
      </c>
      <c r="D54" s="477">
        <v>1</v>
      </c>
      <c r="E54" s="437">
        <f t="shared" si="3"/>
        <v>5</v>
      </c>
      <c r="F54" s="213" t="s">
        <v>831</v>
      </c>
      <c r="G54" s="97">
        <v>35</v>
      </c>
      <c r="H54" s="210">
        <v>0</v>
      </c>
      <c r="I54" s="218">
        <v>0</v>
      </c>
      <c r="J54" s="439">
        <f t="shared" si="4"/>
        <v>35</v>
      </c>
    </row>
    <row r="55" spans="1:40" ht="15.75" thickBot="1" x14ac:dyDescent="0.3">
      <c r="A55" s="435" t="s">
        <v>212</v>
      </c>
      <c r="B55" s="432">
        <v>4</v>
      </c>
      <c r="C55" s="433">
        <v>0</v>
      </c>
      <c r="D55" s="477">
        <v>0</v>
      </c>
      <c r="E55" s="437">
        <f t="shared" si="3"/>
        <v>4</v>
      </c>
      <c r="F55" s="213" t="s">
        <v>514</v>
      </c>
      <c r="G55" s="97">
        <v>25</v>
      </c>
      <c r="H55" s="210">
        <v>0</v>
      </c>
      <c r="I55" s="218">
        <v>5</v>
      </c>
      <c r="J55" s="439">
        <f t="shared" si="4"/>
        <v>30</v>
      </c>
    </row>
    <row r="56" spans="1:40" ht="15.75" thickBot="1" x14ac:dyDescent="0.3">
      <c r="A56" s="435" t="s">
        <v>187</v>
      </c>
      <c r="B56" s="432">
        <v>0</v>
      </c>
      <c r="C56" s="433">
        <v>1</v>
      </c>
      <c r="D56" s="477">
        <v>3</v>
      </c>
      <c r="E56" s="437">
        <f t="shared" si="3"/>
        <v>4</v>
      </c>
      <c r="F56" s="213" t="s">
        <v>723</v>
      </c>
      <c r="G56" s="97">
        <v>20</v>
      </c>
      <c r="H56" s="210">
        <v>0</v>
      </c>
      <c r="I56" s="218">
        <v>5</v>
      </c>
      <c r="J56" s="439">
        <f t="shared" si="4"/>
        <v>25</v>
      </c>
    </row>
    <row r="57" spans="1:40" ht="15.75" thickBot="1" x14ac:dyDescent="0.3">
      <c r="A57" s="435" t="s">
        <v>58</v>
      </c>
      <c r="B57" s="432">
        <v>3</v>
      </c>
      <c r="C57" s="433">
        <v>0</v>
      </c>
      <c r="D57" s="477">
        <v>1</v>
      </c>
      <c r="E57" s="437">
        <f t="shared" si="3"/>
        <v>4</v>
      </c>
      <c r="F57" s="213" t="s">
        <v>212</v>
      </c>
      <c r="G57" s="97">
        <v>20</v>
      </c>
      <c r="H57" s="210">
        <v>0</v>
      </c>
      <c r="I57" s="218">
        <v>0</v>
      </c>
      <c r="J57" s="439">
        <f t="shared" si="4"/>
        <v>20</v>
      </c>
    </row>
    <row r="58" spans="1:40" ht="15.75" thickBot="1" x14ac:dyDescent="0.3">
      <c r="A58" s="435" t="s">
        <v>180</v>
      </c>
      <c r="B58" s="432">
        <v>2</v>
      </c>
      <c r="C58" s="433">
        <v>0</v>
      </c>
      <c r="D58" s="477">
        <v>1</v>
      </c>
      <c r="E58" s="437">
        <f t="shared" si="3"/>
        <v>3</v>
      </c>
      <c r="F58" s="213" t="s">
        <v>187</v>
      </c>
      <c r="G58" s="97">
        <v>0</v>
      </c>
      <c r="H58" s="210">
        <v>5</v>
      </c>
      <c r="I58" s="218">
        <v>15</v>
      </c>
      <c r="J58" s="439">
        <f t="shared" si="4"/>
        <v>20</v>
      </c>
    </row>
    <row r="59" spans="1:40" ht="15.75" thickBot="1" x14ac:dyDescent="0.3">
      <c r="A59" s="435" t="s">
        <v>211</v>
      </c>
      <c r="B59" s="432">
        <v>3</v>
      </c>
      <c r="C59" s="433">
        <v>0</v>
      </c>
      <c r="D59" s="477">
        <v>0</v>
      </c>
      <c r="E59" s="437">
        <f t="shared" si="3"/>
        <v>3</v>
      </c>
      <c r="F59" s="213" t="s">
        <v>58</v>
      </c>
      <c r="G59" s="97">
        <v>15</v>
      </c>
      <c r="H59" s="210">
        <v>0</v>
      </c>
      <c r="I59" s="218">
        <v>5</v>
      </c>
      <c r="J59" s="439">
        <f t="shared" si="4"/>
        <v>20</v>
      </c>
    </row>
    <row r="60" spans="1:40" ht="15.75" thickBot="1" x14ac:dyDescent="0.3">
      <c r="A60" s="435" t="s">
        <v>322</v>
      </c>
      <c r="B60" s="432">
        <v>3</v>
      </c>
      <c r="C60" s="433">
        <v>0</v>
      </c>
      <c r="D60" s="477">
        <v>0</v>
      </c>
      <c r="E60" s="437">
        <f t="shared" si="3"/>
        <v>3</v>
      </c>
      <c r="F60" s="213" t="s">
        <v>180</v>
      </c>
      <c r="G60" s="97">
        <v>10</v>
      </c>
      <c r="H60" s="210">
        <v>0</v>
      </c>
      <c r="I60" s="218">
        <v>5</v>
      </c>
      <c r="J60" s="439">
        <f t="shared" si="4"/>
        <v>15</v>
      </c>
    </row>
    <row r="61" spans="1:40" ht="15.75" thickBot="1" x14ac:dyDescent="0.3">
      <c r="A61" s="435" t="s">
        <v>181</v>
      </c>
      <c r="B61" s="432">
        <v>3</v>
      </c>
      <c r="C61" s="433">
        <v>0</v>
      </c>
      <c r="D61" s="477">
        <v>0</v>
      </c>
      <c r="E61" s="437">
        <f t="shared" si="3"/>
        <v>3</v>
      </c>
      <c r="F61" s="213" t="s">
        <v>211</v>
      </c>
      <c r="G61" s="97">
        <v>15</v>
      </c>
      <c r="H61" s="210">
        <v>0</v>
      </c>
      <c r="I61" s="218">
        <v>0</v>
      </c>
      <c r="J61" s="439">
        <f t="shared" si="4"/>
        <v>15</v>
      </c>
    </row>
    <row r="62" spans="1:40" ht="15.75" thickBot="1" x14ac:dyDescent="0.3">
      <c r="A62" s="435" t="s">
        <v>177</v>
      </c>
      <c r="B62" s="432">
        <v>1</v>
      </c>
      <c r="C62" s="433">
        <v>0</v>
      </c>
      <c r="D62" s="477">
        <v>1</v>
      </c>
      <c r="E62" s="437">
        <f t="shared" si="3"/>
        <v>2</v>
      </c>
      <c r="F62" s="213" t="s">
        <v>181</v>
      </c>
      <c r="G62" s="97">
        <v>15</v>
      </c>
      <c r="H62" s="210">
        <v>0</v>
      </c>
      <c r="I62" s="218">
        <v>0</v>
      </c>
      <c r="J62" s="439">
        <f t="shared" si="4"/>
        <v>15</v>
      </c>
    </row>
    <row r="63" spans="1:40" ht="15.75" thickBot="1" x14ac:dyDescent="0.3">
      <c r="A63" s="435" t="s">
        <v>746</v>
      </c>
      <c r="B63" s="432">
        <v>2</v>
      </c>
      <c r="C63" s="433">
        <v>0</v>
      </c>
      <c r="D63" s="477">
        <v>0</v>
      </c>
      <c r="E63" s="437">
        <f t="shared" si="3"/>
        <v>2</v>
      </c>
      <c r="F63" s="213" t="s">
        <v>1071</v>
      </c>
      <c r="G63" s="97">
        <v>11</v>
      </c>
      <c r="H63" s="210">
        <v>0</v>
      </c>
      <c r="I63" s="218">
        <v>0</v>
      </c>
      <c r="J63" s="439">
        <f t="shared" si="4"/>
        <v>11</v>
      </c>
    </row>
    <row r="64" spans="1:40" ht="15.75" thickBot="1" x14ac:dyDescent="0.3">
      <c r="A64" s="435" t="s">
        <v>1085</v>
      </c>
      <c r="B64" s="432">
        <v>1</v>
      </c>
      <c r="C64" s="433">
        <v>0</v>
      </c>
      <c r="D64" s="477">
        <v>1</v>
      </c>
      <c r="E64" s="437">
        <f t="shared" si="3"/>
        <v>2</v>
      </c>
      <c r="F64" s="213" t="s">
        <v>177</v>
      </c>
      <c r="G64" s="97">
        <v>5</v>
      </c>
      <c r="H64" s="210">
        <v>0</v>
      </c>
      <c r="I64" s="218">
        <v>5</v>
      </c>
      <c r="J64" s="439">
        <f t="shared" si="4"/>
        <v>10</v>
      </c>
    </row>
    <row r="65" spans="1:10" ht="15.75" thickBot="1" x14ac:dyDescent="0.3">
      <c r="A65" s="435" t="s">
        <v>163</v>
      </c>
      <c r="B65" s="432">
        <v>2</v>
      </c>
      <c r="C65" s="433">
        <v>0</v>
      </c>
      <c r="D65" s="477">
        <v>0</v>
      </c>
      <c r="E65" s="437">
        <f t="shared" si="3"/>
        <v>2</v>
      </c>
      <c r="F65" s="213" t="s">
        <v>746</v>
      </c>
      <c r="G65" s="97">
        <v>10</v>
      </c>
      <c r="H65" s="210">
        <v>0</v>
      </c>
      <c r="I65" s="218">
        <v>0</v>
      </c>
      <c r="J65" s="439">
        <f t="shared" si="4"/>
        <v>10</v>
      </c>
    </row>
    <row r="66" spans="1:10" ht="15.75" thickBot="1" x14ac:dyDescent="0.3">
      <c r="A66" s="435" t="s">
        <v>257</v>
      </c>
      <c r="B66" s="432">
        <v>1</v>
      </c>
      <c r="C66" s="433">
        <v>1</v>
      </c>
      <c r="D66" s="477">
        <v>0</v>
      </c>
      <c r="E66" s="437">
        <f t="shared" si="3"/>
        <v>2</v>
      </c>
      <c r="F66" s="209" t="s">
        <v>1085</v>
      </c>
      <c r="G66" s="97">
        <v>5</v>
      </c>
      <c r="H66" s="210">
        <v>0</v>
      </c>
      <c r="I66" s="218">
        <v>5</v>
      </c>
      <c r="J66" s="439">
        <f t="shared" si="4"/>
        <v>10</v>
      </c>
    </row>
    <row r="67" spans="1:10" ht="15.75" thickBot="1" x14ac:dyDescent="0.3">
      <c r="A67" s="435" t="s">
        <v>100</v>
      </c>
      <c r="B67" s="432">
        <v>2</v>
      </c>
      <c r="C67" s="433">
        <v>0</v>
      </c>
      <c r="D67" s="477">
        <v>0</v>
      </c>
      <c r="E67" s="437">
        <f t="shared" si="3"/>
        <v>2</v>
      </c>
      <c r="F67" s="209" t="s">
        <v>163</v>
      </c>
      <c r="G67" s="97">
        <v>10</v>
      </c>
      <c r="H67" s="210">
        <v>0</v>
      </c>
      <c r="I67" s="218">
        <v>0</v>
      </c>
      <c r="J67" s="439">
        <f t="shared" si="4"/>
        <v>10</v>
      </c>
    </row>
    <row r="68" spans="1:10" ht="15.75" thickBot="1" x14ac:dyDescent="0.3">
      <c r="A68" s="435" t="s">
        <v>626</v>
      </c>
      <c r="B68" s="432">
        <v>2</v>
      </c>
      <c r="C68" s="433">
        <v>0</v>
      </c>
      <c r="D68" s="477">
        <v>0</v>
      </c>
      <c r="E68" s="437">
        <f t="shared" si="3"/>
        <v>2</v>
      </c>
      <c r="F68" s="213" t="s">
        <v>257</v>
      </c>
      <c r="G68" s="97">
        <v>5</v>
      </c>
      <c r="H68" s="210">
        <v>5</v>
      </c>
      <c r="I68" s="218">
        <v>0</v>
      </c>
      <c r="J68" s="439">
        <f t="shared" si="4"/>
        <v>10</v>
      </c>
    </row>
    <row r="69" spans="1:10" ht="15.75" thickBot="1" x14ac:dyDescent="0.3">
      <c r="A69" s="435" t="s">
        <v>26</v>
      </c>
      <c r="B69" s="432">
        <v>2</v>
      </c>
      <c r="C69" s="433">
        <v>0</v>
      </c>
      <c r="D69" s="477">
        <v>0</v>
      </c>
      <c r="E69" s="437">
        <f t="shared" si="3"/>
        <v>2</v>
      </c>
      <c r="F69" s="213" t="s">
        <v>626</v>
      </c>
      <c r="G69" s="97">
        <v>10</v>
      </c>
      <c r="H69" s="210">
        <v>0</v>
      </c>
      <c r="I69" s="218">
        <v>0</v>
      </c>
      <c r="J69" s="439">
        <f t="shared" si="4"/>
        <v>10</v>
      </c>
    </row>
    <row r="70" spans="1:10" ht="15.75" thickBot="1" x14ac:dyDescent="0.3">
      <c r="A70" s="435" t="s">
        <v>48</v>
      </c>
      <c r="B70" s="432">
        <v>2</v>
      </c>
      <c r="C70" s="433">
        <v>0</v>
      </c>
      <c r="D70" s="477">
        <v>0</v>
      </c>
      <c r="E70" s="437">
        <f t="shared" si="3"/>
        <v>2</v>
      </c>
      <c r="F70" s="213" t="s">
        <v>26</v>
      </c>
      <c r="G70" s="97">
        <v>10</v>
      </c>
      <c r="H70" s="210">
        <v>0</v>
      </c>
      <c r="I70" s="218">
        <v>0</v>
      </c>
      <c r="J70" s="439">
        <f t="shared" si="4"/>
        <v>10</v>
      </c>
    </row>
    <row r="71" spans="1:10" ht="15.75" thickBot="1" x14ac:dyDescent="0.3">
      <c r="A71" s="435" t="s">
        <v>65</v>
      </c>
      <c r="B71" s="432">
        <v>1</v>
      </c>
      <c r="C71" s="433">
        <v>0</v>
      </c>
      <c r="D71" s="477">
        <v>0</v>
      </c>
      <c r="E71" s="437">
        <f t="shared" si="3"/>
        <v>1</v>
      </c>
      <c r="F71" s="209" t="s">
        <v>48</v>
      </c>
      <c r="G71" s="97">
        <v>10</v>
      </c>
      <c r="H71" s="210">
        <v>0</v>
      </c>
      <c r="I71" s="218">
        <v>0</v>
      </c>
      <c r="J71" s="439">
        <f t="shared" si="4"/>
        <v>10</v>
      </c>
    </row>
    <row r="72" spans="1:10" ht="15.75" thickBot="1" x14ac:dyDescent="0.3">
      <c r="A72" s="435" t="s">
        <v>752</v>
      </c>
      <c r="B72" s="432">
        <v>1</v>
      </c>
      <c r="C72" s="433">
        <v>0</v>
      </c>
      <c r="D72" s="477">
        <v>0</v>
      </c>
      <c r="E72" s="437">
        <f t="shared" si="3"/>
        <v>1</v>
      </c>
      <c r="F72" s="209" t="s">
        <v>65</v>
      </c>
      <c r="G72" s="97">
        <v>5</v>
      </c>
      <c r="H72" s="210">
        <v>0</v>
      </c>
      <c r="I72" s="218">
        <v>0</v>
      </c>
      <c r="J72" s="439">
        <f t="shared" si="4"/>
        <v>5</v>
      </c>
    </row>
    <row r="73" spans="1:10" ht="15.75" thickBot="1" x14ac:dyDescent="0.3">
      <c r="A73" s="435" t="s">
        <v>19</v>
      </c>
      <c r="B73" s="432">
        <v>1</v>
      </c>
      <c r="C73" s="433">
        <v>0</v>
      </c>
      <c r="D73" s="477">
        <v>0</v>
      </c>
      <c r="E73" s="437">
        <f t="shared" si="3"/>
        <v>1</v>
      </c>
      <c r="F73" s="213" t="s">
        <v>752</v>
      </c>
      <c r="G73" s="97">
        <v>5</v>
      </c>
      <c r="H73" s="210">
        <v>0</v>
      </c>
      <c r="I73" s="218">
        <v>0</v>
      </c>
      <c r="J73" s="439">
        <f t="shared" si="4"/>
        <v>5</v>
      </c>
    </row>
    <row r="74" spans="1:10" ht="15.75" thickBot="1" x14ac:dyDescent="0.3">
      <c r="A74" s="435" t="s">
        <v>45</v>
      </c>
      <c r="B74" s="432">
        <v>1</v>
      </c>
      <c r="C74" s="433">
        <v>0</v>
      </c>
      <c r="D74" s="477">
        <v>0</v>
      </c>
      <c r="E74" s="437">
        <f t="shared" si="3"/>
        <v>1</v>
      </c>
      <c r="F74" s="213" t="s">
        <v>19</v>
      </c>
      <c r="G74" s="97">
        <v>5</v>
      </c>
      <c r="H74" s="210">
        <v>0</v>
      </c>
      <c r="I74" s="218">
        <v>0</v>
      </c>
      <c r="J74" s="439">
        <f t="shared" si="4"/>
        <v>5</v>
      </c>
    </row>
    <row r="75" spans="1:10" ht="15.75" thickBot="1" x14ac:dyDescent="0.3">
      <c r="A75" s="435" t="s">
        <v>328</v>
      </c>
      <c r="B75" s="432">
        <v>1</v>
      </c>
      <c r="C75" s="433">
        <v>0</v>
      </c>
      <c r="D75" s="477">
        <v>0</v>
      </c>
      <c r="E75" s="437">
        <f t="shared" si="3"/>
        <v>1</v>
      </c>
      <c r="F75" s="213" t="s">
        <v>45</v>
      </c>
      <c r="G75" s="97">
        <v>5</v>
      </c>
      <c r="H75" s="210">
        <v>0</v>
      </c>
      <c r="I75" s="218">
        <v>0</v>
      </c>
      <c r="J75" s="439">
        <f t="shared" si="4"/>
        <v>5</v>
      </c>
    </row>
    <row r="76" spans="1:10" ht="15.75" thickBot="1" x14ac:dyDescent="0.3">
      <c r="A76" s="435" t="s">
        <v>103</v>
      </c>
      <c r="B76" s="432">
        <v>0</v>
      </c>
      <c r="C76" s="433">
        <v>0</v>
      </c>
      <c r="D76" s="477">
        <v>0</v>
      </c>
      <c r="E76" s="437">
        <f t="shared" si="3"/>
        <v>0</v>
      </c>
      <c r="F76" s="213" t="s">
        <v>328</v>
      </c>
      <c r="G76" s="97">
        <v>5</v>
      </c>
      <c r="H76" s="210">
        <v>0</v>
      </c>
      <c r="I76" s="218">
        <v>0</v>
      </c>
      <c r="J76" s="439">
        <f t="shared" si="4"/>
        <v>5</v>
      </c>
    </row>
    <row r="77" spans="1:10" ht="15.75" thickBot="1" x14ac:dyDescent="0.3">
      <c r="A77" s="435" t="s">
        <v>1071</v>
      </c>
      <c r="B77" s="432">
        <v>0</v>
      </c>
      <c r="C77" s="433">
        <v>0</v>
      </c>
      <c r="D77" s="477">
        <v>0</v>
      </c>
      <c r="E77" s="437">
        <f t="shared" si="3"/>
        <v>0</v>
      </c>
      <c r="F77" s="213" t="s">
        <v>833</v>
      </c>
      <c r="G77" s="97">
        <v>4</v>
      </c>
      <c r="H77" s="210">
        <v>0</v>
      </c>
      <c r="I77" s="218">
        <v>0</v>
      </c>
      <c r="J77" s="439">
        <f t="shared" si="4"/>
        <v>4</v>
      </c>
    </row>
    <row r="78" spans="1:10" ht="15.75" thickBot="1" x14ac:dyDescent="0.3">
      <c r="A78" s="435" t="s">
        <v>69</v>
      </c>
      <c r="B78" s="432">
        <v>0</v>
      </c>
      <c r="C78" s="433">
        <v>0</v>
      </c>
      <c r="D78" s="477">
        <v>0</v>
      </c>
      <c r="E78" s="437">
        <f t="shared" si="3"/>
        <v>0</v>
      </c>
      <c r="F78" s="213" t="s">
        <v>103</v>
      </c>
      <c r="G78" s="97">
        <v>0</v>
      </c>
      <c r="H78" s="210">
        <v>0</v>
      </c>
      <c r="I78" s="218">
        <v>0</v>
      </c>
      <c r="J78" s="439">
        <f t="shared" si="4"/>
        <v>0</v>
      </c>
    </row>
    <row r="79" spans="1:10" ht="15.75" thickBot="1" x14ac:dyDescent="0.3">
      <c r="A79" s="435" t="s">
        <v>745</v>
      </c>
      <c r="B79" s="432">
        <v>0</v>
      </c>
      <c r="C79" s="433">
        <v>0</v>
      </c>
      <c r="D79" s="477">
        <v>0</v>
      </c>
      <c r="E79" s="437">
        <f t="shared" si="3"/>
        <v>0</v>
      </c>
      <c r="F79" s="213" t="s">
        <v>69</v>
      </c>
      <c r="G79" s="97">
        <v>0</v>
      </c>
      <c r="H79" s="210">
        <v>0</v>
      </c>
      <c r="I79" s="218">
        <v>0</v>
      </c>
      <c r="J79" s="439">
        <f t="shared" si="4"/>
        <v>0</v>
      </c>
    </row>
    <row r="80" spans="1:10" ht="15.75" thickBot="1" x14ac:dyDescent="0.3">
      <c r="A80" s="435" t="s">
        <v>79</v>
      </c>
      <c r="B80" s="432">
        <v>0</v>
      </c>
      <c r="C80" s="433">
        <v>0</v>
      </c>
      <c r="D80" s="477">
        <v>0</v>
      </c>
      <c r="E80" s="437">
        <f t="shared" si="3"/>
        <v>0</v>
      </c>
      <c r="F80" s="213" t="s">
        <v>745</v>
      </c>
      <c r="G80" s="97">
        <v>0</v>
      </c>
      <c r="H80" s="210">
        <v>0</v>
      </c>
      <c r="I80" s="218">
        <v>0</v>
      </c>
      <c r="J80" s="439">
        <f t="shared" si="4"/>
        <v>0</v>
      </c>
    </row>
    <row r="81" spans="1:10" ht="15.75" thickBot="1" x14ac:dyDescent="0.3">
      <c r="A81" s="435" t="s">
        <v>22</v>
      </c>
      <c r="B81" s="432">
        <v>0</v>
      </c>
      <c r="C81" s="433">
        <v>0</v>
      </c>
      <c r="D81" s="477">
        <v>0</v>
      </c>
      <c r="E81" s="437">
        <f t="shared" si="3"/>
        <v>0</v>
      </c>
      <c r="F81" s="213" t="s">
        <v>79</v>
      </c>
      <c r="G81" s="97">
        <v>0</v>
      </c>
      <c r="H81" s="210">
        <v>0</v>
      </c>
      <c r="I81" s="218">
        <v>0</v>
      </c>
      <c r="J81" s="439">
        <f t="shared" si="4"/>
        <v>0</v>
      </c>
    </row>
    <row r="82" spans="1:10" ht="15.75" thickBot="1" x14ac:dyDescent="0.3">
      <c r="A82" s="435" t="s">
        <v>822</v>
      </c>
      <c r="B82" s="432">
        <v>0</v>
      </c>
      <c r="C82" s="433">
        <v>0</v>
      </c>
      <c r="D82" s="477">
        <v>0</v>
      </c>
      <c r="E82" s="437">
        <f t="shared" si="3"/>
        <v>0</v>
      </c>
      <c r="F82" s="213" t="s">
        <v>22</v>
      </c>
      <c r="G82" s="97">
        <v>0</v>
      </c>
      <c r="H82" s="210">
        <v>0</v>
      </c>
      <c r="I82" s="218">
        <v>0</v>
      </c>
      <c r="J82" s="439">
        <f t="shared" si="4"/>
        <v>0</v>
      </c>
    </row>
    <row r="83" spans="1:10" ht="15.75" thickBot="1" x14ac:dyDescent="0.3">
      <c r="A83" s="435" t="s">
        <v>71</v>
      </c>
      <c r="B83" s="432">
        <v>0</v>
      </c>
      <c r="C83" s="433">
        <v>0</v>
      </c>
      <c r="D83" s="477">
        <v>0</v>
      </c>
      <c r="E83" s="437">
        <f t="shared" si="3"/>
        <v>0</v>
      </c>
      <c r="F83" s="213" t="s">
        <v>822</v>
      </c>
      <c r="G83" s="97">
        <v>0</v>
      </c>
      <c r="H83" s="210">
        <v>0</v>
      </c>
      <c r="I83" s="218">
        <v>0</v>
      </c>
      <c r="J83" s="439">
        <f t="shared" si="4"/>
        <v>0</v>
      </c>
    </row>
    <row r="84" spans="1:10" ht="15.75" thickBot="1" x14ac:dyDescent="0.3">
      <c r="A84" s="435" t="s">
        <v>99</v>
      </c>
      <c r="B84" s="432">
        <v>0</v>
      </c>
      <c r="C84" s="433">
        <v>0</v>
      </c>
      <c r="D84" s="477">
        <v>0</v>
      </c>
      <c r="E84" s="437">
        <f t="shared" si="3"/>
        <v>0</v>
      </c>
      <c r="F84" s="213" t="s">
        <v>71</v>
      </c>
      <c r="G84" s="97">
        <v>0</v>
      </c>
      <c r="H84" s="210">
        <v>0</v>
      </c>
      <c r="I84" s="218">
        <v>0</v>
      </c>
      <c r="J84" s="439">
        <f t="shared" si="4"/>
        <v>0</v>
      </c>
    </row>
    <row r="85" spans="1:10" ht="15.75" thickBot="1" x14ac:dyDescent="0.3">
      <c r="A85" s="435" t="s">
        <v>824</v>
      </c>
      <c r="B85" s="432">
        <v>0</v>
      </c>
      <c r="C85" s="433">
        <v>0</v>
      </c>
      <c r="D85" s="477">
        <v>0</v>
      </c>
      <c r="E85" s="437">
        <f t="shared" si="3"/>
        <v>0</v>
      </c>
      <c r="F85" s="213" t="s">
        <v>99</v>
      </c>
      <c r="G85" s="97">
        <v>0</v>
      </c>
      <c r="H85" s="210">
        <v>0</v>
      </c>
      <c r="I85" s="218">
        <v>0</v>
      </c>
      <c r="J85" s="439">
        <f t="shared" si="4"/>
        <v>0</v>
      </c>
    </row>
    <row r="86" spans="1:10" ht="15.75" thickBot="1" x14ac:dyDescent="0.3">
      <c r="A86" s="435" t="s">
        <v>826</v>
      </c>
      <c r="B86" s="432">
        <v>0</v>
      </c>
      <c r="C86" s="433">
        <v>0</v>
      </c>
      <c r="D86" s="477">
        <v>0</v>
      </c>
      <c r="E86" s="437">
        <f t="shared" si="3"/>
        <v>0</v>
      </c>
      <c r="F86" s="213" t="s">
        <v>824</v>
      </c>
      <c r="G86" s="97">
        <v>0</v>
      </c>
      <c r="H86" s="210">
        <v>0</v>
      </c>
      <c r="I86" s="218">
        <v>0</v>
      </c>
      <c r="J86" s="439">
        <f t="shared" si="4"/>
        <v>0</v>
      </c>
    </row>
    <row r="87" spans="1:10" ht="15.75" thickBot="1" x14ac:dyDescent="0.3">
      <c r="A87" s="435" t="s">
        <v>670</v>
      </c>
      <c r="B87" s="432">
        <v>0</v>
      </c>
      <c r="C87" s="433">
        <v>0</v>
      </c>
      <c r="D87" s="477">
        <v>0</v>
      </c>
      <c r="E87" s="437">
        <f t="shared" si="3"/>
        <v>0</v>
      </c>
      <c r="F87" s="213" t="s">
        <v>826</v>
      </c>
      <c r="G87" s="97">
        <v>0</v>
      </c>
      <c r="H87" s="210">
        <v>0</v>
      </c>
      <c r="I87" s="218">
        <v>0</v>
      </c>
      <c r="J87" s="439">
        <f t="shared" si="4"/>
        <v>0</v>
      </c>
    </row>
    <row r="88" spans="1:10" ht="15.75" thickBot="1" x14ac:dyDescent="0.3">
      <c r="A88" s="435" t="s">
        <v>10</v>
      </c>
      <c r="B88" s="432">
        <v>0</v>
      </c>
      <c r="C88" s="433">
        <v>0</v>
      </c>
      <c r="D88" s="477">
        <v>0</v>
      </c>
      <c r="E88" s="437">
        <f t="shared" si="3"/>
        <v>0</v>
      </c>
      <c r="F88" s="213" t="s">
        <v>670</v>
      </c>
      <c r="G88" s="97">
        <v>0</v>
      </c>
      <c r="H88" s="210">
        <v>0</v>
      </c>
      <c r="I88" s="218">
        <v>0</v>
      </c>
      <c r="J88" s="439">
        <f t="shared" si="4"/>
        <v>0</v>
      </c>
    </row>
    <row r="89" spans="1:10" ht="15.75" thickBot="1" x14ac:dyDescent="0.3">
      <c r="A89" s="435" t="s">
        <v>828</v>
      </c>
      <c r="B89" s="432">
        <v>0</v>
      </c>
      <c r="C89" s="433">
        <v>0</v>
      </c>
      <c r="D89" s="477">
        <v>0</v>
      </c>
      <c r="E89" s="437">
        <f t="shared" si="3"/>
        <v>0</v>
      </c>
      <c r="F89" s="213" t="s">
        <v>10</v>
      </c>
      <c r="G89" s="97">
        <v>0</v>
      </c>
      <c r="H89" s="210">
        <v>0</v>
      </c>
      <c r="I89" s="218">
        <v>0</v>
      </c>
      <c r="J89" s="439">
        <f t="shared" si="4"/>
        <v>0</v>
      </c>
    </row>
    <row r="90" spans="1:10" ht="15.75" thickBot="1" x14ac:dyDescent="0.3">
      <c r="A90" s="435" t="s">
        <v>6</v>
      </c>
      <c r="B90" s="432">
        <v>0</v>
      </c>
      <c r="C90" s="433">
        <v>0</v>
      </c>
      <c r="D90" s="477">
        <v>0</v>
      </c>
      <c r="E90" s="437">
        <f t="shared" si="3"/>
        <v>0</v>
      </c>
      <c r="F90" s="213" t="s">
        <v>829</v>
      </c>
      <c r="G90" s="97">
        <v>0</v>
      </c>
      <c r="H90" s="210">
        <v>0</v>
      </c>
      <c r="I90" s="218">
        <v>0</v>
      </c>
      <c r="J90" s="439">
        <f t="shared" si="4"/>
        <v>0</v>
      </c>
    </row>
    <row r="91" spans="1:10" ht="15.75" thickBot="1" x14ac:dyDescent="0.3">
      <c r="A91" s="435" t="s">
        <v>833</v>
      </c>
      <c r="B91" s="432">
        <v>0</v>
      </c>
      <c r="C91" s="433">
        <v>0</v>
      </c>
      <c r="D91" s="477">
        <v>0</v>
      </c>
      <c r="E91" s="437">
        <f t="shared" si="3"/>
        <v>0</v>
      </c>
      <c r="F91" s="213" t="s">
        <v>6</v>
      </c>
      <c r="G91" s="97">
        <v>0</v>
      </c>
      <c r="H91" s="210">
        <v>0</v>
      </c>
      <c r="I91" s="218">
        <v>0</v>
      </c>
      <c r="J91" s="439">
        <f t="shared" si="4"/>
        <v>0</v>
      </c>
    </row>
    <row r="92" spans="1:10" ht="15.75" thickBot="1" x14ac:dyDescent="0.3">
      <c r="A92" s="435" t="s">
        <v>292</v>
      </c>
      <c r="B92" s="432">
        <v>0</v>
      </c>
      <c r="C92" s="433">
        <v>0</v>
      </c>
      <c r="D92" s="477">
        <v>0</v>
      </c>
      <c r="E92" s="437">
        <f t="shared" si="3"/>
        <v>0</v>
      </c>
      <c r="F92" s="213" t="s">
        <v>292</v>
      </c>
      <c r="G92" s="97">
        <v>0</v>
      </c>
      <c r="H92" s="210">
        <v>0</v>
      </c>
      <c r="I92" s="218">
        <v>0</v>
      </c>
      <c r="J92" s="439">
        <f t="shared" si="4"/>
        <v>0</v>
      </c>
    </row>
    <row r="93" spans="1:10" ht="15" customHeight="1" thickBot="1" x14ac:dyDescent="0.3">
      <c r="A93" s="435" t="s">
        <v>214</v>
      </c>
      <c r="B93" s="432">
        <v>0</v>
      </c>
      <c r="C93" s="433">
        <v>0</v>
      </c>
      <c r="D93" s="477">
        <v>0</v>
      </c>
      <c r="E93" s="437">
        <f t="shared" si="3"/>
        <v>0</v>
      </c>
      <c r="F93" s="209" t="s">
        <v>214</v>
      </c>
      <c r="G93" s="97">
        <v>0</v>
      </c>
      <c r="H93" s="210">
        <v>0</v>
      </c>
      <c r="I93" s="218">
        <v>0</v>
      </c>
      <c r="J93" s="439">
        <f t="shared" si="4"/>
        <v>0</v>
      </c>
    </row>
    <row r="94" spans="1:10" ht="15.75" thickBot="1" x14ac:dyDescent="0.3">
      <c r="A94" s="435" t="s">
        <v>7</v>
      </c>
      <c r="B94" s="432">
        <v>0</v>
      </c>
      <c r="C94" s="433">
        <v>0</v>
      </c>
      <c r="D94" s="477">
        <v>0</v>
      </c>
      <c r="E94" s="437">
        <f t="shared" si="3"/>
        <v>0</v>
      </c>
      <c r="F94" s="209" t="s">
        <v>7</v>
      </c>
      <c r="G94" s="97">
        <v>0</v>
      </c>
      <c r="H94" s="210">
        <v>0</v>
      </c>
      <c r="I94" s="218">
        <v>0</v>
      </c>
      <c r="J94" s="439">
        <f t="shared" si="4"/>
        <v>0</v>
      </c>
    </row>
    <row r="95" spans="1:10" ht="15" customHeight="1" thickBot="1" x14ac:dyDescent="0.3">
      <c r="A95" s="435" t="s">
        <v>3</v>
      </c>
      <c r="B95" s="432">
        <f>SUM(B51:B94)</f>
        <v>60</v>
      </c>
      <c r="C95" s="433">
        <f>SUM(C51:C94)</f>
        <v>2</v>
      </c>
      <c r="D95" s="477">
        <f>SUM(D51:D94)</f>
        <v>10</v>
      </c>
      <c r="E95" s="437">
        <f t="shared" si="3"/>
        <v>72</v>
      </c>
      <c r="F95" s="209" t="s">
        <v>3</v>
      </c>
      <c r="G95" s="97">
        <f>SUM(G51:G94)</f>
        <v>494</v>
      </c>
      <c r="H95" s="210">
        <f>SUM(H51:H94)</f>
        <v>19</v>
      </c>
      <c r="I95" s="218">
        <f>SUM(I51:I94)</f>
        <v>71</v>
      </c>
      <c r="J95" s="439">
        <f t="shared" si="4"/>
        <v>584</v>
      </c>
    </row>
    <row r="96" spans="1:10" x14ac:dyDescent="0.25">
      <c r="A96" s="535" t="s">
        <v>95</v>
      </c>
      <c r="B96" s="536"/>
      <c r="C96" s="536"/>
      <c r="D96" s="536"/>
      <c r="E96" s="536"/>
      <c r="F96" s="536"/>
      <c r="G96" s="536"/>
    </row>
  </sheetData>
  <sortState xmlns:xlrd2="http://schemas.microsoft.com/office/spreadsheetml/2017/richdata2" ref="F51:J94">
    <sortCondition descending="1" ref="J51:J94"/>
  </sortState>
  <mergeCells count="42">
    <mergeCell ref="AI20:AK21"/>
    <mergeCell ref="AL20:AN21"/>
    <mergeCell ref="AO20:AQ21"/>
    <mergeCell ref="A96:G96"/>
    <mergeCell ref="K33:Z33"/>
    <mergeCell ref="K34:AT34"/>
    <mergeCell ref="AI25:AK26"/>
    <mergeCell ref="K32:Z32"/>
    <mergeCell ref="O25:Q26"/>
    <mergeCell ref="T1:V2"/>
    <mergeCell ref="O13:Q14"/>
    <mergeCell ref="L1:N2"/>
    <mergeCell ref="L13:N14"/>
    <mergeCell ref="L20:N21"/>
    <mergeCell ref="O20:Q21"/>
    <mergeCell ref="R20:T21"/>
    <mergeCell ref="U20:W21"/>
    <mergeCell ref="W1:Y2"/>
    <mergeCell ref="R13:T14"/>
    <mergeCell ref="AR1:AT2"/>
    <mergeCell ref="AL1:AN2"/>
    <mergeCell ref="AI1:AK2"/>
    <mergeCell ref="AO1:AQ2"/>
    <mergeCell ref="AO13:AQ14"/>
    <mergeCell ref="AL13:AN14"/>
    <mergeCell ref="AI13:AK14"/>
    <mergeCell ref="A1:J1"/>
    <mergeCell ref="K25:K26"/>
    <mergeCell ref="K13:K14"/>
    <mergeCell ref="AF1:AH2"/>
    <mergeCell ref="O1:Q2"/>
    <mergeCell ref="U25:W26"/>
    <mergeCell ref="AF25:AH26"/>
    <mergeCell ref="AC1:AE2"/>
    <mergeCell ref="AF13:AH14"/>
    <mergeCell ref="AF20:AH21"/>
    <mergeCell ref="K1:K2"/>
    <mergeCell ref="L25:N26"/>
    <mergeCell ref="R1:S2"/>
    <mergeCell ref="U13:W14"/>
    <mergeCell ref="R25:T26"/>
    <mergeCell ref="K20:K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U88"/>
  <sheetViews>
    <sheetView workbookViewId="0">
      <selection activeCell="Q9" sqref="Q9"/>
    </sheetView>
  </sheetViews>
  <sheetFormatPr defaultColWidth="8.85546875" defaultRowHeight="15" x14ac:dyDescent="0.25"/>
  <cols>
    <col min="1" max="1" width="18.42578125" bestFit="1" customWidth="1"/>
    <col min="2" max="2" width="3.7109375" customWidth="1"/>
    <col min="3" max="3" width="4.140625" customWidth="1"/>
    <col min="4" max="4" width="4.7109375" customWidth="1"/>
    <col min="5" max="5" width="18.42578125" bestFit="1" customWidth="1"/>
    <col min="6" max="8" width="5.28515625" customWidth="1"/>
    <col min="9" max="9" width="12.85546875" bestFit="1" customWidth="1"/>
    <col min="10" max="41" width="5.7109375" customWidth="1"/>
  </cols>
  <sheetData>
    <row r="1" spans="1:47" ht="15" customHeight="1" thickBot="1" x14ac:dyDescent="0.3">
      <c r="A1" s="601" t="s">
        <v>812</v>
      </c>
      <c r="B1" s="602"/>
      <c r="C1" s="602"/>
      <c r="D1" s="602"/>
      <c r="E1" s="602"/>
      <c r="F1" s="602"/>
      <c r="G1" s="602"/>
      <c r="H1" s="603"/>
      <c r="I1" s="531" t="s">
        <v>658</v>
      </c>
      <c r="J1" s="525" t="s">
        <v>33</v>
      </c>
      <c r="K1" s="526"/>
      <c r="L1" s="527"/>
      <c r="M1" s="525" t="s">
        <v>110</v>
      </c>
      <c r="N1" s="526"/>
      <c r="O1" s="527"/>
      <c r="P1" s="525" t="s">
        <v>657</v>
      </c>
      <c r="Q1" s="527"/>
      <c r="R1" s="543" t="s">
        <v>836</v>
      </c>
      <c r="S1" s="549"/>
      <c r="T1" s="550"/>
      <c r="U1" s="543" t="s">
        <v>816</v>
      </c>
      <c r="V1" s="549"/>
      <c r="W1" s="550"/>
      <c r="X1" s="244"/>
      <c r="Y1" s="254"/>
      <c r="Z1" s="268"/>
      <c r="AA1" s="543" t="s">
        <v>574</v>
      </c>
      <c r="AB1" s="549"/>
      <c r="AC1" s="550"/>
      <c r="AD1" s="543" t="s">
        <v>217</v>
      </c>
      <c r="AE1" s="549"/>
      <c r="AF1" s="550"/>
      <c r="AG1" s="543" t="s">
        <v>147</v>
      </c>
      <c r="AH1" s="549"/>
      <c r="AI1" s="550"/>
      <c r="AJ1" s="543" t="s">
        <v>137</v>
      </c>
      <c r="AK1" s="549"/>
      <c r="AL1" s="550"/>
      <c r="AM1" s="543" t="s">
        <v>101</v>
      </c>
      <c r="AN1" s="549"/>
      <c r="AO1" s="550"/>
      <c r="AP1" s="4"/>
      <c r="AQ1" s="4"/>
      <c r="AR1" s="4"/>
      <c r="AU1" s="4"/>
    </row>
    <row r="2" spans="1:47" ht="15" customHeight="1" thickBot="1" x14ac:dyDescent="0.3">
      <c r="A2" s="143" t="s">
        <v>0</v>
      </c>
      <c r="B2" s="200" t="s">
        <v>815</v>
      </c>
      <c r="C2" s="257" t="s">
        <v>72</v>
      </c>
      <c r="D2" s="144" t="s">
        <v>1</v>
      </c>
      <c r="E2" s="145" t="s">
        <v>2</v>
      </c>
      <c r="F2" s="202" t="s">
        <v>815</v>
      </c>
      <c r="G2" s="259" t="s">
        <v>72</v>
      </c>
      <c r="H2" s="146" t="s">
        <v>1</v>
      </c>
      <c r="I2" s="532"/>
      <c r="J2" s="528"/>
      <c r="K2" s="529"/>
      <c r="L2" s="530"/>
      <c r="M2" s="528"/>
      <c r="N2" s="529"/>
      <c r="O2" s="530"/>
      <c r="P2" s="528"/>
      <c r="Q2" s="530"/>
      <c r="R2" s="551"/>
      <c r="S2" s="552"/>
      <c r="T2" s="553"/>
      <c r="U2" s="551"/>
      <c r="V2" s="552"/>
      <c r="W2" s="553"/>
      <c r="X2" s="244"/>
      <c r="Y2" s="254"/>
      <c r="Z2" s="268"/>
      <c r="AA2" s="551"/>
      <c r="AB2" s="552"/>
      <c r="AC2" s="553"/>
      <c r="AD2" s="551"/>
      <c r="AE2" s="552"/>
      <c r="AF2" s="553"/>
      <c r="AG2" s="551"/>
      <c r="AH2" s="552"/>
      <c r="AI2" s="553"/>
      <c r="AJ2" s="551"/>
      <c r="AK2" s="552"/>
      <c r="AL2" s="553"/>
      <c r="AM2" s="551"/>
      <c r="AN2" s="552"/>
      <c r="AO2" s="553"/>
    </row>
    <row r="3" spans="1:47" ht="15" customHeight="1" thickBot="1" x14ac:dyDescent="0.3">
      <c r="A3" s="129" t="s">
        <v>93</v>
      </c>
      <c r="B3" s="201">
        <v>2</v>
      </c>
      <c r="C3" s="258">
        <v>1</v>
      </c>
      <c r="D3" s="128">
        <f t="shared" ref="D3:D42" si="0">SUM(B3:C3)</f>
        <v>3</v>
      </c>
      <c r="E3" s="130" t="s">
        <v>93</v>
      </c>
      <c r="F3" s="203">
        <v>10</v>
      </c>
      <c r="G3" s="260">
        <v>5</v>
      </c>
      <c r="H3" s="93">
        <f t="shared" ref="H3:H42" si="1">SUM(F3:G3)</f>
        <v>15</v>
      </c>
      <c r="I3" s="33" t="s">
        <v>51</v>
      </c>
      <c r="J3" s="3" t="s">
        <v>129</v>
      </c>
      <c r="K3" s="3" t="s">
        <v>27</v>
      </c>
      <c r="L3" s="3" t="s">
        <v>28</v>
      </c>
      <c r="M3" s="3" t="s">
        <v>129</v>
      </c>
      <c r="N3" s="3" t="s">
        <v>27</v>
      </c>
      <c r="O3" s="3" t="s">
        <v>28</v>
      </c>
      <c r="P3" s="3" t="s">
        <v>40</v>
      </c>
      <c r="Q3" s="3" t="s">
        <v>166</v>
      </c>
      <c r="R3" s="7" t="s">
        <v>129</v>
      </c>
      <c r="S3" s="7" t="s">
        <v>27</v>
      </c>
      <c r="T3" s="7" t="s">
        <v>28</v>
      </c>
      <c r="U3" s="221" t="s">
        <v>129</v>
      </c>
      <c r="V3" s="7" t="s">
        <v>27</v>
      </c>
      <c r="W3" s="7" t="s">
        <v>28</v>
      </c>
      <c r="X3" s="113"/>
      <c r="Y3" s="114"/>
      <c r="Z3" s="269"/>
      <c r="AA3" s="221" t="s">
        <v>129</v>
      </c>
      <c r="AB3" s="7" t="s">
        <v>27</v>
      </c>
      <c r="AC3" s="7" t="s">
        <v>28</v>
      </c>
      <c r="AD3" s="221" t="s">
        <v>129</v>
      </c>
      <c r="AE3" s="7" t="s">
        <v>27</v>
      </c>
      <c r="AF3" s="7" t="s">
        <v>28</v>
      </c>
      <c r="AG3" s="221" t="s">
        <v>129</v>
      </c>
      <c r="AH3" s="7" t="s">
        <v>27</v>
      </c>
      <c r="AI3" s="7" t="s">
        <v>28</v>
      </c>
      <c r="AJ3" s="7" t="s">
        <v>129</v>
      </c>
      <c r="AK3" s="7" t="s">
        <v>27</v>
      </c>
      <c r="AL3" s="7" t="s">
        <v>28</v>
      </c>
      <c r="AM3" s="7" t="s">
        <v>129</v>
      </c>
      <c r="AN3" s="7" t="s">
        <v>27</v>
      </c>
      <c r="AO3" s="7" t="s">
        <v>28</v>
      </c>
    </row>
    <row r="4" spans="1:47" ht="15" customHeight="1" thickBot="1" x14ac:dyDescent="0.3">
      <c r="A4" s="129" t="s">
        <v>182</v>
      </c>
      <c r="B4" s="201">
        <v>0</v>
      </c>
      <c r="C4" s="258">
        <v>0</v>
      </c>
      <c r="D4" s="128">
        <f t="shared" si="0"/>
        <v>0</v>
      </c>
      <c r="E4" s="130" t="s">
        <v>182</v>
      </c>
      <c r="F4" s="203">
        <v>0</v>
      </c>
      <c r="G4" s="260">
        <v>0</v>
      </c>
      <c r="H4" s="93">
        <f t="shared" si="1"/>
        <v>0</v>
      </c>
      <c r="I4" s="129" t="s">
        <v>139</v>
      </c>
      <c r="J4" s="133">
        <v>71</v>
      </c>
      <c r="K4" s="133">
        <v>87</v>
      </c>
      <c r="L4" s="134">
        <f t="shared" ref="L4:L5" si="2">SUM(J4/K4)*100</f>
        <v>81.609195402298852</v>
      </c>
      <c r="M4" s="133" t="s">
        <v>34</v>
      </c>
      <c r="N4" s="133" t="s">
        <v>34</v>
      </c>
      <c r="O4" s="134" t="s">
        <v>34</v>
      </c>
      <c r="P4" s="133">
        <v>-1</v>
      </c>
      <c r="Q4" s="133">
        <v>-1</v>
      </c>
      <c r="R4" s="7">
        <v>27</v>
      </c>
      <c r="S4" s="7">
        <v>34</v>
      </c>
      <c r="T4" s="232">
        <f t="shared" ref="T4:T6" si="3">SUM(R4/S4)*100</f>
        <v>79.411764705882348</v>
      </c>
      <c r="U4" s="221">
        <v>40</v>
      </c>
      <c r="V4" s="7">
        <v>48</v>
      </c>
      <c r="W4" s="232">
        <f t="shared" ref="W4" si="4">SUM(U4/V4)*100</f>
        <v>83.333333333333343</v>
      </c>
      <c r="X4" s="113"/>
      <c r="Y4" s="114"/>
      <c r="Z4" s="269"/>
      <c r="AA4" s="221">
        <v>58</v>
      </c>
      <c r="AB4" s="7">
        <v>69</v>
      </c>
      <c r="AC4" s="232">
        <f t="shared" ref="AC4:AC5" si="5">SUM(AA4/AB4)*100</f>
        <v>84.05797101449275</v>
      </c>
      <c r="AD4" s="221">
        <v>40</v>
      </c>
      <c r="AE4" s="7">
        <v>48</v>
      </c>
      <c r="AF4" s="232">
        <f t="shared" ref="AF4" si="6">SUM(AD4/AE4)*100</f>
        <v>83.333333333333343</v>
      </c>
      <c r="AG4" s="221" t="s">
        <v>34</v>
      </c>
      <c r="AH4" s="7" t="s">
        <v>34</v>
      </c>
      <c r="AI4" s="7" t="s">
        <v>34</v>
      </c>
      <c r="AJ4" s="7" t="s">
        <v>34</v>
      </c>
      <c r="AK4" s="7" t="s">
        <v>34</v>
      </c>
      <c r="AL4" s="7" t="s">
        <v>34</v>
      </c>
      <c r="AM4" s="7" t="s">
        <v>34</v>
      </c>
      <c r="AN4" s="7" t="s">
        <v>34</v>
      </c>
      <c r="AO4" s="7" t="s">
        <v>34</v>
      </c>
    </row>
    <row r="5" spans="1:47" ht="15" customHeight="1" thickBot="1" x14ac:dyDescent="0.3">
      <c r="A5" s="129" t="s">
        <v>20</v>
      </c>
      <c r="B5" s="201">
        <v>0</v>
      </c>
      <c r="C5" s="258">
        <v>0</v>
      </c>
      <c r="D5" s="128">
        <f t="shared" si="0"/>
        <v>0</v>
      </c>
      <c r="E5" s="130" t="s">
        <v>20</v>
      </c>
      <c r="F5" s="203">
        <v>0</v>
      </c>
      <c r="G5" s="260">
        <v>0</v>
      </c>
      <c r="H5" s="93">
        <f t="shared" si="1"/>
        <v>0</v>
      </c>
      <c r="I5" s="129" t="s">
        <v>183</v>
      </c>
      <c r="J5" s="133">
        <v>0</v>
      </c>
      <c r="K5" s="133">
        <v>1</v>
      </c>
      <c r="L5" s="134">
        <f t="shared" si="2"/>
        <v>0</v>
      </c>
      <c r="M5" s="133" t="s">
        <v>34</v>
      </c>
      <c r="N5" s="133" t="s">
        <v>34</v>
      </c>
      <c r="O5" s="134" t="s">
        <v>34</v>
      </c>
      <c r="P5" s="133">
        <v>-2</v>
      </c>
      <c r="Q5" s="133">
        <v>-2</v>
      </c>
      <c r="R5" s="7">
        <v>1</v>
      </c>
      <c r="S5" s="7">
        <v>2</v>
      </c>
      <c r="T5" s="232">
        <f t="shared" si="3"/>
        <v>50</v>
      </c>
      <c r="U5" s="221">
        <v>8</v>
      </c>
      <c r="V5" s="7">
        <v>17</v>
      </c>
      <c r="W5" s="232">
        <f t="shared" ref="W5:W8" si="7">SUM(U5/V5)*100</f>
        <v>47.058823529411761</v>
      </c>
      <c r="X5" s="113"/>
      <c r="Y5" s="114"/>
      <c r="Z5" s="269"/>
      <c r="AA5" s="221">
        <v>30</v>
      </c>
      <c r="AB5" s="7">
        <v>40</v>
      </c>
      <c r="AC5" s="232">
        <f t="shared" si="5"/>
        <v>75</v>
      </c>
      <c r="AD5" s="221" t="s">
        <v>34</v>
      </c>
      <c r="AE5" s="7" t="s">
        <v>34</v>
      </c>
      <c r="AF5" s="7" t="s">
        <v>34</v>
      </c>
      <c r="AG5" s="221" t="s">
        <v>34</v>
      </c>
      <c r="AH5" s="7" t="s">
        <v>34</v>
      </c>
      <c r="AI5" s="7" t="s">
        <v>34</v>
      </c>
      <c r="AJ5" s="7" t="s">
        <v>34</v>
      </c>
      <c r="AK5" s="7" t="s">
        <v>34</v>
      </c>
      <c r="AL5" s="7" t="s">
        <v>34</v>
      </c>
      <c r="AM5" s="7" t="s">
        <v>34</v>
      </c>
      <c r="AN5" s="7" t="s">
        <v>34</v>
      </c>
      <c r="AO5" s="7" t="s">
        <v>34</v>
      </c>
    </row>
    <row r="6" spans="1:47" ht="15" customHeight="1" thickBot="1" x14ac:dyDescent="0.3">
      <c r="A6" s="129" t="s">
        <v>164</v>
      </c>
      <c r="B6" s="201">
        <v>0</v>
      </c>
      <c r="C6" s="258">
        <v>0</v>
      </c>
      <c r="D6" s="128">
        <f t="shared" si="0"/>
        <v>0</v>
      </c>
      <c r="E6" s="130" t="s">
        <v>164</v>
      </c>
      <c r="F6" s="203">
        <v>0</v>
      </c>
      <c r="G6" s="260">
        <v>0</v>
      </c>
      <c r="H6" s="93">
        <f t="shared" si="1"/>
        <v>0</v>
      </c>
      <c r="I6" s="129" t="s">
        <v>541</v>
      </c>
      <c r="J6" s="133">
        <v>21</v>
      </c>
      <c r="K6" s="133">
        <v>29</v>
      </c>
      <c r="L6" s="134">
        <f t="shared" ref="L6" si="8">SUM(J6/K6)*100</f>
        <v>72.41379310344827</v>
      </c>
      <c r="M6" s="133">
        <v>5</v>
      </c>
      <c r="N6" s="133">
        <v>6</v>
      </c>
      <c r="O6" s="134">
        <f t="shared" ref="O6" si="9">SUM(M6/N6)*100</f>
        <v>83.333333333333343</v>
      </c>
      <c r="P6" s="133">
        <v>4</v>
      </c>
      <c r="Q6" s="133">
        <v>4</v>
      </c>
      <c r="R6" s="7">
        <v>52</v>
      </c>
      <c r="S6" s="7">
        <v>77</v>
      </c>
      <c r="T6" s="232">
        <f t="shared" si="3"/>
        <v>67.532467532467535</v>
      </c>
      <c r="U6" s="221">
        <v>26</v>
      </c>
      <c r="V6" s="7">
        <v>34</v>
      </c>
      <c r="W6" s="232">
        <f t="shared" si="7"/>
        <v>76.470588235294116</v>
      </c>
      <c r="X6" s="113"/>
      <c r="Y6" s="114"/>
      <c r="Z6" s="269"/>
      <c r="AA6" s="221" t="s">
        <v>34</v>
      </c>
      <c r="AB6" s="7" t="s">
        <v>34</v>
      </c>
      <c r="AC6" s="7" t="s">
        <v>34</v>
      </c>
      <c r="AD6" s="221" t="s">
        <v>34</v>
      </c>
      <c r="AE6" s="7" t="s">
        <v>34</v>
      </c>
      <c r="AF6" s="7" t="s">
        <v>34</v>
      </c>
      <c r="AG6" s="7" t="s">
        <v>34</v>
      </c>
      <c r="AH6" s="7" t="s">
        <v>34</v>
      </c>
      <c r="AI6" s="7" t="s">
        <v>34</v>
      </c>
      <c r="AJ6" s="7" t="s">
        <v>34</v>
      </c>
      <c r="AK6" s="7" t="s">
        <v>34</v>
      </c>
      <c r="AL6" s="7" t="s">
        <v>34</v>
      </c>
      <c r="AM6" s="7" t="s">
        <v>34</v>
      </c>
      <c r="AN6" s="7" t="s">
        <v>34</v>
      </c>
      <c r="AO6" s="7" t="s">
        <v>34</v>
      </c>
    </row>
    <row r="7" spans="1:47" ht="15" customHeight="1" thickBot="1" x14ac:dyDescent="0.3">
      <c r="A7" s="129" t="s">
        <v>153</v>
      </c>
      <c r="B7" s="201">
        <v>0</v>
      </c>
      <c r="C7" s="258">
        <v>0</v>
      </c>
      <c r="D7" s="128">
        <f t="shared" si="0"/>
        <v>0</v>
      </c>
      <c r="E7" s="130" t="s">
        <v>153</v>
      </c>
      <c r="F7" s="203">
        <v>0</v>
      </c>
      <c r="G7" s="260">
        <v>0</v>
      </c>
      <c r="H7" s="93">
        <f t="shared" si="1"/>
        <v>0</v>
      </c>
      <c r="I7" s="129" t="s">
        <v>182</v>
      </c>
      <c r="J7" s="133" t="s">
        <v>34</v>
      </c>
      <c r="K7" s="133" t="s">
        <v>34</v>
      </c>
      <c r="L7" s="134" t="s">
        <v>34</v>
      </c>
      <c r="M7" s="133" t="s">
        <v>34</v>
      </c>
      <c r="N7" s="133" t="s">
        <v>34</v>
      </c>
      <c r="O7" s="134" t="s">
        <v>34</v>
      </c>
      <c r="P7" s="133">
        <v>-3</v>
      </c>
      <c r="Q7" s="133">
        <v>3</v>
      </c>
      <c r="R7" s="7" t="s">
        <v>34</v>
      </c>
      <c r="S7" s="7" t="s">
        <v>34</v>
      </c>
      <c r="T7" s="232" t="s">
        <v>34</v>
      </c>
      <c r="U7" s="221">
        <v>0</v>
      </c>
      <c r="V7" s="7">
        <v>3</v>
      </c>
      <c r="W7" s="232">
        <f t="shared" si="7"/>
        <v>0</v>
      </c>
      <c r="X7" s="113"/>
      <c r="Y7" s="114"/>
      <c r="Z7" s="269"/>
      <c r="AA7" s="221">
        <v>2</v>
      </c>
      <c r="AB7" s="7">
        <v>4</v>
      </c>
      <c r="AC7" s="232">
        <f t="shared" ref="AC7" si="10">SUM(AA7/AB7)*100</f>
        <v>50</v>
      </c>
      <c r="AD7" s="221" t="s">
        <v>34</v>
      </c>
      <c r="AE7" s="7" t="s">
        <v>34</v>
      </c>
      <c r="AF7" s="7" t="s">
        <v>34</v>
      </c>
      <c r="AG7" s="221" t="s">
        <v>34</v>
      </c>
      <c r="AH7" s="7" t="s">
        <v>34</v>
      </c>
      <c r="AI7" s="7" t="s">
        <v>34</v>
      </c>
      <c r="AJ7" s="7" t="s">
        <v>34</v>
      </c>
      <c r="AK7" s="7" t="s">
        <v>34</v>
      </c>
      <c r="AL7" s="7" t="s">
        <v>34</v>
      </c>
      <c r="AM7" s="7" t="s">
        <v>34</v>
      </c>
      <c r="AN7" s="7" t="s">
        <v>34</v>
      </c>
      <c r="AO7" s="7" t="s">
        <v>34</v>
      </c>
    </row>
    <row r="8" spans="1:47" ht="15" customHeight="1" thickBot="1" x14ac:dyDescent="0.3">
      <c r="A8" s="129" t="s">
        <v>633</v>
      </c>
      <c r="B8" s="201">
        <v>0</v>
      </c>
      <c r="C8" s="258">
        <v>0</v>
      </c>
      <c r="D8" s="128">
        <f t="shared" si="0"/>
        <v>0</v>
      </c>
      <c r="E8" s="130" t="s">
        <v>300</v>
      </c>
      <c r="F8" s="203">
        <v>0</v>
      </c>
      <c r="G8" s="260">
        <v>0</v>
      </c>
      <c r="H8" s="93">
        <f t="shared" si="1"/>
        <v>0</v>
      </c>
      <c r="I8" s="129" t="s">
        <v>300</v>
      </c>
      <c r="J8" s="133" t="s">
        <v>34</v>
      </c>
      <c r="K8" s="133" t="s">
        <v>34</v>
      </c>
      <c r="L8" s="134" t="s">
        <v>34</v>
      </c>
      <c r="M8" s="133" t="s">
        <v>34</v>
      </c>
      <c r="N8" s="133" t="s">
        <v>34</v>
      </c>
      <c r="O8" s="134" t="s">
        <v>34</v>
      </c>
      <c r="P8" s="133">
        <v>-2</v>
      </c>
      <c r="Q8" s="133">
        <v>-2</v>
      </c>
      <c r="R8" s="7">
        <v>0</v>
      </c>
      <c r="S8" s="7">
        <v>2</v>
      </c>
      <c r="T8" s="232">
        <v>0</v>
      </c>
      <c r="U8" s="221">
        <v>0</v>
      </c>
      <c r="V8" s="7">
        <v>1</v>
      </c>
      <c r="W8" s="232">
        <f t="shared" si="7"/>
        <v>0</v>
      </c>
      <c r="X8" s="113"/>
      <c r="Y8" s="114"/>
      <c r="Z8" s="269"/>
      <c r="AA8" s="221" t="s">
        <v>34</v>
      </c>
      <c r="AB8" s="7" t="s">
        <v>34</v>
      </c>
      <c r="AC8" s="7" t="s">
        <v>34</v>
      </c>
      <c r="AD8" s="221" t="s">
        <v>34</v>
      </c>
      <c r="AE8" s="7" t="s">
        <v>34</v>
      </c>
      <c r="AF8" s="7" t="s">
        <v>34</v>
      </c>
      <c r="AG8" s="221" t="s">
        <v>34</v>
      </c>
      <c r="AH8" s="7" t="s">
        <v>34</v>
      </c>
      <c r="AI8" s="7" t="s">
        <v>34</v>
      </c>
      <c r="AJ8" s="7" t="s">
        <v>34</v>
      </c>
      <c r="AK8" s="7" t="s">
        <v>34</v>
      </c>
      <c r="AL8" s="7" t="s">
        <v>34</v>
      </c>
      <c r="AM8" s="7" t="s">
        <v>34</v>
      </c>
      <c r="AN8" s="7" t="s">
        <v>34</v>
      </c>
      <c r="AO8" s="7" t="s">
        <v>34</v>
      </c>
    </row>
    <row r="9" spans="1:47" ht="15" customHeight="1" thickBot="1" x14ac:dyDescent="0.3">
      <c r="A9" s="129" t="s">
        <v>1065</v>
      </c>
      <c r="B9" s="201">
        <v>3</v>
      </c>
      <c r="C9" s="258">
        <v>0</v>
      </c>
      <c r="D9" s="128">
        <f t="shared" si="0"/>
        <v>3</v>
      </c>
      <c r="E9" s="130" t="s">
        <v>1065</v>
      </c>
      <c r="F9" s="203">
        <v>15</v>
      </c>
      <c r="G9" s="260">
        <v>0</v>
      </c>
      <c r="H9" s="93">
        <f t="shared" si="1"/>
        <v>15</v>
      </c>
      <c r="I9" s="129" t="s">
        <v>203</v>
      </c>
      <c r="J9" s="133" t="s">
        <v>34</v>
      </c>
      <c r="K9" s="133" t="s">
        <v>34</v>
      </c>
      <c r="L9" s="133" t="s">
        <v>34</v>
      </c>
      <c r="M9" s="133" t="s">
        <v>34</v>
      </c>
      <c r="N9" s="133" t="s">
        <v>34</v>
      </c>
      <c r="O9" s="134" t="s">
        <v>34</v>
      </c>
      <c r="P9" s="133">
        <v>1</v>
      </c>
      <c r="Q9" s="133">
        <v>1</v>
      </c>
      <c r="R9" s="7" t="s">
        <v>34</v>
      </c>
      <c r="S9" s="7" t="s">
        <v>34</v>
      </c>
      <c r="T9" s="7" t="s">
        <v>34</v>
      </c>
      <c r="U9" s="221">
        <v>1</v>
      </c>
      <c r="V9" s="7">
        <v>1</v>
      </c>
      <c r="W9" s="7">
        <v>100</v>
      </c>
      <c r="X9" s="113"/>
      <c r="Y9" s="114"/>
      <c r="Z9" s="269"/>
      <c r="AA9" s="221" t="s">
        <v>34</v>
      </c>
      <c r="AB9" s="7" t="s">
        <v>34</v>
      </c>
      <c r="AC9" s="7" t="s">
        <v>34</v>
      </c>
      <c r="AD9" s="221">
        <v>1</v>
      </c>
      <c r="AE9" s="7">
        <v>2</v>
      </c>
      <c r="AF9" s="232">
        <f t="shared" ref="AF9" si="11">SUM(AD9/AE9)*100</f>
        <v>50</v>
      </c>
      <c r="AG9" s="221" t="s">
        <v>34</v>
      </c>
      <c r="AH9" s="7" t="s">
        <v>34</v>
      </c>
      <c r="AI9" s="7" t="s">
        <v>34</v>
      </c>
      <c r="AJ9" s="7" t="s">
        <v>34</v>
      </c>
      <c r="AK9" s="7" t="s">
        <v>34</v>
      </c>
      <c r="AL9" s="7" t="s">
        <v>34</v>
      </c>
      <c r="AM9" s="7" t="s">
        <v>34</v>
      </c>
      <c r="AN9" s="7" t="s">
        <v>34</v>
      </c>
      <c r="AO9" s="7" t="s">
        <v>34</v>
      </c>
    </row>
    <row r="10" spans="1:47" ht="15" customHeight="1" thickBot="1" x14ac:dyDescent="0.3">
      <c r="A10" s="129" t="s">
        <v>183</v>
      </c>
      <c r="B10" s="201">
        <v>2</v>
      </c>
      <c r="C10" s="258">
        <v>0</v>
      </c>
      <c r="D10" s="128">
        <f t="shared" si="0"/>
        <v>2</v>
      </c>
      <c r="E10" s="130" t="s">
        <v>183</v>
      </c>
      <c r="F10" s="203">
        <v>10</v>
      </c>
      <c r="G10" s="260">
        <v>0</v>
      </c>
      <c r="H10" s="93">
        <f t="shared" si="1"/>
        <v>10</v>
      </c>
      <c r="I10" s="129" t="s">
        <v>525</v>
      </c>
      <c r="J10" s="133">
        <v>2</v>
      </c>
      <c r="K10" s="133">
        <v>2</v>
      </c>
      <c r="L10" s="133">
        <f t="shared" ref="L10" si="12">SUM(J10/K10)*100</f>
        <v>100</v>
      </c>
      <c r="M10" s="133">
        <v>1</v>
      </c>
      <c r="N10" s="133">
        <v>1</v>
      </c>
      <c r="O10" s="134">
        <f t="shared" ref="O10" si="13">SUM(M10/N10)*100</f>
        <v>100</v>
      </c>
      <c r="P10" s="133">
        <v>2</v>
      </c>
      <c r="Q10" s="133">
        <v>2</v>
      </c>
      <c r="R10" s="7" t="s">
        <v>34</v>
      </c>
      <c r="S10" s="7" t="s">
        <v>34</v>
      </c>
      <c r="T10" s="7" t="s">
        <v>34</v>
      </c>
      <c r="U10" s="221" t="s">
        <v>34</v>
      </c>
      <c r="V10" s="7" t="s">
        <v>34</v>
      </c>
      <c r="W10" s="7" t="s">
        <v>34</v>
      </c>
      <c r="X10" s="113"/>
      <c r="Y10" s="114"/>
      <c r="Z10" s="269"/>
      <c r="AA10" s="221" t="s">
        <v>34</v>
      </c>
      <c r="AB10" s="7" t="s">
        <v>34</v>
      </c>
      <c r="AC10" s="7" t="s">
        <v>34</v>
      </c>
      <c r="AD10" s="221" t="s">
        <v>34</v>
      </c>
      <c r="AE10" s="7" t="s">
        <v>34</v>
      </c>
      <c r="AF10" s="7" t="s">
        <v>34</v>
      </c>
      <c r="AG10" s="7" t="s">
        <v>34</v>
      </c>
      <c r="AH10" s="7" t="s">
        <v>34</v>
      </c>
      <c r="AI10" s="7" t="s">
        <v>34</v>
      </c>
      <c r="AJ10" s="7" t="s">
        <v>34</v>
      </c>
      <c r="AK10" s="7" t="s">
        <v>34</v>
      </c>
      <c r="AL10" s="7" t="s">
        <v>34</v>
      </c>
      <c r="AM10" s="7" t="s">
        <v>34</v>
      </c>
      <c r="AN10" s="7" t="s">
        <v>34</v>
      </c>
      <c r="AO10" s="7" t="s">
        <v>34</v>
      </c>
    </row>
    <row r="11" spans="1:47" ht="15" customHeight="1" thickBot="1" x14ac:dyDescent="0.3">
      <c r="A11" s="129" t="s">
        <v>629</v>
      </c>
      <c r="B11" s="201">
        <v>5</v>
      </c>
      <c r="C11" s="258">
        <v>0</v>
      </c>
      <c r="D11" s="128">
        <f t="shared" si="0"/>
        <v>5</v>
      </c>
      <c r="E11" s="130" t="s">
        <v>629</v>
      </c>
      <c r="F11" s="203">
        <v>25</v>
      </c>
      <c r="G11" s="260">
        <v>0</v>
      </c>
      <c r="H11" s="93">
        <f t="shared" si="1"/>
        <v>25</v>
      </c>
      <c r="I11" s="129" t="s">
        <v>7</v>
      </c>
      <c r="J11" s="133" t="s">
        <v>34</v>
      </c>
      <c r="K11" s="133" t="s">
        <v>34</v>
      </c>
      <c r="L11" s="133" t="s">
        <v>34</v>
      </c>
      <c r="M11" s="133" t="s">
        <v>34</v>
      </c>
      <c r="N11" s="133" t="s">
        <v>34</v>
      </c>
      <c r="O11" s="134" t="s">
        <v>34</v>
      </c>
      <c r="P11" s="133" t="s">
        <v>41</v>
      </c>
      <c r="Q11" s="133">
        <v>2</v>
      </c>
      <c r="R11" s="7" t="s">
        <v>34</v>
      </c>
      <c r="S11" s="7" t="s">
        <v>34</v>
      </c>
      <c r="T11" s="7" t="s">
        <v>34</v>
      </c>
      <c r="U11" s="221" t="s">
        <v>34</v>
      </c>
      <c r="V11" s="7" t="s">
        <v>34</v>
      </c>
      <c r="W11" s="7" t="s">
        <v>34</v>
      </c>
      <c r="X11" s="113"/>
      <c r="Y11" s="114"/>
      <c r="Z11" s="269"/>
      <c r="AA11" s="221" t="s">
        <v>34</v>
      </c>
      <c r="AB11" s="7" t="s">
        <v>34</v>
      </c>
      <c r="AC11" s="7" t="s">
        <v>34</v>
      </c>
      <c r="AD11" s="221" t="s">
        <v>34</v>
      </c>
      <c r="AE11" s="7" t="s">
        <v>34</v>
      </c>
      <c r="AF11" s="7" t="s">
        <v>34</v>
      </c>
      <c r="AG11" s="7" t="s">
        <v>34</v>
      </c>
      <c r="AH11" s="7" t="s">
        <v>34</v>
      </c>
      <c r="AI11" s="7" t="s">
        <v>34</v>
      </c>
      <c r="AJ11" s="7" t="s">
        <v>34</v>
      </c>
      <c r="AK11" s="7" t="s">
        <v>34</v>
      </c>
      <c r="AL11" s="7" t="s">
        <v>34</v>
      </c>
      <c r="AM11" s="7" t="s">
        <v>34</v>
      </c>
      <c r="AN11" s="7" t="s">
        <v>34</v>
      </c>
      <c r="AO11" s="7" t="s">
        <v>34</v>
      </c>
    </row>
    <row r="12" spans="1:47" ht="15" customHeight="1" thickBot="1" x14ac:dyDescent="0.3">
      <c r="A12" s="129" t="s">
        <v>551</v>
      </c>
      <c r="B12" s="201">
        <v>2</v>
      </c>
      <c r="C12" s="258">
        <v>0</v>
      </c>
      <c r="D12" s="128">
        <f t="shared" si="0"/>
        <v>2</v>
      </c>
      <c r="E12" s="130" t="s">
        <v>551</v>
      </c>
      <c r="F12" s="203">
        <v>10</v>
      </c>
      <c r="G12" s="260">
        <v>0</v>
      </c>
      <c r="H12" s="93">
        <f t="shared" si="1"/>
        <v>10</v>
      </c>
      <c r="I12" s="129" t="s">
        <v>67</v>
      </c>
      <c r="J12" s="133" t="s">
        <v>34</v>
      </c>
      <c r="K12" s="133" t="s">
        <v>34</v>
      </c>
      <c r="L12" s="134" t="s">
        <v>34</v>
      </c>
      <c r="M12" s="133" t="s">
        <v>34</v>
      </c>
      <c r="N12" s="133" t="s">
        <v>34</v>
      </c>
      <c r="O12" s="134" t="s">
        <v>34</v>
      </c>
      <c r="P12" s="133">
        <v>-2</v>
      </c>
      <c r="Q12" s="133">
        <v>-1</v>
      </c>
      <c r="R12" s="7" t="s">
        <v>34</v>
      </c>
      <c r="S12" s="7" t="s">
        <v>34</v>
      </c>
      <c r="T12" s="232" t="s">
        <v>34</v>
      </c>
      <c r="U12" s="221">
        <v>0</v>
      </c>
      <c r="V12" s="7">
        <v>1</v>
      </c>
      <c r="W12" s="232">
        <f t="shared" ref="W12" si="14">SUM(U12/V12)*100</f>
        <v>0</v>
      </c>
      <c r="X12" s="113"/>
      <c r="Y12" s="114"/>
      <c r="Z12" s="269"/>
      <c r="AA12" s="221" t="s">
        <v>34</v>
      </c>
      <c r="AB12" s="7" t="s">
        <v>34</v>
      </c>
      <c r="AC12" s="7" t="s">
        <v>34</v>
      </c>
      <c r="AD12" s="221">
        <v>2</v>
      </c>
      <c r="AE12" s="7">
        <v>5</v>
      </c>
      <c r="AF12" s="232">
        <f t="shared" ref="AF12" si="15">SUM(AD12/AE12)*100</f>
        <v>40</v>
      </c>
      <c r="AG12" s="221" t="s">
        <v>34</v>
      </c>
      <c r="AH12" s="7" t="s">
        <v>34</v>
      </c>
      <c r="AI12" s="7" t="s">
        <v>34</v>
      </c>
      <c r="AJ12" s="7" t="s">
        <v>34</v>
      </c>
      <c r="AK12" s="7" t="s">
        <v>34</v>
      </c>
      <c r="AL12" s="7" t="s">
        <v>34</v>
      </c>
      <c r="AM12" s="7" t="s">
        <v>34</v>
      </c>
      <c r="AN12" s="7" t="s">
        <v>34</v>
      </c>
      <c r="AO12" s="7" t="s">
        <v>34</v>
      </c>
    </row>
    <row r="13" spans="1:47" ht="15" customHeight="1" thickBot="1" x14ac:dyDescent="0.3">
      <c r="A13" s="129" t="s">
        <v>1098</v>
      </c>
      <c r="B13" s="201">
        <v>1</v>
      </c>
      <c r="C13" s="258">
        <v>0</v>
      </c>
      <c r="D13" s="128">
        <f t="shared" si="0"/>
        <v>1</v>
      </c>
      <c r="E13" s="130" t="s">
        <v>1098</v>
      </c>
      <c r="F13" s="203">
        <v>5</v>
      </c>
      <c r="G13" s="260">
        <v>0</v>
      </c>
      <c r="H13" s="93">
        <f t="shared" si="1"/>
        <v>5</v>
      </c>
    </row>
    <row r="14" spans="1:47" ht="15" customHeight="1" thickBot="1" x14ac:dyDescent="0.3">
      <c r="A14" s="129" t="s">
        <v>541</v>
      </c>
      <c r="B14" s="201">
        <v>2</v>
      </c>
      <c r="C14" s="258">
        <v>0</v>
      </c>
      <c r="D14" s="128">
        <f t="shared" si="0"/>
        <v>2</v>
      </c>
      <c r="E14" s="130" t="s">
        <v>541</v>
      </c>
      <c r="F14" s="203">
        <v>60</v>
      </c>
      <c r="G14" s="260">
        <v>5</v>
      </c>
      <c r="H14" s="93">
        <f t="shared" si="1"/>
        <v>65</v>
      </c>
      <c r="I14" s="562" t="s">
        <v>659</v>
      </c>
      <c r="J14" s="525" t="s">
        <v>33</v>
      </c>
      <c r="K14" s="526"/>
      <c r="L14" s="527"/>
      <c r="M14" s="543" t="s">
        <v>836</v>
      </c>
      <c r="N14" s="549"/>
      <c r="O14" s="550"/>
      <c r="P14" s="519" t="s">
        <v>853</v>
      </c>
      <c r="Q14" s="520"/>
      <c r="R14" s="521"/>
      <c r="S14" s="519" t="s">
        <v>995</v>
      </c>
      <c r="T14" s="520"/>
      <c r="U14" s="521"/>
      <c r="V14" s="272"/>
      <c r="W14" s="272"/>
      <c r="X14" s="272"/>
      <c r="Y14" s="354"/>
      <c r="Z14" s="354"/>
      <c r="AA14" s="519" t="s">
        <v>217</v>
      </c>
      <c r="AB14" s="520"/>
      <c r="AC14" s="521"/>
      <c r="AD14" s="519" t="s">
        <v>726</v>
      </c>
      <c r="AE14" s="520"/>
      <c r="AF14" s="521"/>
      <c r="AG14" s="519" t="s">
        <v>137</v>
      </c>
      <c r="AH14" s="520"/>
      <c r="AI14" s="521"/>
      <c r="AJ14" s="519" t="s">
        <v>727</v>
      </c>
      <c r="AK14" s="520"/>
      <c r="AL14" s="521"/>
    </row>
    <row r="15" spans="1:47" ht="15" customHeight="1" thickBot="1" x14ac:dyDescent="0.3">
      <c r="A15" s="129" t="s">
        <v>1093</v>
      </c>
      <c r="B15" s="201">
        <v>1</v>
      </c>
      <c r="C15" s="258">
        <v>0</v>
      </c>
      <c r="D15" s="128">
        <f t="shared" si="0"/>
        <v>1</v>
      </c>
      <c r="E15" s="130" t="s">
        <v>1093</v>
      </c>
      <c r="F15" s="203">
        <v>5</v>
      </c>
      <c r="G15" s="260">
        <v>0</v>
      </c>
      <c r="H15" s="93">
        <f t="shared" si="1"/>
        <v>5</v>
      </c>
      <c r="I15" s="563"/>
      <c r="J15" s="528"/>
      <c r="K15" s="529"/>
      <c r="L15" s="530"/>
      <c r="M15" s="551"/>
      <c r="N15" s="552"/>
      <c r="O15" s="553"/>
      <c r="P15" s="522"/>
      <c r="Q15" s="523"/>
      <c r="R15" s="524"/>
      <c r="S15" s="522"/>
      <c r="T15" s="523"/>
      <c r="U15" s="524"/>
      <c r="V15" s="272"/>
      <c r="W15" s="272"/>
      <c r="X15" s="272"/>
      <c r="Y15" s="354"/>
      <c r="Z15" s="354"/>
      <c r="AA15" s="522"/>
      <c r="AB15" s="523"/>
      <c r="AC15" s="524"/>
      <c r="AD15" s="522"/>
      <c r="AE15" s="523"/>
      <c r="AF15" s="524"/>
      <c r="AG15" s="522"/>
      <c r="AH15" s="523"/>
      <c r="AI15" s="524"/>
      <c r="AJ15" s="522"/>
      <c r="AK15" s="523"/>
      <c r="AL15" s="524"/>
    </row>
    <row r="16" spans="1:47" ht="15" customHeight="1" thickBot="1" x14ac:dyDescent="0.3">
      <c r="A16" s="129" t="s">
        <v>608</v>
      </c>
      <c r="B16" s="201">
        <v>4</v>
      </c>
      <c r="C16" s="258">
        <v>0</v>
      </c>
      <c r="D16" s="128">
        <f t="shared" si="0"/>
        <v>4</v>
      </c>
      <c r="E16" s="130" t="s">
        <v>608</v>
      </c>
      <c r="F16" s="203">
        <v>20</v>
      </c>
      <c r="G16" s="260">
        <v>0</v>
      </c>
      <c r="H16" s="93">
        <f t="shared" si="1"/>
        <v>20</v>
      </c>
      <c r="I16" s="33" t="s">
        <v>51</v>
      </c>
      <c r="J16" s="3" t="s">
        <v>129</v>
      </c>
      <c r="K16" s="3" t="s">
        <v>27</v>
      </c>
      <c r="L16" s="3" t="s">
        <v>28</v>
      </c>
      <c r="M16" s="7" t="s">
        <v>129</v>
      </c>
      <c r="N16" s="7" t="s">
        <v>27</v>
      </c>
      <c r="O16" s="7" t="s">
        <v>28</v>
      </c>
      <c r="P16" s="98" t="s">
        <v>129</v>
      </c>
      <c r="Q16" s="98" t="s">
        <v>27</v>
      </c>
      <c r="R16" s="98" t="s">
        <v>28</v>
      </c>
      <c r="S16" s="103" t="s">
        <v>129</v>
      </c>
      <c r="T16" s="98" t="s">
        <v>27</v>
      </c>
      <c r="U16" s="98" t="s">
        <v>28</v>
      </c>
      <c r="V16" s="354"/>
      <c r="W16" s="354"/>
      <c r="X16" s="354"/>
      <c r="Y16" s="354"/>
      <c r="Z16" s="354"/>
      <c r="AA16" s="103" t="s">
        <v>129</v>
      </c>
      <c r="AB16" s="98" t="s">
        <v>27</v>
      </c>
      <c r="AC16" s="98" t="s">
        <v>28</v>
      </c>
      <c r="AD16" s="103" t="s">
        <v>129</v>
      </c>
      <c r="AE16" s="98" t="s">
        <v>27</v>
      </c>
      <c r="AF16" s="98" t="s">
        <v>28</v>
      </c>
      <c r="AG16" s="103" t="s">
        <v>129</v>
      </c>
      <c r="AH16" s="98" t="s">
        <v>27</v>
      </c>
      <c r="AI16" s="98" t="s">
        <v>28</v>
      </c>
      <c r="AJ16" s="119" t="s">
        <v>129</v>
      </c>
      <c r="AK16" s="123" t="s">
        <v>27</v>
      </c>
      <c r="AL16" s="123" t="s">
        <v>28</v>
      </c>
    </row>
    <row r="17" spans="1:41" ht="15" customHeight="1" thickBot="1" x14ac:dyDescent="0.3">
      <c r="A17" s="129" t="s">
        <v>47</v>
      </c>
      <c r="B17" s="201">
        <v>0</v>
      </c>
      <c r="C17" s="258">
        <v>0</v>
      </c>
      <c r="D17" s="128">
        <f t="shared" si="0"/>
        <v>0</v>
      </c>
      <c r="E17" s="130" t="s">
        <v>47</v>
      </c>
      <c r="F17" s="203">
        <v>0</v>
      </c>
      <c r="G17" s="260">
        <v>0</v>
      </c>
      <c r="H17" s="93">
        <f t="shared" si="1"/>
        <v>0</v>
      </c>
      <c r="I17" s="129" t="s">
        <v>139</v>
      </c>
      <c r="J17" s="133">
        <v>17</v>
      </c>
      <c r="K17" s="133">
        <v>20</v>
      </c>
      <c r="L17" s="134">
        <f t="shared" ref="L17" si="16">SUM(J17/K17)*100</f>
        <v>85</v>
      </c>
      <c r="M17" s="7">
        <v>9</v>
      </c>
      <c r="N17" s="7">
        <v>12</v>
      </c>
      <c r="O17" s="232">
        <f t="shared" ref="O17" si="17">SUM(M17/N17)*100</f>
        <v>75</v>
      </c>
      <c r="P17" s="7">
        <v>4</v>
      </c>
      <c r="Q17" s="7">
        <v>4</v>
      </c>
      <c r="R17" s="7">
        <v>100</v>
      </c>
      <c r="S17" s="221">
        <v>5</v>
      </c>
      <c r="T17" s="7">
        <v>6</v>
      </c>
      <c r="U17" s="232">
        <f t="shared" ref="U17:U22" si="18">SUM(S17/T17)*100</f>
        <v>83.333333333333343</v>
      </c>
      <c r="V17" s="354"/>
      <c r="W17" s="354"/>
      <c r="X17" s="354"/>
      <c r="Y17" s="354"/>
      <c r="Z17" s="354"/>
      <c r="AA17" s="221">
        <v>8</v>
      </c>
      <c r="AB17" s="7">
        <v>10</v>
      </c>
      <c r="AC17" s="232">
        <f>SUM(AA17/AB17)*100</f>
        <v>80</v>
      </c>
      <c r="AD17" s="6">
        <v>6</v>
      </c>
      <c r="AE17" s="7">
        <v>16</v>
      </c>
      <c r="AF17" s="232">
        <f>SUM(AD17/AE17)*100</f>
        <v>37.5</v>
      </c>
      <c r="AG17" s="221">
        <v>7</v>
      </c>
      <c r="AH17" s="7">
        <v>8</v>
      </c>
      <c r="AI17" s="232">
        <f>SUM(AG17/AH17)*100</f>
        <v>87.5</v>
      </c>
      <c r="AJ17" s="221" t="s">
        <v>34</v>
      </c>
      <c r="AK17" s="7" t="s">
        <v>34</v>
      </c>
      <c r="AL17" s="7" t="s">
        <v>34</v>
      </c>
      <c r="AM17" s="99"/>
      <c r="AN17" s="99"/>
    </row>
    <row r="18" spans="1:41" ht="15" customHeight="1" thickBot="1" x14ac:dyDescent="0.3">
      <c r="A18" s="129" t="s">
        <v>204</v>
      </c>
      <c r="B18" s="201">
        <v>1</v>
      </c>
      <c r="C18" s="258">
        <v>0</v>
      </c>
      <c r="D18" s="128">
        <f t="shared" si="0"/>
        <v>1</v>
      </c>
      <c r="E18" s="130" t="s">
        <v>205</v>
      </c>
      <c r="F18" s="203">
        <v>5</v>
      </c>
      <c r="G18" s="260">
        <v>0</v>
      </c>
      <c r="H18" s="93">
        <f t="shared" si="1"/>
        <v>5</v>
      </c>
      <c r="I18" s="129" t="s">
        <v>300</v>
      </c>
      <c r="J18" s="133" t="s">
        <v>34</v>
      </c>
      <c r="K18" s="133" t="s">
        <v>34</v>
      </c>
      <c r="L18" s="134" t="s">
        <v>34</v>
      </c>
      <c r="M18" s="7">
        <v>1</v>
      </c>
      <c r="N18" s="7">
        <v>1</v>
      </c>
      <c r="O18" s="232">
        <v>100</v>
      </c>
      <c r="P18" s="7" t="s">
        <v>34</v>
      </c>
      <c r="Q18" s="7" t="s">
        <v>34</v>
      </c>
      <c r="R18" s="7" t="s">
        <v>34</v>
      </c>
      <c r="S18" s="221" t="s">
        <v>34</v>
      </c>
      <c r="T18" s="7" t="s">
        <v>34</v>
      </c>
      <c r="U18" s="7" t="s">
        <v>34</v>
      </c>
      <c r="V18" s="354"/>
      <c r="W18" s="354"/>
      <c r="X18" s="354"/>
      <c r="Y18" s="354"/>
      <c r="Z18" s="354"/>
      <c r="AA18" s="221" t="s">
        <v>34</v>
      </c>
      <c r="AB18" s="7" t="s">
        <v>34</v>
      </c>
      <c r="AC18" s="7" t="s">
        <v>34</v>
      </c>
      <c r="AD18" s="6" t="s">
        <v>34</v>
      </c>
      <c r="AE18" s="7" t="s">
        <v>34</v>
      </c>
      <c r="AF18" s="7" t="s">
        <v>34</v>
      </c>
      <c r="AG18" s="6" t="s">
        <v>34</v>
      </c>
      <c r="AH18" s="7" t="s">
        <v>34</v>
      </c>
      <c r="AI18" s="7" t="s">
        <v>34</v>
      </c>
      <c r="AJ18" s="6" t="s">
        <v>34</v>
      </c>
      <c r="AK18" s="7" t="s">
        <v>34</v>
      </c>
      <c r="AL18" s="7" t="s">
        <v>34</v>
      </c>
      <c r="AM18" s="99"/>
      <c r="AN18" s="99"/>
      <c r="AO18" s="305"/>
    </row>
    <row r="19" spans="1:41" ht="15" customHeight="1" thickBot="1" x14ac:dyDescent="0.3">
      <c r="A19" s="129" t="s">
        <v>203</v>
      </c>
      <c r="B19" s="201">
        <v>1</v>
      </c>
      <c r="C19" s="258">
        <v>1</v>
      </c>
      <c r="D19" s="128">
        <f t="shared" si="0"/>
        <v>2</v>
      </c>
      <c r="E19" s="130" t="s">
        <v>203</v>
      </c>
      <c r="F19" s="203">
        <v>5</v>
      </c>
      <c r="G19" s="260">
        <v>5</v>
      </c>
      <c r="H19" s="93">
        <f t="shared" si="1"/>
        <v>10</v>
      </c>
      <c r="I19" s="129" t="s">
        <v>183</v>
      </c>
      <c r="J19" s="133" t="s">
        <v>34</v>
      </c>
      <c r="K19" s="133" t="s">
        <v>34</v>
      </c>
      <c r="L19" s="134" t="s">
        <v>34</v>
      </c>
      <c r="M19" s="7" t="s">
        <v>34</v>
      </c>
      <c r="N19" s="7" t="s">
        <v>34</v>
      </c>
      <c r="O19" s="232" t="s">
        <v>34</v>
      </c>
      <c r="P19" s="7">
        <v>20</v>
      </c>
      <c r="Q19" s="7">
        <v>27</v>
      </c>
      <c r="R19" s="232">
        <f t="shared" ref="R19:R22" si="19">SUM(P19/Q19)*100</f>
        <v>74.074074074074076</v>
      </c>
      <c r="S19" s="221">
        <v>8</v>
      </c>
      <c r="T19" s="7">
        <v>9</v>
      </c>
      <c r="U19" s="232">
        <f t="shared" si="18"/>
        <v>88.888888888888886</v>
      </c>
      <c r="V19" s="354"/>
      <c r="W19" s="354"/>
      <c r="X19" s="354"/>
      <c r="Y19" s="354"/>
      <c r="Z19" s="354"/>
      <c r="AA19" s="221" t="s">
        <v>34</v>
      </c>
      <c r="AB19" s="7" t="s">
        <v>34</v>
      </c>
      <c r="AC19" s="7" t="s">
        <v>34</v>
      </c>
      <c r="AD19" s="221" t="s">
        <v>34</v>
      </c>
      <c r="AE19" s="7" t="s">
        <v>34</v>
      </c>
      <c r="AF19" s="7" t="s">
        <v>34</v>
      </c>
      <c r="AG19" s="6" t="s">
        <v>34</v>
      </c>
      <c r="AH19" s="7" t="s">
        <v>34</v>
      </c>
      <c r="AI19" s="7" t="s">
        <v>34</v>
      </c>
      <c r="AJ19" s="221" t="s">
        <v>34</v>
      </c>
      <c r="AK19" s="7" t="s">
        <v>34</v>
      </c>
      <c r="AL19" s="7" t="s">
        <v>34</v>
      </c>
      <c r="AM19" s="99"/>
      <c r="AN19" s="99"/>
    </row>
    <row r="20" spans="1:41" ht="15" customHeight="1" thickBot="1" x14ac:dyDescent="0.3">
      <c r="A20" s="129" t="s">
        <v>184</v>
      </c>
      <c r="B20" s="201">
        <v>0</v>
      </c>
      <c r="C20" s="258">
        <v>0</v>
      </c>
      <c r="D20" s="128">
        <f t="shared" si="0"/>
        <v>0</v>
      </c>
      <c r="E20" s="130" t="s">
        <v>184</v>
      </c>
      <c r="F20" s="203">
        <v>0</v>
      </c>
      <c r="G20" s="260">
        <v>0</v>
      </c>
      <c r="H20" s="93">
        <f t="shared" si="1"/>
        <v>0</v>
      </c>
      <c r="I20" s="129" t="s">
        <v>541</v>
      </c>
      <c r="J20" s="133">
        <v>2</v>
      </c>
      <c r="K20" s="133">
        <v>3</v>
      </c>
      <c r="L20" s="134">
        <f t="shared" ref="L20" si="20">SUM(J20/K20)*100</f>
        <v>66.666666666666657</v>
      </c>
      <c r="M20" s="7">
        <v>2</v>
      </c>
      <c r="N20" s="7">
        <v>4</v>
      </c>
      <c r="O20" s="232">
        <v>50</v>
      </c>
      <c r="P20" s="7">
        <v>2</v>
      </c>
      <c r="Q20" s="7">
        <v>2</v>
      </c>
      <c r="R20" s="232">
        <f t="shared" si="19"/>
        <v>100</v>
      </c>
      <c r="S20" s="221" t="s">
        <v>34</v>
      </c>
      <c r="T20" s="7" t="s">
        <v>34</v>
      </c>
      <c r="U20" s="7" t="s">
        <v>34</v>
      </c>
      <c r="V20" s="354"/>
      <c r="W20" s="354"/>
      <c r="X20" s="354"/>
      <c r="Y20" s="354"/>
      <c r="Z20" s="354"/>
      <c r="AA20" s="221" t="s">
        <v>34</v>
      </c>
      <c r="AB20" s="7" t="s">
        <v>34</v>
      </c>
      <c r="AC20" s="7" t="s">
        <v>34</v>
      </c>
      <c r="AD20" s="6" t="s">
        <v>34</v>
      </c>
      <c r="AE20" s="7" t="s">
        <v>34</v>
      </c>
      <c r="AF20" s="7" t="s">
        <v>34</v>
      </c>
      <c r="AG20" s="6" t="s">
        <v>34</v>
      </c>
      <c r="AH20" s="7" t="s">
        <v>34</v>
      </c>
      <c r="AI20" s="7" t="s">
        <v>34</v>
      </c>
      <c r="AJ20" s="7" t="s">
        <v>34</v>
      </c>
      <c r="AK20" s="7" t="s">
        <v>34</v>
      </c>
      <c r="AL20" s="7" t="s">
        <v>34</v>
      </c>
      <c r="AM20" s="99"/>
      <c r="AN20" s="99"/>
    </row>
    <row r="21" spans="1:41" ht="15" customHeight="1" thickBot="1" x14ac:dyDescent="0.3">
      <c r="A21" s="129" t="s">
        <v>148</v>
      </c>
      <c r="B21" s="201">
        <v>4</v>
      </c>
      <c r="C21" s="258">
        <v>0</v>
      </c>
      <c r="D21" s="128">
        <f t="shared" si="0"/>
        <v>4</v>
      </c>
      <c r="E21" s="130" t="s">
        <v>148</v>
      </c>
      <c r="F21" s="203">
        <v>20</v>
      </c>
      <c r="G21" s="260">
        <v>0</v>
      </c>
      <c r="H21" s="93">
        <f t="shared" si="1"/>
        <v>20</v>
      </c>
      <c r="I21" s="129" t="s">
        <v>7</v>
      </c>
      <c r="J21" s="133" t="s">
        <v>34</v>
      </c>
      <c r="K21" s="133" t="s">
        <v>34</v>
      </c>
      <c r="L21" s="134" t="s">
        <v>34</v>
      </c>
      <c r="M21" s="7">
        <v>2</v>
      </c>
      <c r="N21" s="7">
        <v>2</v>
      </c>
      <c r="O21" s="232">
        <v>50</v>
      </c>
      <c r="P21" s="7" t="s">
        <v>34</v>
      </c>
      <c r="Q21" s="7" t="s">
        <v>34</v>
      </c>
      <c r="R21" s="7" t="s">
        <v>34</v>
      </c>
      <c r="S21" s="221" t="s">
        <v>34</v>
      </c>
      <c r="T21" s="7" t="s">
        <v>34</v>
      </c>
      <c r="U21" s="7" t="s">
        <v>34</v>
      </c>
      <c r="V21" s="354"/>
      <c r="W21" s="354"/>
      <c r="X21" s="354"/>
      <c r="Y21" s="354"/>
      <c r="Z21" s="354"/>
      <c r="AA21" s="221" t="s">
        <v>34</v>
      </c>
      <c r="AB21" s="7" t="s">
        <v>34</v>
      </c>
      <c r="AC21" s="7" t="s">
        <v>34</v>
      </c>
      <c r="AD21" s="6" t="s">
        <v>34</v>
      </c>
      <c r="AE21" s="7" t="s">
        <v>34</v>
      </c>
      <c r="AF21" s="7" t="s">
        <v>34</v>
      </c>
      <c r="AG21" s="6" t="s">
        <v>34</v>
      </c>
      <c r="AH21" s="7" t="s">
        <v>34</v>
      </c>
      <c r="AI21" s="7" t="s">
        <v>34</v>
      </c>
      <c r="AJ21" s="7" t="s">
        <v>34</v>
      </c>
      <c r="AK21" s="7" t="s">
        <v>34</v>
      </c>
      <c r="AL21" s="7" t="s">
        <v>34</v>
      </c>
      <c r="AM21" s="99"/>
      <c r="AN21" s="99"/>
      <c r="AO21" s="289"/>
    </row>
    <row r="22" spans="1:41" ht="15" customHeight="1" thickBot="1" x14ac:dyDescent="0.3">
      <c r="A22" s="129" t="s">
        <v>139</v>
      </c>
      <c r="B22" s="201">
        <v>2</v>
      </c>
      <c r="C22" s="258">
        <v>1</v>
      </c>
      <c r="D22" s="128">
        <f t="shared" si="0"/>
        <v>3</v>
      </c>
      <c r="E22" s="130" t="s">
        <v>139</v>
      </c>
      <c r="F22" s="203">
        <v>188</v>
      </c>
      <c r="G22" s="260">
        <v>47</v>
      </c>
      <c r="H22" s="93">
        <f t="shared" si="1"/>
        <v>235</v>
      </c>
      <c r="I22" s="129" t="s">
        <v>182</v>
      </c>
      <c r="J22" s="133" t="s">
        <v>34</v>
      </c>
      <c r="K22" s="133" t="s">
        <v>34</v>
      </c>
      <c r="L22" s="134" t="s">
        <v>34</v>
      </c>
      <c r="M22" s="7" t="s">
        <v>34</v>
      </c>
      <c r="N22" s="7" t="s">
        <v>34</v>
      </c>
      <c r="O22" s="232" t="s">
        <v>34</v>
      </c>
      <c r="P22" s="7">
        <v>7</v>
      </c>
      <c r="Q22" s="7">
        <v>10</v>
      </c>
      <c r="R22" s="232">
        <f t="shared" si="19"/>
        <v>70</v>
      </c>
      <c r="S22" s="221">
        <v>4</v>
      </c>
      <c r="T22" s="7">
        <v>6</v>
      </c>
      <c r="U22" s="232">
        <f t="shared" si="18"/>
        <v>66.666666666666657</v>
      </c>
      <c r="V22" s="354"/>
      <c r="W22" s="354"/>
      <c r="X22" s="354"/>
      <c r="Y22" s="354"/>
      <c r="Z22" s="354"/>
      <c r="AA22" s="221" t="s">
        <v>34</v>
      </c>
      <c r="AB22" s="7" t="s">
        <v>34</v>
      </c>
      <c r="AC22" s="7" t="s">
        <v>34</v>
      </c>
      <c r="AD22" s="221" t="s">
        <v>34</v>
      </c>
      <c r="AE22" s="7" t="s">
        <v>34</v>
      </c>
      <c r="AF22" s="7" t="s">
        <v>34</v>
      </c>
      <c r="AG22" s="6" t="s">
        <v>34</v>
      </c>
      <c r="AH22" s="7" t="s">
        <v>34</v>
      </c>
      <c r="AI22" s="7" t="s">
        <v>34</v>
      </c>
      <c r="AJ22" s="221" t="s">
        <v>34</v>
      </c>
      <c r="AK22" s="7" t="s">
        <v>34</v>
      </c>
      <c r="AL22" s="7" t="s">
        <v>34</v>
      </c>
      <c r="AM22" s="99"/>
      <c r="AN22" s="99"/>
    </row>
    <row r="23" spans="1:41" ht="15" customHeight="1" thickBot="1" x14ac:dyDescent="0.3">
      <c r="A23" s="129" t="s">
        <v>67</v>
      </c>
      <c r="B23" s="201">
        <v>9</v>
      </c>
      <c r="C23" s="258">
        <v>1</v>
      </c>
      <c r="D23" s="128">
        <f t="shared" si="0"/>
        <v>10</v>
      </c>
      <c r="E23" s="130" t="s">
        <v>67</v>
      </c>
      <c r="F23" s="203">
        <v>45</v>
      </c>
      <c r="G23" s="260">
        <v>5</v>
      </c>
      <c r="H23" s="93">
        <f t="shared" si="1"/>
        <v>50</v>
      </c>
      <c r="V23" s="354"/>
      <c r="W23" s="354"/>
      <c r="X23" s="354"/>
      <c r="Y23" s="354"/>
      <c r="Z23" s="354"/>
      <c r="AA23" s="307"/>
      <c r="AB23" s="307"/>
      <c r="AC23" s="307"/>
      <c r="AD23" s="100" t="s">
        <v>51</v>
      </c>
      <c r="AE23" s="100" t="s">
        <v>51</v>
      </c>
    </row>
    <row r="24" spans="1:41" ht="15" customHeight="1" thickBot="1" x14ac:dyDescent="0.3">
      <c r="A24" s="129" t="s">
        <v>565</v>
      </c>
      <c r="B24" s="201">
        <v>0</v>
      </c>
      <c r="C24" s="258">
        <v>0</v>
      </c>
      <c r="D24" s="128">
        <f t="shared" si="0"/>
        <v>0</v>
      </c>
      <c r="E24" s="130" t="s">
        <v>565</v>
      </c>
      <c r="F24" s="203">
        <v>0</v>
      </c>
      <c r="G24" s="260">
        <v>0</v>
      </c>
      <c r="H24" s="93">
        <f t="shared" si="1"/>
        <v>0</v>
      </c>
      <c r="I24" s="515" t="s">
        <v>218</v>
      </c>
      <c r="J24" s="543" t="s">
        <v>836</v>
      </c>
      <c r="K24" s="549"/>
      <c r="L24" s="550"/>
      <c r="M24" s="519" t="s">
        <v>816</v>
      </c>
      <c r="N24" s="520"/>
      <c r="O24" s="521"/>
      <c r="P24" s="519" t="s">
        <v>574</v>
      </c>
      <c r="Q24" s="520"/>
      <c r="R24" s="521"/>
      <c r="S24" s="519" t="s">
        <v>217</v>
      </c>
      <c r="T24" s="520"/>
      <c r="U24" s="521"/>
      <c r="V24" s="354"/>
      <c r="W24" s="354"/>
      <c r="X24" s="354"/>
      <c r="Y24" s="354"/>
      <c r="Z24" s="354"/>
      <c r="AA24" s="519" t="s">
        <v>137</v>
      </c>
      <c r="AB24" s="520"/>
      <c r="AC24" s="521"/>
      <c r="AD24" s="519" t="s">
        <v>101</v>
      </c>
      <c r="AE24" s="520"/>
      <c r="AF24" s="521"/>
    </row>
    <row r="25" spans="1:41" ht="15" customHeight="1" thickBot="1" x14ac:dyDescent="0.3">
      <c r="A25" s="129" t="s">
        <v>119</v>
      </c>
      <c r="B25" s="201">
        <v>2</v>
      </c>
      <c r="C25" s="258">
        <v>0</v>
      </c>
      <c r="D25" s="128">
        <f t="shared" si="0"/>
        <v>2</v>
      </c>
      <c r="E25" s="130" t="s">
        <v>119</v>
      </c>
      <c r="F25" s="203">
        <v>10</v>
      </c>
      <c r="G25" s="260">
        <v>0</v>
      </c>
      <c r="H25" s="93">
        <f t="shared" si="1"/>
        <v>10</v>
      </c>
      <c r="I25" s="516"/>
      <c r="J25" s="551"/>
      <c r="K25" s="552"/>
      <c r="L25" s="553"/>
      <c r="M25" s="522"/>
      <c r="N25" s="523"/>
      <c r="O25" s="524"/>
      <c r="P25" s="522"/>
      <c r="Q25" s="523"/>
      <c r="R25" s="524"/>
      <c r="S25" s="522"/>
      <c r="T25" s="523"/>
      <c r="U25" s="524"/>
      <c r="V25" s="354"/>
      <c r="W25" s="354"/>
      <c r="X25" s="354"/>
      <c r="Y25" s="354"/>
      <c r="Z25" s="354"/>
      <c r="AA25" s="522"/>
      <c r="AB25" s="523"/>
      <c r="AC25" s="524"/>
      <c r="AD25" s="522"/>
      <c r="AE25" s="523"/>
      <c r="AF25" s="524"/>
    </row>
    <row r="26" spans="1:41" ht="15" customHeight="1" thickBot="1" x14ac:dyDescent="0.3">
      <c r="A26" s="129" t="s">
        <v>672</v>
      </c>
      <c r="B26" s="201">
        <v>1</v>
      </c>
      <c r="C26" s="258">
        <v>0</v>
      </c>
      <c r="D26" s="128">
        <f t="shared" si="0"/>
        <v>1</v>
      </c>
      <c r="E26" s="130" t="s">
        <v>672</v>
      </c>
      <c r="F26" s="203">
        <v>5</v>
      </c>
      <c r="G26" s="260">
        <v>0</v>
      </c>
      <c r="H26" s="93">
        <f t="shared" si="1"/>
        <v>5</v>
      </c>
      <c r="I26" s="33" t="s">
        <v>51</v>
      </c>
      <c r="J26" s="7" t="s">
        <v>129</v>
      </c>
      <c r="K26" s="7" t="s">
        <v>27</v>
      </c>
      <c r="L26" s="7" t="s">
        <v>28</v>
      </c>
      <c r="M26" s="98" t="s">
        <v>129</v>
      </c>
      <c r="N26" s="98" t="s">
        <v>27</v>
      </c>
      <c r="O26" s="98" t="s">
        <v>28</v>
      </c>
      <c r="P26" s="98" t="s">
        <v>129</v>
      </c>
      <c r="Q26" s="98" t="s">
        <v>27</v>
      </c>
      <c r="R26" s="98" t="s">
        <v>28</v>
      </c>
      <c r="S26" s="103" t="s">
        <v>129</v>
      </c>
      <c r="T26" s="98" t="s">
        <v>27</v>
      </c>
      <c r="U26" s="98" t="s">
        <v>28</v>
      </c>
      <c r="V26" s="354"/>
      <c r="W26" s="354"/>
      <c r="X26" s="354"/>
      <c r="Y26" s="354"/>
      <c r="Z26" s="354"/>
      <c r="AA26" s="103" t="s">
        <v>129</v>
      </c>
      <c r="AB26" s="98" t="s">
        <v>27</v>
      </c>
      <c r="AC26" s="98" t="s">
        <v>28</v>
      </c>
      <c r="AD26" s="103" t="s">
        <v>129</v>
      </c>
      <c r="AE26" s="98" t="s">
        <v>27</v>
      </c>
      <c r="AF26" s="98" t="s">
        <v>28</v>
      </c>
    </row>
    <row r="27" spans="1:41" ht="15" customHeight="1" thickBot="1" x14ac:dyDescent="0.3">
      <c r="A27" s="129" t="s">
        <v>6</v>
      </c>
      <c r="B27" s="201">
        <v>0</v>
      </c>
      <c r="C27" s="258">
        <v>0</v>
      </c>
      <c r="D27" s="128">
        <f t="shared" si="0"/>
        <v>0</v>
      </c>
      <c r="E27" s="130" t="s">
        <v>6</v>
      </c>
      <c r="F27" s="203">
        <v>0</v>
      </c>
      <c r="G27" s="260">
        <v>0</v>
      </c>
      <c r="H27" s="93">
        <f t="shared" si="1"/>
        <v>0</v>
      </c>
      <c r="I27" s="135" t="s">
        <v>183</v>
      </c>
      <c r="J27" s="7" t="s">
        <v>34</v>
      </c>
      <c r="K27" s="7" t="s">
        <v>34</v>
      </c>
      <c r="L27" s="7" t="s">
        <v>34</v>
      </c>
      <c r="M27" s="7" t="s">
        <v>34</v>
      </c>
      <c r="N27" s="7" t="s">
        <v>34</v>
      </c>
      <c r="O27" s="7" t="s">
        <v>34</v>
      </c>
      <c r="P27" s="7">
        <v>1</v>
      </c>
      <c r="Q27" s="7">
        <v>1</v>
      </c>
      <c r="R27" s="232">
        <f t="shared" ref="R27" si="21">SUM(P27/Q27)*100</f>
        <v>100</v>
      </c>
      <c r="S27" s="221" t="s">
        <v>34</v>
      </c>
      <c r="T27" s="7" t="s">
        <v>34</v>
      </c>
      <c r="U27" s="7" t="s">
        <v>34</v>
      </c>
      <c r="V27" s="354"/>
      <c r="W27" s="354"/>
      <c r="X27" s="354"/>
      <c r="Y27" s="354"/>
      <c r="Z27" s="354"/>
      <c r="AA27" s="221" t="s">
        <v>34</v>
      </c>
      <c r="AB27" s="7" t="s">
        <v>34</v>
      </c>
      <c r="AC27" s="7" t="s">
        <v>34</v>
      </c>
      <c r="AD27" s="221" t="s">
        <v>34</v>
      </c>
      <c r="AE27" s="7" t="s">
        <v>34</v>
      </c>
      <c r="AF27" s="7" t="s">
        <v>34</v>
      </c>
    </row>
    <row r="28" spans="1:41" ht="15" customHeight="1" thickBot="1" x14ac:dyDescent="0.3">
      <c r="A28" s="129" t="s">
        <v>140</v>
      </c>
      <c r="B28" s="201">
        <v>0</v>
      </c>
      <c r="C28" s="258">
        <v>1</v>
      </c>
      <c r="D28" s="128">
        <f t="shared" si="0"/>
        <v>1</v>
      </c>
      <c r="E28" s="130" t="s">
        <v>140</v>
      </c>
      <c r="F28" s="203">
        <v>0</v>
      </c>
      <c r="G28" s="260">
        <v>5</v>
      </c>
      <c r="H28" s="93">
        <f t="shared" si="1"/>
        <v>5</v>
      </c>
      <c r="I28" s="135" t="s">
        <v>300</v>
      </c>
      <c r="J28" s="7">
        <v>3</v>
      </c>
      <c r="K28" s="7">
        <v>5</v>
      </c>
      <c r="L28" s="232">
        <f>(J28/K28)*100</f>
        <v>60</v>
      </c>
      <c r="M28" s="7" t="s">
        <v>34</v>
      </c>
      <c r="N28" s="7" t="s">
        <v>34</v>
      </c>
      <c r="O28" s="7" t="s">
        <v>34</v>
      </c>
      <c r="P28" s="7"/>
      <c r="Q28" s="7"/>
      <c r="R28" s="232"/>
      <c r="S28" s="221" t="s">
        <v>34</v>
      </c>
      <c r="T28" s="7" t="s">
        <v>34</v>
      </c>
      <c r="U28" s="7" t="s">
        <v>34</v>
      </c>
      <c r="V28" s="354"/>
      <c r="W28" s="354"/>
      <c r="X28" s="354"/>
      <c r="Y28" s="354"/>
      <c r="Z28" s="354"/>
      <c r="AA28" s="221" t="s">
        <v>34</v>
      </c>
      <c r="AB28" s="7" t="s">
        <v>34</v>
      </c>
      <c r="AC28" s="7" t="s">
        <v>34</v>
      </c>
      <c r="AD28" s="221" t="s">
        <v>34</v>
      </c>
      <c r="AE28" s="7" t="s">
        <v>34</v>
      </c>
      <c r="AF28" s="7" t="s">
        <v>34</v>
      </c>
    </row>
    <row r="29" spans="1:41" ht="15" customHeight="1" thickBot="1" x14ac:dyDescent="0.3">
      <c r="A29" s="129" t="s">
        <v>571</v>
      </c>
      <c r="B29" s="201">
        <v>0</v>
      </c>
      <c r="C29" s="258">
        <v>0</v>
      </c>
      <c r="D29" s="128">
        <f t="shared" si="0"/>
        <v>0</v>
      </c>
      <c r="E29" s="130" t="s">
        <v>571</v>
      </c>
      <c r="F29" s="203">
        <v>0</v>
      </c>
      <c r="G29" s="260">
        <v>0</v>
      </c>
      <c r="H29" s="93">
        <f t="shared" si="1"/>
        <v>0</v>
      </c>
      <c r="I29" s="135" t="s">
        <v>182</v>
      </c>
      <c r="J29" s="7" t="s">
        <v>34</v>
      </c>
      <c r="K29" s="7" t="s">
        <v>34</v>
      </c>
      <c r="L29" s="232" t="s">
        <v>34</v>
      </c>
      <c r="M29" s="7">
        <v>3</v>
      </c>
      <c r="N29" s="7">
        <v>4</v>
      </c>
      <c r="O29" s="232">
        <f t="shared" ref="O29:O30" si="22">SUM(M29/N29)*100</f>
        <v>75</v>
      </c>
      <c r="P29" s="7">
        <v>5</v>
      </c>
      <c r="Q29" s="7">
        <v>7</v>
      </c>
      <c r="R29" s="232">
        <f t="shared" ref="R29:R33" si="23">SUM(P29/Q29)*100</f>
        <v>71.428571428571431</v>
      </c>
      <c r="S29" s="221" t="s">
        <v>34</v>
      </c>
      <c r="T29" s="7" t="s">
        <v>34</v>
      </c>
      <c r="U29" s="7" t="s">
        <v>34</v>
      </c>
      <c r="V29" s="354"/>
      <c r="W29" s="354"/>
      <c r="X29" s="354"/>
      <c r="Y29" s="354"/>
      <c r="Z29" s="354"/>
      <c r="AA29" s="221" t="s">
        <v>34</v>
      </c>
      <c r="AB29" s="7" t="s">
        <v>34</v>
      </c>
      <c r="AC29" s="7" t="s">
        <v>34</v>
      </c>
      <c r="AD29" s="6" t="s">
        <v>34</v>
      </c>
      <c r="AE29" s="7" t="s">
        <v>34</v>
      </c>
      <c r="AF29" s="7" t="s">
        <v>34</v>
      </c>
    </row>
    <row r="30" spans="1:41" ht="15" customHeight="1" thickBot="1" x14ac:dyDescent="0.3">
      <c r="A30" s="129" t="s">
        <v>1081</v>
      </c>
      <c r="B30" s="201">
        <v>0</v>
      </c>
      <c r="C30" s="258">
        <v>1</v>
      </c>
      <c r="D30" s="128">
        <f t="shared" si="0"/>
        <v>1</v>
      </c>
      <c r="E30" s="130" t="s">
        <v>1081</v>
      </c>
      <c r="F30" s="203">
        <v>0</v>
      </c>
      <c r="G30" s="260">
        <v>5</v>
      </c>
      <c r="H30" s="93">
        <f t="shared" si="1"/>
        <v>5</v>
      </c>
      <c r="I30" s="135" t="s">
        <v>541</v>
      </c>
      <c r="J30" s="7">
        <v>19</v>
      </c>
      <c r="K30" s="7">
        <v>25</v>
      </c>
      <c r="L30" s="232">
        <f>(J30/K30)*100</f>
        <v>76</v>
      </c>
      <c r="M30" s="7">
        <v>2</v>
      </c>
      <c r="N30" s="7">
        <v>4</v>
      </c>
      <c r="O30" s="232">
        <f t="shared" si="22"/>
        <v>50</v>
      </c>
      <c r="P30" s="7" t="s">
        <v>34</v>
      </c>
      <c r="Q30" s="7" t="s">
        <v>34</v>
      </c>
      <c r="R30" s="7" t="s">
        <v>34</v>
      </c>
      <c r="S30" s="221" t="s">
        <v>34</v>
      </c>
      <c r="T30" s="7" t="s">
        <v>34</v>
      </c>
      <c r="U30" s="7" t="s">
        <v>34</v>
      </c>
      <c r="V30" s="354"/>
      <c r="W30" s="354"/>
      <c r="X30" s="354"/>
      <c r="Y30" s="354"/>
      <c r="Z30" s="354"/>
      <c r="AA30" s="6" t="s">
        <v>34</v>
      </c>
      <c r="AB30" s="7" t="s">
        <v>34</v>
      </c>
      <c r="AC30" s="7" t="s">
        <v>34</v>
      </c>
      <c r="AD30" s="221" t="s">
        <v>34</v>
      </c>
      <c r="AE30" s="7" t="s">
        <v>34</v>
      </c>
      <c r="AF30" s="7" t="s">
        <v>34</v>
      </c>
    </row>
    <row r="31" spans="1:41" ht="15" customHeight="1" thickBot="1" x14ac:dyDescent="0.3">
      <c r="A31" s="129" t="s">
        <v>210</v>
      </c>
      <c r="B31" s="201">
        <v>4</v>
      </c>
      <c r="C31" s="258">
        <v>0</v>
      </c>
      <c r="D31" s="128">
        <f t="shared" si="0"/>
        <v>4</v>
      </c>
      <c r="E31" s="130" t="s">
        <v>210</v>
      </c>
      <c r="F31" s="203">
        <v>20</v>
      </c>
      <c r="G31" s="260">
        <v>0</v>
      </c>
      <c r="H31" s="93">
        <f t="shared" si="1"/>
        <v>20</v>
      </c>
      <c r="I31" s="135" t="s">
        <v>525</v>
      </c>
      <c r="J31" s="7" t="s">
        <v>34</v>
      </c>
      <c r="K31" s="7" t="s">
        <v>34</v>
      </c>
      <c r="L31" s="232" t="s">
        <v>34</v>
      </c>
      <c r="M31" s="7">
        <v>1</v>
      </c>
      <c r="N31" s="7">
        <v>2</v>
      </c>
      <c r="O31" s="232">
        <f t="shared" ref="O31" si="24">SUM(M31/N31)*100</f>
        <v>50</v>
      </c>
      <c r="P31" s="7" t="s">
        <v>34</v>
      </c>
      <c r="Q31" s="7" t="s">
        <v>34</v>
      </c>
      <c r="R31" s="7" t="s">
        <v>34</v>
      </c>
      <c r="S31" s="221" t="s">
        <v>34</v>
      </c>
      <c r="T31" s="7" t="s">
        <v>34</v>
      </c>
      <c r="U31" s="7" t="s">
        <v>34</v>
      </c>
      <c r="V31" s="354"/>
      <c r="W31" s="354"/>
      <c r="X31" s="354"/>
      <c r="Y31" s="354"/>
      <c r="Z31" s="354"/>
      <c r="AA31" s="6" t="s">
        <v>34</v>
      </c>
      <c r="AB31" s="7" t="s">
        <v>34</v>
      </c>
      <c r="AC31" s="7" t="s">
        <v>34</v>
      </c>
      <c r="AD31" s="221" t="s">
        <v>34</v>
      </c>
      <c r="AE31" s="7" t="s">
        <v>34</v>
      </c>
      <c r="AF31" s="7" t="s">
        <v>34</v>
      </c>
    </row>
    <row r="32" spans="1:41" ht="15" customHeight="1" thickBot="1" x14ac:dyDescent="0.3">
      <c r="A32" s="129" t="s">
        <v>1058</v>
      </c>
      <c r="B32" s="201">
        <v>2</v>
      </c>
      <c r="C32" s="258">
        <v>0</v>
      </c>
      <c r="D32" s="128">
        <f>SUM(B32:C32)</f>
        <v>2</v>
      </c>
      <c r="E32" s="130" t="s">
        <v>1058</v>
      </c>
      <c r="F32" s="203">
        <v>10</v>
      </c>
      <c r="G32" s="260">
        <v>0</v>
      </c>
      <c r="H32" s="93">
        <f>SUM(F32:G32)</f>
        <v>10</v>
      </c>
      <c r="I32" s="135" t="s">
        <v>7</v>
      </c>
      <c r="J32" s="7">
        <v>2</v>
      </c>
      <c r="K32" s="7">
        <v>2</v>
      </c>
      <c r="L32" s="232">
        <f>(J32/K32)*100</f>
        <v>100</v>
      </c>
      <c r="M32" s="7"/>
      <c r="N32" s="7"/>
      <c r="O32" s="232"/>
      <c r="P32" s="7" t="s">
        <v>34</v>
      </c>
      <c r="Q32" s="7" t="s">
        <v>34</v>
      </c>
      <c r="R32" s="7" t="s">
        <v>34</v>
      </c>
      <c r="S32" s="221" t="s">
        <v>34</v>
      </c>
      <c r="T32" s="7" t="s">
        <v>34</v>
      </c>
      <c r="U32" s="7" t="s">
        <v>34</v>
      </c>
      <c r="V32" s="354"/>
      <c r="W32" s="354"/>
      <c r="X32" s="354"/>
      <c r="Y32" s="354"/>
      <c r="Z32" s="354"/>
      <c r="AA32" s="6" t="s">
        <v>34</v>
      </c>
      <c r="AB32" s="7" t="s">
        <v>34</v>
      </c>
      <c r="AC32" s="7" t="s">
        <v>34</v>
      </c>
      <c r="AD32" s="6" t="s">
        <v>34</v>
      </c>
      <c r="AE32" s="7" t="s">
        <v>34</v>
      </c>
      <c r="AF32" s="7" t="s">
        <v>34</v>
      </c>
    </row>
    <row r="33" spans="1:32" ht="15" customHeight="1" thickBot="1" x14ac:dyDescent="0.3">
      <c r="A33" s="129" t="s">
        <v>631</v>
      </c>
      <c r="B33" s="201">
        <v>0</v>
      </c>
      <c r="C33" s="258">
        <v>0</v>
      </c>
      <c r="D33" s="128">
        <f t="shared" si="0"/>
        <v>0</v>
      </c>
      <c r="E33" s="130" t="s">
        <v>631</v>
      </c>
      <c r="F33" s="203">
        <v>0</v>
      </c>
      <c r="G33" s="260">
        <v>0</v>
      </c>
      <c r="H33" s="93">
        <f t="shared" si="1"/>
        <v>0</v>
      </c>
      <c r="I33" s="129" t="s">
        <v>139</v>
      </c>
      <c r="J33" s="7" t="s">
        <v>34</v>
      </c>
      <c r="K33" s="7" t="s">
        <v>34</v>
      </c>
      <c r="L33" s="7" t="s">
        <v>34</v>
      </c>
      <c r="M33" s="7" t="s">
        <v>34</v>
      </c>
      <c r="N33" s="7" t="s">
        <v>34</v>
      </c>
      <c r="O33" s="7" t="s">
        <v>34</v>
      </c>
      <c r="P33" s="7">
        <v>8</v>
      </c>
      <c r="Q33" s="7">
        <v>10</v>
      </c>
      <c r="R33" s="232">
        <f t="shared" si="23"/>
        <v>80</v>
      </c>
      <c r="S33" s="221" t="s">
        <v>34</v>
      </c>
      <c r="T33" s="7" t="s">
        <v>34</v>
      </c>
      <c r="U33" s="7" t="s">
        <v>34</v>
      </c>
      <c r="V33" s="354"/>
      <c r="W33" s="354"/>
      <c r="X33" s="354"/>
      <c r="Y33" s="354"/>
      <c r="Z33" s="354"/>
      <c r="AA33" s="221" t="s">
        <v>34</v>
      </c>
      <c r="AB33" s="7" t="s">
        <v>34</v>
      </c>
      <c r="AC33" s="7" t="s">
        <v>34</v>
      </c>
      <c r="AD33" s="221" t="s">
        <v>34</v>
      </c>
      <c r="AE33" s="7" t="s">
        <v>34</v>
      </c>
      <c r="AF33" s="7" t="s">
        <v>34</v>
      </c>
    </row>
    <row r="34" spans="1:32" ht="15" customHeight="1" thickBot="1" x14ac:dyDescent="0.3">
      <c r="A34" s="129" t="s">
        <v>185</v>
      </c>
      <c r="B34" s="201">
        <v>2</v>
      </c>
      <c r="C34" s="258">
        <v>0</v>
      </c>
      <c r="D34" s="128">
        <f t="shared" si="0"/>
        <v>2</v>
      </c>
      <c r="E34" s="130" t="s">
        <v>185</v>
      </c>
      <c r="F34" s="203">
        <v>10</v>
      </c>
      <c r="G34" s="260">
        <v>0</v>
      </c>
      <c r="H34" s="93">
        <f t="shared" si="1"/>
        <v>10</v>
      </c>
    </row>
    <row r="35" spans="1:32" ht="15" customHeight="1" thickBot="1" x14ac:dyDescent="0.3">
      <c r="A35" s="129" t="s">
        <v>160</v>
      </c>
      <c r="B35" s="201">
        <v>0</v>
      </c>
      <c r="C35" s="258">
        <v>1</v>
      </c>
      <c r="D35" s="128">
        <f t="shared" si="0"/>
        <v>1</v>
      </c>
      <c r="E35" s="130" t="s">
        <v>160</v>
      </c>
      <c r="F35" s="203">
        <v>0</v>
      </c>
      <c r="G35" s="260">
        <v>5</v>
      </c>
      <c r="H35" s="93">
        <f t="shared" si="1"/>
        <v>5</v>
      </c>
    </row>
    <row r="36" spans="1:32" ht="15" customHeight="1" thickBot="1" x14ac:dyDescent="0.3">
      <c r="A36" s="129" t="s">
        <v>952</v>
      </c>
      <c r="B36" s="201">
        <v>0</v>
      </c>
      <c r="C36" s="258">
        <v>0</v>
      </c>
      <c r="D36" s="128">
        <f t="shared" si="0"/>
        <v>0</v>
      </c>
      <c r="E36" s="130" t="s">
        <v>952</v>
      </c>
      <c r="F36" s="203">
        <v>0</v>
      </c>
      <c r="G36" s="260">
        <v>0</v>
      </c>
      <c r="H36" s="93">
        <f t="shared" si="1"/>
        <v>0</v>
      </c>
    </row>
    <row r="37" spans="1:32" ht="15" customHeight="1" thickBot="1" x14ac:dyDescent="0.3">
      <c r="A37" s="129" t="s">
        <v>520</v>
      </c>
      <c r="B37" s="201">
        <v>4</v>
      </c>
      <c r="C37" s="258">
        <v>1</v>
      </c>
      <c r="D37" s="128">
        <f t="shared" si="0"/>
        <v>5</v>
      </c>
      <c r="E37" s="130" t="s">
        <v>520</v>
      </c>
      <c r="F37" s="203">
        <v>20</v>
      </c>
      <c r="G37" s="260">
        <v>5</v>
      </c>
      <c r="H37" s="93">
        <f t="shared" si="1"/>
        <v>25</v>
      </c>
    </row>
    <row r="38" spans="1:32" ht="15" customHeight="1" thickBot="1" x14ac:dyDescent="0.3">
      <c r="A38" s="129" t="s">
        <v>639</v>
      </c>
      <c r="B38" s="201">
        <v>4</v>
      </c>
      <c r="C38" s="258">
        <v>2</v>
      </c>
      <c r="D38" s="128">
        <f t="shared" si="0"/>
        <v>6</v>
      </c>
      <c r="E38" s="130" t="s">
        <v>639</v>
      </c>
      <c r="F38" s="203">
        <v>20</v>
      </c>
      <c r="G38" s="260">
        <v>10</v>
      </c>
      <c r="H38" s="93">
        <f t="shared" si="1"/>
        <v>30</v>
      </c>
    </row>
    <row r="39" spans="1:32" ht="15" customHeight="1" thickBot="1" x14ac:dyDescent="0.3">
      <c r="A39" s="129" t="s">
        <v>953</v>
      </c>
      <c r="B39" s="201">
        <v>2</v>
      </c>
      <c r="C39" s="258">
        <v>0</v>
      </c>
      <c r="D39" s="128">
        <f t="shared" si="0"/>
        <v>2</v>
      </c>
      <c r="E39" s="130" t="s">
        <v>953</v>
      </c>
      <c r="F39" s="203">
        <v>10</v>
      </c>
      <c r="G39" s="260">
        <v>0</v>
      </c>
      <c r="H39" s="93">
        <f t="shared" si="1"/>
        <v>10</v>
      </c>
    </row>
    <row r="40" spans="1:32" ht="15" customHeight="1" thickBot="1" x14ac:dyDescent="0.3">
      <c r="A40" s="129" t="s">
        <v>525</v>
      </c>
      <c r="B40" s="201">
        <v>0</v>
      </c>
      <c r="C40" s="258">
        <v>0</v>
      </c>
      <c r="D40" s="128">
        <f t="shared" si="0"/>
        <v>0</v>
      </c>
      <c r="E40" s="130" t="s">
        <v>525</v>
      </c>
      <c r="F40" s="203">
        <v>4</v>
      </c>
      <c r="G40" s="260">
        <v>0</v>
      </c>
      <c r="H40" s="93">
        <f t="shared" si="1"/>
        <v>4</v>
      </c>
    </row>
    <row r="41" spans="1:32" ht="15" customHeight="1" thickBot="1" x14ac:dyDescent="0.3">
      <c r="A41" s="129" t="s">
        <v>7</v>
      </c>
      <c r="B41" s="201">
        <v>0</v>
      </c>
      <c r="C41" s="258">
        <v>0</v>
      </c>
      <c r="D41" s="128">
        <f t="shared" si="0"/>
        <v>0</v>
      </c>
      <c r="E41" s="130" t="s">
        <v>7</v>
      </c>
      <c r="F41" s="203">
        <v>0</v>
      </c>
      <c r="G41" s="260">
        <v>0</v>
      </c>
      <c r="H41" s="93">
        <f t="shared" si="1"/>
        <v>0</v>
      </c>
    </row>
    <row r="42" spans="1:32" ht="15" customHeight="1" thickBot="1" x14ac:dyDescent="0.3">
      <c r="A42" s="129" t="s">
        <v>9</v>
      </c>
      <c r="B42" s="201">
        <v>7</v>
      </c>
      <c r="C42" s="258">
        <v>2</v>
      </c>
      <c r="D42" s="128">
        <f t="shared" si="0"/>
        <v>9</v>
      </c>
      <c r="E42" s="130" t="s">
        <v>9</v>
      </c>
      <c r="F42" s="203">
        <v>35</v>
      </c>
      <c r="G42" s="260">
        <v>10</v>
      </c>
      <c r="H42" s="93">
        <f t="shared" si="1"/>
        <v>45</v>
      </c>
    </row>
    <row r="43" spans="1:32" ht="15" customHeight="1" thickBot="1" x14ac:dyDescent="0.3">
      <c r="A43" s="129" t="s">
        <v>3</v>
      </c>
      <c r="B43" s="201">
        <f>SUM(B3:B42)</f>
        <v>67</v>
      </c>
      <c r="C43" s="258">
        <f>SUM(C3:C42)</f>
        <v>12</v>
      </c>
      <c r="D43" s="128">
        <f>SUM(D3:D42)</f>
        <v>79</v>
      </c>
      <c r="E43" s="130" t="s">
        <v>3</v>
      </c>
      <c r="F43" s="203">
        <f>SUM(F3:F42)</f>
        <v>567</v>
      </c>
      <c r="G43" s="260">
        <f>SUM(G3:G42)</f>
        <v>107</v>
      </c>
      <c r="H43" s="93">
        <f>SUM(H3:H42)</f>
        <v>674</v>
      </c>
    </row>
    <row r="44" spans="1:32" x14ac:dyDescent="0.25">
      <c r="B44" s="182"/>
      <c r="C44" s="83"/>
      <c r="E44" s="131"/>
      <c r="F44" s="182"/>
      <c r="G44" s="83"/>
    </row>
    <row r="45" spans="1:32" ht="15.75" thickBot="1" x14ac:dyDescent="0.3">
      <c r="A45" t="s">
        <v>30</v>
      </c>
      <c r="B45" s="182"/>
      <c r="C45" s="83"/>
      <c r="E45" s="132"/>
      <c r="F45" s="184"/>
      <c r="G45" s="85"/>
      <c r="H45" s="39"/>
    </row>
    <row r="46" spans="1:32" ht="15.75" thickBot="1" x14ac:dyDescent="0.3">
      <c r="A46" s="143" t="s">
        <v>0</v>
      </c>
      <c r="B46" s="200" t="s">
        <v>815</v>
      </c>
      <c r="C46" s="257" t="s">
        <v>72</v>
      </c>
      <c r="D46" s="144" t="s">
        <v>1</v>
      </c>
      <c r="E46" s="145" t="s">
        <v>2</v>
      </c>
      <c r="F46" s="202" t="s">
        <v>815</v>
      </c>
      <c r="G46" s="259" t="s">
        <v>72</v>
      </c>
      <c r="H46" s="146" t="s">
        <v>1</v>
      </c>
    </row>
    <row r="47" spans="1:32" ht="15.75" thickBot="1" x14ac:dyDescent="0.3">
      <c r="A47" s="129" t="s">
        <v>67</v>
      </c>
      <c r="B47" s="201">
        <v>9</v>
      </c>
      <c r="C47" s="258">
        <v>1</v>
      </c>
      <c r="D47" s="128">
        <f t="shared" ref="D47:D86" si="25">SUM(B47:C47)</f>
        <v>10</v>
      </c>
      <c r="E47" s="130" t="s">
        <v>139</v>
      </c>
      <c r="F47" s="203">
        <v>188</v>
      </c>
      <c r="G47" s="260">
        <v>47</v>
      </c>
      <c r="H47" s="93">
        <f t="shared" ref="H47:H86" si="26">SUM(F47:G47)</f>
        <v>235</v>
      </c>
    </row>
    <row r="48" spans="1:32" ht="15.75" thickBot="1" x14ac:dyDescent="0.3">
      <c r="A48" s="129" t="s">
        <v>9</v>
      </c>
      <c r="B48" s="201">
        <v>7</v>
      </c>
      <c r="C48" s="258">
        <v>2</v>
      </c>
      <c r="D48" s="128">
        <f t="shared" si="25"/>
        <v>9</v>
      </c>
      <c r="E48" s="130" t="s">
        <v>541</v>
      </c>
      <c r="F48" s="203">
        <v>60</v>
      </c>
      <c r="G48" s="260">
        <v>5</v>
      </c>
      <c r="H48" s="93">
        <f t="shared" si="26"/>
        <v>65</v>
      </c>
    </row>
    <row r="49" spans="1:8" ht="15.75" thickBot="1" x14ac:dyDescent="0.3">
      <c r="A49" s="129" t="s">
        <v>639</v>
      </c>
      <c r="B49" s="201">
        <v>4</v>
      </c>
      <c r="C49" s="258">
        <v>2</v>
      </c>
      <c r="D49" s="128">
        <f t="shared" si="25"/>
        <v>6</v>
      </c>
      <c r="E49" s="130" t="s">
        <v>67</v>
      </c>
      <c r="F49" s="203">
        <v>45</v>
      </c>
      <c r="G49" s="260">
        <v>5</v>
      </c>
      <c r="H49" s="93">
        <f t="shared" si="26"/>
        <v>50</v>
      </c>
    </row>
    <row r="50" spans="1:8" ht="15.75" thickBot="1" x14ac:dyDescent="0.3">
      <c r="A50" s="129" t="s">
        <v>629</v>
      </c>
      <c r="B50" s="201">
        <v>5</v>
      </c>
      <c r="C50" s="258">
        <v>0</v>
      </c>
      <c r="D50" s="128">
        <f t="shared" si="25"/>
        <v>5</v>
      </c>
      <c r="E50" s="130" t="s">
        <v>9</v>
      </c>
      <c r="F50" s="203">
        <v>35</v>
      </c>
      <c r="G50" s="260">
        <v>10</v>
      </c>
      <c r="H50" s="93">
        <f t="shared" si="26"/>
        <v>45</v>
      </c>
    </row>
    <row r="51" spans="1:8" ht="15.75" thickBot="1" x14ac:dyDescent="0.3">
      <c r="A51" s="129" t="s">
        <v>520</v>
      </c>
      <c r="B51" s="201">
        <v>4</v>
      </c>
      <c r="C51" s="258">
        <v>1</v>
      </c>
      <c r="D51" s="128">
        <f t="shared" si="25"/>
        <v>5</v>
      </c>
      <c r="E51" s="130" t="s">
        <v>639</v>
      </c>
      <c r="F51" s="203">
        <v>20</v>
      </c>
      <c r="G51" s="260">
        <v>10</v>
      </c>
      <c r="H51" s="93">
        <f t="shared" si="26"/>
        <v>30</v>
      </c>
    </row>
    <row r="52" spans="1:8" ht="15.75" thickBot="1" x14ac:dyDescent="0.3">
      <c r="A52" s="129" t="s">
        <v>608</v>
      </c>
      <c r="B52" s="201">
        <v>4</v>
      </c>
      <c r="C52" s="258">
        <v>0</v>
      </c>
      <c r="D52" s="128">
        <f t="shared" si="25"/>
        <v>4</v>
      </c>
      <c r="E52" s="130" t="s">
        <v>629</v>
      </c>
      <c r="F52" s="203">
        <v>25</v>
      </c>
      <c r="G52" s="260">
        <v>0</v>
      </c>
      <c r="H52" s="93">
        <f t="shared" si="26"/>
        <v>25</v>
      </c>
    </row>
    <row r="53" spans="1:8" ht="15.75" thickBot="1" x14ac:dyDescent="0.3">
      <c r="A53" s="129" t="s">
        <v>148</v>
      </c>
      <c r="B53" s="201">
        <v>4</v>
      </c>
      <c r="C53" s="258">
        <v>0</v>
      </c>
      <c r="D53" s="128">
        <f t="shared" si="25"/>
        <v>4</v>
      </c>
      <c r="E53" s="130" t="s">
        <v>520</v>
      </c>
      <c r="F53" s="203">
        <v>20</v>
      </c>
      <c r="G53" s="260">
        <v>5</v>
      </c>
      <c r="H53" s="93">
        <f t="shared" si="26"/>
        <v>25</v>
      </c>
    </row>
    <row r="54" spans="1:8" ht="15.75" thickBot="1" x14ac:dyDescent="0.3">
      <c r="A54" s="129" t="s">
        <v>210</v>
      </c>
      <c r="B54" s="201">
        <v>4</v>
      </c>
      <c r="C54" s="258">
        <v>0</v>
      </c>
      <c r="D54" s="128">
        <f t="shared" si="25"/>
        <v>4</v>
      </c>
      <c r="E54" s="130" t="s">
        <v>608</v>
      </c>
      <c r="F54" s="203">
        <v>20</v>
      </c>
      <c r="G54" s="260">
        <v>0</v>
      </c>
      <c r="H54" s="93">
        <f t="shared" si="26"/>
        <v>20</v>
      </c>
    </row>
    <row r="55" spans="1:8" ht="15.75" thickBot="1" x14ac:dyDescent="0.3">
      <c r="A55" s="129" t="s">
        <v>93</v>
      </c>
      <c r="B55" s="201">
        <v>2</v>
      </c>
      <c r="C55" s="258">
        <v>1</v>
      </c>
      <c r="D55" s="128">
        <f t="shared" si="25"/>
        <v>3</v>
      </c>
      <c r="E55" s="130" t="s">
        <v>148</v>
      </c>
      <c r="F55" s="203">
        <v>20</v>
      </c>
      <c r="G55" s="260">
        <v>0</v>
      </c>
      <c r="H55" s="93">
        <f t="shared" si="26"/>
        <v>20</v>
      </c>
    </row>
    <row r="56" spans="1:8" ht="15.75" thickBot="1" x14ac:dyDescent="0.3">
      <c r="A56" s="129" t="s">
        <v>1065</v>
      </c>
      <c r="B56" s="201">
        <v>3</v>
      </c>
      <c r="C56" s="258">
        <v>0</v>
      </c>
      <c r="D56" s="128">
        <f t="shared" si="25"/>
        <v>3</v>
      </c>
      <c r="E56" s="130" t="s">
        <v>210</v>
      </c>
      <c r="F56" s="203">
        <v>20</v>
      </c>
      <c r="G56" s="260">
        <v>0</v>
      </c>
      <c r="H56" s="93">
        <f t="shared" si="26"/>
        <v>20</v>
      </c>
    </row>
    <row r="57" spans="1:8" ht="15.75" thickBot="1" x14ac:dyDescent="0.3">
      <c r="A57" s="129" t="s">
        <v>139</v>
      </c>
      <c r="B57" s="201">
        <v>2</v>
      </c>
      <c r="C57" s="258">
        <v>1</v>
      </c>
      <c r="D57" s="128">
        <f t="shared" si="25"/>
        <v>3</v>
      </c>
      <c r="E57" s="130" t="s">
        <v>93</v>
      </c>
      <c r="F57" s="203">
        <v>10</v>
      </c>
      <c r="G57" s="260">
        <v>5</v>
      </c>
      <c r="H57" s="93">
        <f t="shared" si="26"/>
        <v>15</v>
      </c>
    </row>
    <row r="58" spans="1:8" ht="15.75" thickBot="1" x14ac:dyDescent="0.3">
      <c r="A58" s="129" t="s">
        <v>183</v>
      </c>
      <c r="B58" s="201">
        <v>2</v>
      </c>
      <c r="C58" s="258">
        <v>0</v>
      </c>
      <c r="D58" s="128">
        <f t="shared" si="25"/>
        <v>2</v>
      </c>
      <c r="E58" s="130" t="s">
        <v>1065</v>
      </c>
      <c r="F58" s="203">
        <v>15</v>
      </c>
      <c r="G58" s="260">
        <v>0</v>
      </c>
      <c r="H58" s="93">
        <f t="shared" si="26"/>
        <v>15</v>
      </c>
    </row>
    <row r="59" spans="1:8" ht="15.75" thickBot="1" x14ac:dyDescent="0.3">
      <c r="A59" s="129" t="s">
        <v>551</v>
      </c>
      <c r="B59" s="201">
        <v>2</v>
      </c>
      <c r="C59" s="258">
        <v>0</v>
      </c>
      <c r="D59" s="128">
        <f t="shared" si="25"/>
        <v>2</v>
      </c>
      <c r="E59" s="130" t="s">
        <v>183</v>
      </c>
      <c r="F59" s="203">
        <v>10</v>
      </c>
      <c r="G59" s="260">
        <v>0</v>
      </c>
      <c r="H59" s="93">
        <f t="shared" si="26"/>
        <v>10</v>
      </c>
    </row>
    <row r="60" spans="1:8" ht="15.75" thickBot="1" x14ac:dyDescent="0.3">
      <c r="A60" s="129" t="s">
        <v>541</v>
      </c>
      <c r="B60" s="201">
        <v>2</v>
      </c>
      <c r="C60" s="258">
        <v>0</v>
      </c>
      <c r="D60" s="128">
        <f t="shared" si="25"/>
        <v>2</v>
      </c>
      <c r="E60" s="130" t="s">
        <v>551</v>
      </c>
      <c r="F60" s="203">
        <v>10</v>
      </c>
      <c r="G60" s="260">
        <v>0</v>
      </c>
      <c r="H60" s="93">
        <f t="shared" si="26"/>
        <v>10</v>
      </c>
    </row>
    <row r="61" spans="1:8" ht="15.75" thickBot="1" x14ac:dyDescent="0.3">
      <c r="A61" s="129" t="s">
        <v>203</v>
      </c>
      <c r="B61" s="201">
        <v>1</v>
      </c>
      <c r="C61" s="258">
        <v>1</v>
      </c>
      <c r="D61" s="128">
        <f t="shared" si="25"/>
        <v>2</v>
      </c>
      <c r="E61" s="130" t="s">
        <v>203</v>
      </c>
      <c r="F61" s="203">
        <v>5</v>
      </c>
      <c r="G61" s="260">
        <v>5</v>
      </c>
      <c r="H61" s="93">
        <f t="shared" si="26"/>
        <v>10</v>
      </c>
    </row>
    <row r="62" spans="1:8" ht="15.75" thickBot="1" x14ac:dyDescent="0.3">
      <c r="A62" s="129" t="s">
        <v>119</v>
      </c>
      <c r="B62" s="201">
        <v>2</v>
      </c>
      <c r="C62" s="258">
        <v>0</v>
      </c>
      <c r="D62" s="128">
        <f t="shared" si="25"/>
        <v>2</v>
      </c>
      <c r="E62" s="130" t="s">
        <v>119</v>
      </c>
      <c r="F62" s="203">
        <v>10</v>
      </c>
      <c r="G62" s="260">
        <v>0</v>
      </c>
      <c r="H62" s="93">
        <f t="shared" si="26"/>
        <v>10</v>
      </c>
    </row>
    <row r="63" spans="1:8" ht="15.75" thickBot="1" x14ac:dyDescent="0.3">
      <c r="A63" s="129" t="s">
        <v>1058</v>
      </c>
      <c r="B63" s="201">
        <v>2</v>
      </c>
      <c r="C63" s="258">
        <v>0</v>
      </c>
      <c r="D63" s="128">
        <f t="shared" si="25"/>
        <v>2</v>
      </c>
      <c r="E63" s="130" t="s">
        <v>1058</v>
      </c>
      <c r="F63" s="203">
        <v>10</v>
      </c>
      <c r="G63" s="260">
        <v>0</v>
      </c>
      <c r="H63" s="93">
        <f t="shared" si="26"/>
        <v>10</v>
      </c>
    </row>
    <row r="64" spans="1:8" ht="15.75" thickBot="1" x14ac:dyDescent="0.3">
      <c r="A64" s="129" t="s">
        <v>185</v>
      </c>
      <c r="B64" s="201">
        <v>2</v>
      </c>
      <c r="C64" s="258">
        <v>0</v>
      </c>
      <c r="D64" s="128">
        <f t="shared" si="25"/>
        <v>2</v>
      </c>
      <c r="E64" s="130" t="s">
        <v>185</v>
      </c>
      <c r="F64" s="203">
        <v>10</v>
      </c>
      <c r="G64" s="260">
        <v>0</v>
      </c>
      <c r="H64" s="93">
        <f t="shared" si="26"/>
        <v>10</v>
      </c>
    </row>
    <row r="65" spans="1:8" ht="15.75" thickBot="1" x14ac:dyDescent="0.3">
      <c r="A65" s="129" t="s">
        <v>953</v>
      </c>
      <c r="B65" s="201">
        <v>2</v>
      </c>
      <c r="C65" s="258">
        <v>0</v>
      </c>
      <c r="D65" s="128">
        <f t="shared" si="25"/>
        <v>2</v>
      </c>
      <c r="E65" s="130" t="s">
        <v>953</v>
      </c>
      <c r="F65" s="203">
        <v>10</v>
      </c>
      <c r="G65" s="260">
        <v>0</v>
      </c>
      <c r="H65" s="93">
        <f t="shared" si="26"/>
        <v>10</v>
      </c>
    </row>
    <row r="66" spans="1:8" ht="15.75" thickBot="1" x14ac:dyDescent="0.3">
      <c r="A66" s="129" t="s">
        <v>1098</v>
      </c>
      <c r="B66" s="201">
        <v>1</v>
      </c>
      <c r="C66" s="258">
        <v>0</v>
      </c>
      <c r="D66" s="128">
        <f t="shared" si="25"/>
        <v>1</v>
      </c>
      <c r="E66" s="130" t="s">
        <v>1098</v>
      </c>
      <c r="F66" s="203">
        <v>5</v>
      </c>
      <c r="G66" s="260">
        <v>0</v>
      </c>
      <c r="H66" s="93">
        <f t="shared" si="26"/>
        <v>5</v>
      </c>
    </row>
    <row r="67" spans="1:8" ht="15.75" thickBot="1" x14ac:dyDescent="0.3">
      <c r="A67" s="129" t="s">
        <v>1093</v>
      </c>
      <c r="B67" s="201">
        <v>1</v>
      </c>
      <c r="C67" s="258">
        <v>0</v>
      </c>
      <c r="D67" s="128">
        <f t="shared" si="25"/>
        <v>1</v>
      </c>
      <c r="E67" s="130" t="s">
        <v>1093</v>
      </c>
      <c r="F67" s="203">
        <v>5</v>
      </c>
      <c r="G67" s="260">
        <v>0</v>
      </c>
      <c r="H67" s="93">
        <f t="shared" si="26"/>
        <v>5</v>
      </c>
    </row>
    <row r="68" spans="1:8" ht="15.75" thickBot="1" x14ac:dyDescent="0.3">
      <c r="A68" s="129" t="s">
        <v>204</v>
      </c>
      <c r="B68" s="201">
        <v>1</v>
      </c>
      <c r="C68" s="258">
        <v>0</v>
      </c>
      <c r="D68" s="128">
        <f t="shared" si="25"/>
        <v>1</v>
      </c>
      <c r="E68" s="130" t="s">
        <v>205</v>
      </c>
      <c r="F68" s="203">
        <v>5</v>
      </c>
      <c r="G68" s="260">
        <v>0</v>
      </c>
      <c r="H68" s="93">
        <f t="shared" si="26"/>
        <v>5</v>
      </c>
    </row>
    <row r="69" spans="1:8" ht="15.75" thickBot="1" x14ac:dyDescent="0.3">
      <c r="A69" s="129" t="s">
        <v>672</v>
      </c>
      <c r="B69" s="201">
        <v>1</v>
      </c>
      <c r="C69" s="258">
        <v>0</v>
      </c>
      <c r="D69" s="128">
        <f t="shared" si="25"/>
        <v>1</v>
      </c>
      <c r="E69" s="130" t="s">
        <v>672</v>
      </c>
      <c r="F69" s="203">
        <v>5</v>
      </c>
      <c r="G69" s="260">
        <v>0</v>
      </c>
      <c r="H69" s="93">
        <f t="shared" si="26"/>
        <v>5</v>
      </c>
    </row>
    <row r="70" spans="1:8" ht="15.75" thickBot="1" x14ac:dyDescent="0.3">
      <c r="A70" s="129" t="s">
        <v>140</v>
      </c>
      <c r="B70" s="201">
        <v>0</v>
      </c>
      <c r="C70" s="258">
        <v>1</v>
      </c>
      <c r="D70" s="128">
        <f t="shared" si="25"/>
        <v>1</v>
      </c>
      <c r="E70" s="130" t="s">
        <v>140</v>
      </c>
      <c r="F70" s="203">
        <v>0</v>
      </c>
      <c r="G70" s="260">
        <v>5</v>
      </c>
      <c r="H70" s="93">
        <f t="shared" si="26"/>
        <v>5</v>
      </c>
    </row>
    <row r="71" spans="1:8" ht="15.75" thickBot="1" x14ac:dyDescent="0.3">
      <c r="A71" s="129" t="s">
        <v>1081</v>
      </c>
      <c r="B71" s="201">
        <v>0</v>
      </c>
      <c r="C71" s="258">
        <v>1</v>
      </c>
      <c r="D71" s="128">
        <f t="shared" si="25"/>
        <v>1</v>
      </c>
      <c r="E71" s="130" t="s">
        <v>1081</v>
      </c>
      <c r="F71" s="203">
        <v>0</v>
      </c>
      <c r="G71" s="260">
        <v>5</v>
      </c>
      <c r="H71" s="93">
        <f t="shared" si="26"/>
        <v>5</v>
      </c>
    </row>
    <row r="72" spans="1:8" ht="15.75" thickBot="1" x14ac:dyDescent="0.3">
      <c r="A72" s="129" t="s">
        <v>160</v>
      </c>
      <c r="B72" s="201">
        <v>0</v>
      </c>
      <c r="C72" s="258">
        <v>1</v>
      </c>
      <c r="D72" s="128">
        <f t="shared" si="25"/>
        <v>1</v>
      </c>
      <c r="E72" s="130" t="s">
        <v>160</v>
      </c>
      <c r="F72" s="203">
        <v>0</v>
      </c>
      <c r="G72" s="260">
        <v>5</v>
      </c>
      <c r="H72" s="93">
        <f t="shared" si="26"/>
        <v>5</v>
      </c>
    </row>
    <row r="73" spans="1:8" ht="15.75" thickBot="1" x14ac:dyDescent="0.3">
      <c r="A73" s="129" t="s">
        <v>182</v>
      </c>
      <c r="B73" s="201">
        <v>0</v>
      </c>
      <c r="C73" s="258">
        <v>0</v>
      </c>
      <c r="D73" s="128">
        <f t="shared" si="25"/>
        <v>0</v>
      </c>
      <c r="E73" s="130" t="s">
        <v>525</v>
      </c>
      <c r="F73" s="203">
        <v>4</v>
      </c>
      <c r="G73" s="260">
        <v>0</v>
      </c>
      <c r="H73" s="93">
        <f t="shared" si="26"/>
        <v>4</v>
      </c>
    </row>
    <row r="74" spans="1:8" ht="15.75" thickBot="1" x14ac:dyDescent="0.3">
      <c r="A74" s="129" t="s">
        <v>20</v>
      </c>
      <c r="B74" s="201">
        <v>0</v>
      </c>
      <c r="C74" s="258">
        <v>0</v>
      </c>
      <c r="D74" s="128">
        <f t="shared" si="25"/>
        <v>0</v>
      </c>
      <c r="E74" s="130" t="s">
        <v>182</v>
      </c>
      <c r="F74" s="203">
        <v>0</v>
      </c>
      <c r="G74" s="260">
        <v>0</v>
      </c>
      <c r="H74" s="93">
        <f t="shared" si="26"/>
        <v>0</v>
      </c>
    </row>
    <row r="75" spans="1:8" ht="15.75" thickBot="1" x14ac:dyDescent="0.3">
      <c r="A75" s="129" t="s">
        <v>164</v>
      </c>
      <c r="B75" s="201">
        <v>0</v>
      </c>
      <c r="C75" s="258">
        <v>0</v>
      </c>
      <c r="D75" s="128">
        <f t="shared" si="25"/>
        <v>0</v>
      </c>
      <c r="E75" s="130" t="s">
        <v>20</v>
      </c>
      <c r="F75" s="203">
        <v>0</v>
      </c>
      <c r="G75" s="260">
        <v>0</v>
      </c>
      <c r="H75" s="93">
        <f t="shared" si="26"/>
        <v>0</v>
      </c>
    </row>
    <row r="76" spans="1:8" ht="15.75" thickBot="1" x14ac:dyDescent="0.3">
      <c r="A76" s="129" t="s">
        <v>153</v>
      </c>
      <c r="B76" s="201">
        <v>0</v>
      </c>
      <c r="C76" s="258">
        <v>0</v>
      </c>
      <c r="D76" s="128">
        <f t="shared" si="25"/>
        <v>0</v>
      </c>
      <c r="E76" s="130" t="s">
        <v>164</v>
      </c>
      <c r="F76" s="203">
        <v>0</v>
      </c>
      <c r="G76" s="260">
        <v>0</v>
      </c>
      <c r="H76" s="93">
        <f t="shared" si="26"/>
        <v>0</v>
      </c>
    </row>
    <row r="77" spans="1:8" ht="15.75" thickBot="1" x14ac:dyDescent="0.3">
      <c r="A77" s="129" t="s">
        <v>633</v>
      </c>
      <c r="B77" s="201">
        <v>0</v>
      </c>
      <c r="C77" s="258">
        <v>0</v>
      </c>
      <c r="D77" s="128">
        <f t="shared" si="25"/>
        <v>0</v>
      </c>
      <c r="E77" s="130" t="s">
        <v>153</v>
      </c>
      <c r="F77" s="203">
        <v>0</v>
      </c>
      <c r="G77" s="260">
        <v>0</v>
      </c>
      <c r="H77" s="93">
        <f t="shared" si="26"/>
        <v>0</v>
      </c>
    </row>
    <row r="78" spans="1:8" ht="15.75" thickBot="1" x14ac:dyDescent="0.3">
      <c r="A78" s="129" t="s">
        <v>47</v>
      </c>
      <c r="B78" s="201">
        <v>0</v>
      </c>
      <c r="C78" s="258">
        <v>0</v>
      </c>
      <c r="D78" s="128">
        <f t="shared" si="25"/>
        <v>0</v>
      </c>
      <c r="E78" s="130" t="s">
        <v>300</v>
      </c>
      <c r="F78" s="203">
        <v>0</v>
      </c>
      <c r="G78" s="260">
        <v>0</v>
      </c>
      <c r="H78" s="93">
        <f t="shared" si="26"/>
        <v>0</v>
      </c>
    </row>
    <row r="79" spans="1:8" ht="15.75" thickBot="1" x14ac:dyDescent="0.3">
      <c r="A79" s="129" t="s">
        <v>184</v>
      </c>
      <c r="B79" s="201">
        <v>0</v>
      </c>
      <c r="C79" s="258">
        <v>0</v>
      </c>
      <c r="D79" s="128">
        <f t="shared" si="25"/>
        <v>0</v>
      </c>
      <c r="E79" s="130" t="s">
        <v>47</v>
      </c>
      <c r="F79" s="203">
        <v>0</v>
      </c>
      <c r="G79" s="260">
        <v>0</v>
      </c>
      <c r="H79" s="93">
        <f t="shared" si="26"/>
        <v>0</v>
      </c>
    </row>
    <row r="80" spans="1:8" ht="15.75" thickBot="1" x14ac:dyDescent="0.3">
      <c r="A80" s="129" t="s">
        <v>565</v>
      </c>
      <c r="B80" s="201">
        <v>0</v>
      </c>
      <c r="C80" s="258">
        <v>0</v>
      </c>
      <c r="D80" s="128">
        <f t="shared" si="25"/>
        <v>0</v>
      </c>
      <c r="E80" s="130" t="s">
        <v>184</v>
      </c>
      <c r="F80" s="203">
        <v>0</v>
      </c>
      <c r="G80" s="260">
        <v>0</v>
      </c>
      <c r="H80" s="93">
        <f t="shared" si="26"/>
        <v>0</v>
      </c>
    </row>
    <row r="81" spans="1:8" ht="15" customHeight="1" thickBot="1" x14ac:dyDescent="0.3">
      <c r="A81" s="129" t="s">
        <v>6</v>
      </c>
      <c r="B81" s="201">
        <v>0</v>
      </c>
      <c r="C81" s="258">
        <v>0</v>
      </c>
      <c r="D81" s="128">
        <f t="shared" si="25"/>
        <v>0</v>
      </c>
      <c r="E81" s="130" t="s">
        <v>565</v>
      </c>
      <c r="F81" s="203">
        <v>0</v>
      </c>
      <c r="G81" s="260">
        <v>0</v>
      </c>
      <c r="H81" s="93">
        <f t="shared" si="26"/>
        <v>0</v>
      </c>
    </row>
    <row r="82" spans="1:8" ht="15.75" thickBot="1" x14ac:dyDescent="0.3">
      <c r="A82" s="129" t="s">
        <v>571</v>
      </c>
      <c r="B82" s="201">
        <v>0</v>
      </c>
      <c r="C82" s="258">
        <v>0</v>
      </c>
      <c r="D82" s="128">
        <f t="shared" si="25"/>
        <v>0</v>
      </c>
      <c r="E82" s="130" t="s">
        <v>6</v>
      </c>
      <c r="F82" s="203">
        <v>0</v>
      </c>
      <c r="G82" s="260">
        <v>0</v>
      </c>
      <c r="H82" s="93">
        <f t="shared" si="26"/>
        <v>0</v>
      </c>
    </row>
    <row r="83" spans="1:8" ht="15" customHeight="1" thickBot="1" x14ac:dyDescent="0.3">
      <c r="A83" s="129" t="s">
        <v>631</v>
      </c>
      <c r="B83" s="201">
        <v>0</v>
      </c>
      <c r="C83" s="258">
        <v>0</v>
      </c>
      <c r="D83" s="128">
        <f t="shared" si="25"/>
        <v>0</v>
      </c>
      <c r="E83" s="130" t="s">
        <v>571</v>
      </c>
      <c r="F83" s="203">
        <v>0</v>
      </c>
      <c r="G83" s="260">
        <v>0</v>
      </c>
      <c r="H83" s="93">
        <f t="shared" si="26"/>
        <v>0</v>
      </c>
    </row>
    <row r="84" spans="1:8" ht="15.75" thickBot="1" x14ac:dyDescent="0.3">
      <c r="A84" s="129" t="s">
        <v>952</v>
      </c>
      <c r="B84" s="201">
        <v>0</v>
      </c>
      <c r="C84" s="258">
        <v>0</v>
      </c>
      <c r="D84" s="128">
        <f t="shared" si="25"/>
        <v>0</v>
      </c>
      <c r="E84" s="130" t="s">
        <v>631</v>
      </c>
      <c r="F84" s="203">
        <v>0</v>
      </c>
      <c r="G84" s="260">
        <v>0</v>
      </c>
      <c r="H84" s="93">
        <f t="shared" si="26"/>
        <v>0</v>
      </c>
    </row>
    <row r="85" spans="1:8" ht="15" customHeight="1" thickBot="1" x14ac:dyDescent="0.3">
      <c r="A85" s="129" t="s">
        <v>525</v>
      </c>
      <c r="B85" s="201">
        <v>0</v>
      </c>
      <c r="C85" s="258">
        <v>0</v>
      </c>
      <c r="D85" s="128">
        <f t="shared" si="25"/>
        <v>0</v>
      </c>
      <c r="E85" s="130" t="s">
        <v>952</v>
      </c>
      <c r="F85" s="203">
        <v>0</v>
      </c>
      <c r="G85" s="260">
        <v>0</v>
      </c>
      <c r="H85" s="93">
        <f t="shared" si="26"/>
        <v>0</v>
      </c>
    </row>
    <row r="86" spans="1:8" ht="15.75" thickBot="1" x14ac:dyDescent="0.3">
      <c r="A86" s="129" t="s">
        <v>7</v>
      </c>
      <c r="B86" s="201">
        <v>0</v>
      </c>
      <c r="C86" s="258">
        <v>0</v>
      </c>
      <c r="D86" s="128">
        <f t="shared" si="25"/>
        <v>0</v>
      </c>
      <c r="E86" s="130" t="s">
        <v>7</v>
      </c>
      <c r="F86" s="203">
        <v>0</v>
      </c>
      <c r="G86" s="260">
        <v>0</v>
      </c>
      <c r="H86" s="93">
        <f t="shared" si="26"/>
        <v>0</v>
      </c>
    </row>
    <row r="87" spans="1:8" ht="15" customHeight="1" thickBot="1" x14ac:dyDescent="0.3">
      <c r="A87" s="129" t="s">
        <v>3</v>
      </c>
      <c r="B87" s="201">
        <f>SUM(B47:B86)</f>
        <v>67</v>
      </c>
      <c r="C87" s="258">
        <f>SUM(C47:C86)</f>
        <v>12</v>
      </c>
      <c r="D87" s="128">
        <f>SUM(D47:D86)</f>
        <v>79</v>
      </c>
      <c r="E87" s="130" t="s">
        <v>3</v>
      </c>
      <c r="F87" s="203">
        <f>SUM(F47:F86)</f>
        <v>567</v>
      </c>
      <c r="G87" s="260">
        <f>SUM(G47:G86)</f>
        <v>107</v>
      </c>
      <c r="H87" s="93">
        <f>SUM(H47:H86)</f>
        <v>674</v>
      </c>
    </row>
    <row r="88" spans="1:8" x14ac:dyDescent="0.25">
      <c r="A88" s="535" t="s">
        <v>95</v>
      </c>
      <c r="B88" s="536"/>
      <c r="C88" s="536"/>
      <c r="D88" s="536"/>
      <c r="E88" s="536"/>
      <c r="F88" s="536"/>
      <c r="G88" s="536"/>
    </row>
  </sheetData>
  <sortState xmlns:xlrd2="http://schemas.microsoft.com/office/spreadsheetml/2017/richdata2" ref="E47:H86">
    <sortCondition descending="1" ref="H47:H86"/>
  </sortState>
  <mergeCells count="29">
    <mergeCell ref="A88:G88"/>
    <mergeCell ref="AA1:AC2"/>
    <mergeCell ref="AA14:AC15"/>
    <mergeCell ref="A1:H1"/>
    <mergeCell ref="S14:U15"/>
    <mergeCell ref="I24:I25"/>
    <mergeCell ref="J24:L25"/>
    <mergeCell ref="P24:R25"/>
    <mergeCell ref="I14:I15"/>
    <mergeCell ref="S24:U25"/>
    <mergeCell ref="I1:I2"/>
    <mergeCell ref="J1:L2"/>
    <mergeCell ref="M1:O2"/>
    <mergeCell ref="J14:L15"/>
    <mergeCell ref="U1:W2"/>
    <mergeCell ref="P14:R15"/>
    <mergeCell ref="AM1:AO2"/>
    <mergeCell ref="AJ1:AL2"/>
    <mergeCell ref="AJ14:AL15"/>
    <mergeCell ref="AG14:AI15"/>
    <mergeCell ref="AD14:AF15"/>
    <mergeCell ref="AG1:AI2"/>
    <mergeCell ref="M24:O25"/>
    <mergeCell ref="P1:Q2"/>
    <mergeCell ref="AD24:AF25"/>
    <mergeCell ref="AD1:AF2"/>
    <mergeCell ref="AA24:AC25"/>
    <mergeCell ref="R1:T2"/>
    <mergeCell ref="M14:O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90"/>
  <sheetViews>
    <sheetView topLeftCell="A7" workbookViewId="0">
      <selection activeCell="Q14" sqref="Q14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4" width="4.7109375" customWidth="1"/>
    <col min="5" max="5" width="16.42578125" customWidth="1"/>
    <col min="6" max="8" width="5.28515625" customWidth="1"/>
    <col min="9" max="9" width="16.42578125" customWidth="1"/>
    <col min="10" max="11" width="5.42578125" customWidth="1"/>
    <col min="12" max="44" width="5.7109375" customWidth="1"/>
  </cols>
  <sheetData>
    <row r="1" spans="1:51" ht="15" customHeight="1" thickBot="1" x14ac:dyDescent="0.3">
      <c r="A1" s="610" t="s">
        <v>813</v>
      </c>
      <c r="B1" s="611"/>
      <c r="C1" s="611"/>
      <c r="D1" s="611"/>
      <c r="E1" s="611"/>
      <c r="F1" s="611"/>
      <c r="G1" s="611"/>
      <c r="H1" s="612"/>
      <c r="I1" s="531" t="s">
        <v>658</v>
      </c>
      <c r="J1" s="604" t="s">
        <v>127</v>
      </c>
      <c r="K1" s="608"/>
      <c r="L1" s="605"/>
      <c r="M1" s="604" t="s">
        <v>110</v>
      </c>
      <c r="N1" s="608"/>
      <c r="O1" s="605"/>
      <c r="P1" s="604" t="s">
        <v>657</v>
      </c>
      <c r="Q1" s="605"/>
      <c r="R1" s="543" t="s">
        <v>863</v>
      </c>
      <c r="S1" s="549"/>
      <c r="T1" s="550"/>
      <c r="U1" s="543" t="s">
        <v>817</v>
      </c>
      <c r="V1" s="549"/>
      <c r="W1" s="550"/>
      <c r="X1" s="244"/>
      <c r="Y1" s="254"/>
      <c r="Z1" s="268"/>
      <c r="AA1" s="543" t="s">
        <v>574</v>
      </c>
      <c r="AB1" s="549"/>
      <c r="AC1" s="550"/>
      <c r="AD1" s="543" t="s">
        <v>217</v>
      </c>
      <c r="AE1" s="549"/>
      <c r="AF1" s="550"/>
      <c r="AG1" s="543" t="s">
        <v>147</v>
      </c>
      <c r="AH1" s="549"/>
      <c r="AI1" s="550"/>
      <c r="AJ1" s="543" t="s">
        <v>137</v>
      </c>
      <c r="AK1" s="549"/>
      <c r="AL1" s="550"/>
      <c r="AM1" s="543" t="s">
        <v>101</v>
      </c>
      <c r="AN1" s="549"/>
      <c r="AO1" s="550"/>
      <c r="AP1" s="543" t="s">
        <v>128</v>
      </c>
      <c r="AQ1" s="549"/>
      <c r="AR1" s="550"/>
      <c r="AT1" s="4"/>
      <c r="AU1" s="4"/>
      <c r="AV1" s="4"/>
      <c r="AY1" s="4"/>
    </row>
    <row r="2" spans="1:51" ht="15" customHeight="1" thickBot="1" x14ac:dyDescent="0.3">
      <c r="A2" s="149" t="s">
        <v>0</v>
      </c>
      <c r="B2" s="154" t="s">
        <v>815</v>
      </c>
      <c r="C2" s="140" t="s">
        <v>72</v>
      </c>
      <c r="D2" s="141" t="s">
        <v>1</v>
      </c>
      <c r="E2" s="150" t="s">
        <v>2</v>
      </c>
      <c r="F2" s="147" t="s">
        <v>815</v>
      </c>
      <c r="G2" s="212" t="s">
        <v>72</v>
      </c>
      <c r="H2" s="148" t="s">
        <v>1</v>
      </c>
      <c r="I2" s="532"/>
      <c r="J2" s="606"/>
      <c r="K2" s="609"/>
      <c r="L2" s="607"/>
      <c r="M2" s="606"/>
      <c r="N2" s="609"/>
      <c r="O2" s="607"/>
      <c r="P2" s="606"/>
      <c r="Q2" s="607"/>
      <c r="R2" s="551"/>
      <c r="S2" s="552"/>
      <c r="T2" s="553"/>
      <c r="U2" s="551"/>
      <c r="V2" s="552"/>
      <c r="W2" s="553"/>
      <c r="X2" s="244"/>
      <c r="Y2" s="254"/>
      <c r="Z2" s="268"/>
      <c r="AA2" s="551"/>
      <c r="AB2" s="552"/>
      <c r="AC2" s="553"/>
      <c r="AD2" s="551"/>
      <c r="AE2" s="552"/>
      <c r="AF2" s="553"/>
      <c r="AG2" s="551"/>
      <c r="AH2" s="552"/>
      <c r="AI2" s="553"/>
      <c r="AJ2" s="551"/>
      <c r="AK2" s="552"/>
      <c r="AL2" s="553"/>
      <c r="AM2" s="551"/>
      <c r="AN2" s="552"/>
      <c r="AO2" s="553"/>
      <c r="AP2" s="551"/>
      <c r="AQ2" s="552"/>
      <c r="AR2" s="553"/>
    </row>
    <row r="3" spans="1:51" ht="15" customHeight="1" thickBot="1" x14ac:dyDescent="0.3">
      <c r="A3" s="56" t="s">
        <v>718</v>
      </c>
      <c r="B3" s="96">
        <v>0</v>
      </c>
      <c r="C3" s="45">
        <v>0</v>
      </c>
      <c r="D3" s="5">
        <f t="shared" ref="D3:D44" si="0">SUM(B3:C3)</f>
        <v>0</v>
      </c>
      <c r="E3" s="79" t="s">
        <v>718</v>
      </c>
      <c r="F3" s="97">
        <v>0</v>
      </c>
      <c r="G3" s="210">
        <v>0</v>
      </c>
      <c r="H3" s="78">
        <f t="shared" ref="H3:H44" si="1">SUM(F3:G3)</f>
        <v>0</v>
      </c>
      <c r="I3" s="33" t="s">
        <v>51</v>
      </c>
      <c r="J3" s="251" t="s">
        <v>129</v>
      </c>
      <c r="K3" s="251" t="s">
        <v>27</v>
      </c>
      <c r="L3" s="251" t="s">
        <v>28</v>
      </c>
      <c r="M3" s="251" t="s">
        <v>129</v>
      </c>
      <c r="N3" s="251" t="s">
        <v>27</v>
      </c>
      <c r="O3" s="251" t="s">
        <v>28</v>
      </c>
      <c r="P3" s="251" t="s">
        <v>40</v>
      </c>
      <c r="Q3" s="251" t="s">
        <v>166</v>
      </c>
      <c r="R3" s="7" t="s">
        <v>129</v>
      </c>
      <c r="S3" s="7" t="s">
        <v>27</v>
      </c>
      <c r="T3" s="7" t="s">
        <v>28</v>
      </c>
      <c r="U3" s="221" t="s">
        <v>129</v>
      </c>
      <c r="V3" s="7" t="s">
        <v>27</v>
      </c>
      <c r="W3" s="7" t="s">
        <v>28</v>
      </c>
      <c r="X3" s="113"/>
      <c r="Y3" s="114"/>
      <c r="Z3" s="269"/>
      <c r="AA3" s="221" t="s">
        <v>129</v>
      </c>
      <c r="AB3" s="7" t="s">
        <v>27</v>
      </c>
      <c r="AC3" s="7" t="s">
        <v>28</v>
      </c>
      <c r="AD3" s="221" t="s">
        <v>129</v>
      </c>
      <c r="AE3" s="7" t="s">
        <v>27</v>
      </c>
      <c r="AF3" s="7" t="s">
        <v>28</v>
      </c>
      <c r="AG3" s="221" t="s">
        <v>129</v>
      </c>
      <c r="AH3" s="7" t="s">
        <v>27</v>
      </c>
      <c r="AI3" s="7" t="s">
        <v>28</v>
      </c>
      <c r="AJ3" s="7" t="s">
        <v>129</v>
      </c>
      <c r="AK3" s="7" t="s">
        <v>27</v>
      </c>
      <c r="AL3" s="7" t="s">
        <v>28</v>
      </c>
      <c r="AM3" s="7" t="s">
        <v>129</v>
      </c>
      <c r="AN3" s="7" t="s">
        <v>27</v>
      </c>
      <c r="AO3" s="7" t="s">
        <v>28</v>
      </c>
      <c r="AP3" s="7" t="s">
        <v>129</v>
      </c>
      <c r="AQ3" s="7" t="s">
        <v>27</v>
      </c>
      <c r="AR3" s="7" t="s">
        <v>28</v>
      </c>
    </row>
    <row r="4" spans="1:51" ht="15" customHeight="1" thickBot="1" x14ac:dyDescent="0.3">
      <c r="A4" s="56" t="s">
        <v>81</v>
      </c>
      <c r="B4" s="96">
        <v>1</v>
      </c>
      <c r="C4" s="45">
        <v>1</v>
      </c>
      <c r="D4" s="5">
        <f t="shared" si="0"/>
        <v>2</v>
      </c>
      <c r="E4" s="79" t="s">
        <v>81</v>
      </c>
      <c r="F4" s="97">
        <v>10</v>
      </c>
      <c r="G4" s="210">
        <v>7</v>
      </c>
      <c r="H4" s="78">
        <f t="shared" si="1"/>
        <v>17</v>
      </c>
      <c r="I4" s="15" t="s">
        <v>81</v>
      </c>
      <c r="J4" s="45">
        <v>2</v>
      </c>
      <c r="K4" s="45">
        <v>2</v>
      </c>
      <c r="L4" s="46">
        <f>SUM(J4/K4)*100</f>
        <v>100</v>
      </c>
      <c r="M4" s="45" t="s">
        <v>34</v>
      </c>
      <c r="N4" s="45" t="s">
        <v>34</v>
      </c>
      <c r="O4" s="46" t="s">
        <v>34</v>
      </c>
      <c r="P4" s="45">
        <v>2</v>
      </c>
      <c r="Q4" s="45">
        <v>3</v>
      </c>
      <c r="R4" s="7" t="s">
        <v>34</v>
      </c>
      <c r="S4" s="7" t="s">
        <v>34</v>
      </c>
      <c r="T4" s="232" t="s">
        <v>34</v>
      </c>
      <c r="U4" s="221" t="s">
        <v>34</v>
      </c>
      <c r="V4" s="7" t="s">
        <v>34</v>
      </c>
      <c r="W4" s="7" t="s">
        <v>34</v>
      </c>
      <c r="X4" s="113"/>
      <c r="Y4" s="114"/>
      <c r="Z4" s="269"/>
      <c r="AA4" s="221" t="s">
        <v>34</v>
      </c>
      <c r="AB4" s="7" t="s">
        <v>34</v>
      </c>
      <c r="AC4" s="7" t="s">
        <v>34</v>
      </c>
      <c r="AD4" s="221" t="s">
        <v>34</v>
      </c>
      <c r="AE4" s="7" t="s">
        <v>34</v>
      </c>
      <c r="AF4" s="7" t="s">
        <v>34</v>
      </c>
      <c r="AG4" s="221" t="s">
        <v>34</v>
      </c>
      <c r="AH4" s="7" t="s">
        <v>34</v>
      </c>
      <c r="AI4" s="7" t="s">
        <v>34</v>
      </c>
      <c r="AJ4" s="7" t="s">
        <v>34</v>
      </c>
      <c r="AK4" s="7" t="s">
        <v>34</v>
      </c>
      <c r="AL4" s="7" t="s">
        <v>34</v>
      </c>
      <c r="AM4" s="7" t="s">
        <v>34</v>
      </c>
      <c r="AN4" s="7" t="s">
        <v>34</v>
      </c>
      <c r="AO4" s="7" t="s">
        <v>34</v>
      </c>
      <c r="AP4" s="7" t="s">
        <v>34</v>
      </c>
      <c r="AQ4" s="7" t="s">
        <v>34</v>
      </c>
      <c r="AR4" s="7" t="s">
        <v>34</v>
      </c>
    </row>
    <row r="5" spans="1:51" ht="15" customHeight="1" thickBot="1" x14ac:dyDescent="0.3">
      <c r="A5" s="56" t="s">
        <v>532</v>
      </c>
      <c r="B5" s="96">
        <v>1</v>
      </c>
      <c r="C5" s="45">
        <v>2</v>
      </c>
      <c r="D5" s="5">
        <f t="shared" si="0"/>
        <v>3</v>
      </c>
      <c r="E5" s="79" t="s">
        <v>532</v>
      </c>
      <c r="F5" s="97">
        <v>5</v>
      </c>
      <c r="G5" s="210">
        <v>10</v>
      </c>
      <c r="H5" s="78">
        <f t="shared" si="1"/>
        <v>15</v>
      </c>
      <c r="I5" s="15" t="s">
        <v>112</v>
      </c>
      <c r="J5" s="45">
        <v>27</v>
      </c>
      <c r="K5" s="45">
        <v>33</v>
      </c>
      <c r="L5" s="46">
        <f>SUM(J5/K5)*100</f>
        <v>81.818181818181827</v>
      </c>
      <c r="M5" s="45" t="s">
        <v>34</v>
      </c>
      <c r="N5" s="45" t="s">
        <v>34</v>
      </c>
      <c r="O5" s="46" t="s">
        <v>34</v>
      </c>
      <c r="P5" s="45">
        <v>5</v>
      </c>
      <c r="Q5" s="45">
        <v>5</v>
      </c>
      <c r="R5" s="7">
        <v>66</v>
      </c>
      <c r="S5" s="7">
        <v>76</v>
      </c>
      <c r="T5" s="232">
        <f>SUM(R5/S5)*100</f>
        <v>86.842105263157904</v>
      </c>
      <c r="U5" s="221" t="s">
        <v>34</v>
      </c>
      <c r="V5" s="7" t="s">
        <v>34</v>
      </c>
      <c r="W5" s="7" t="s">
        <v>34</v>
      </c>
      <c r="X5" s="113"/>
      <c r="Y5" s="114"/>
      <c r="Z5" s="269"/>
      <c r="AA5" s="221">
        <v>57</v>
      </c>
      <c r="AB5" s="7">
        <v>72</v>
      </c>
      <c r="AC5" s="232">
        <f>SUM(AA5/AB5)*100</f>
        <v>79.166666666666657</v>
      </c>
      <c r="AD5" s="221">
        <v>102</v>
      </c>
      <c r="AE5" s="7">
        <v>128</v>
      </c>
      <c r="AF5" s="232">
        <f>SUM(AD5/AE5)*100</f>
        <v>79.6875</v>
      </c>
      <c r="AG5" s="221">
        <v>71</v>
      </c>
      <c r="AH5" s="7">
        <v>91</v>
      </c>
      <c r="AI5" s="232">
        <f>SUM(AG5/AH5)*100</f>
        <v>78.021978021978029</v>
      </c>
      <c r="AJ5" s="7" t="s">
        <v>34</v>
      </c>
      <c r="AK5" s="7" t="s">
        <v>34</v>
      </c>
      <c r="AL5" s="7" t="s">
        <v>34</v>
      </c>
      <c r="AM5" s="7">
        <v>53</v>
      </c>
      <c r="AN5" s="7">
        <v>78</v>
      </c>
      <c r="AO5" s="232">
        <f>SUM(AM5/AN5)*100</f>
        <v>67.948717948717956</v>
      </c>
      <c r="AP5" s="7">
        <v>78</v>
      </c>
      <c r="AQ5" s="7">
        <v>104</v>
      </c>
      <c r="AR5" s="232">
        <f>SUM(AP5/AQ5)*100</f>
        <v>75</v>
      </c>
    </row>
    <row r="6" spans="1:51" ht="15" customHeight="1" thickBot="1" x14ac:dyDescent="0.3">
      <c r="A6" s="56" t="s">
        <v>14</v>
      </c>
      <c r="B6" s="96">
        <v>9</v>
      </c>
      <c r="C6" s="45">
        <v>1</v>
      </c>
      <c r="D6" s="5">
        <f t="shared" si="0"/>
        <v>10</v>
      </c>
      <c r="E6" s="79" t="s">
        <v>14</v>
      </c>
      <c r="F6" s="97">
        <v>45</v>
      </c>
      <c r="G6" s="210">
        <v>5</v>
      </c>
      <c r="H6" s="78">
        <f t="shared" si="1"/>
        <v>50</v>
      </c>
      <c r="I6" s="15" t="s">
        <v>121</v>
      </c>
      <c r="J6" s="45" t="s">
        <v>34</v>
      </c>
      <c r="K6" s="45" t="s">
        <v>34</v>
      </c>
      <c r="L6" s="46" t="s">
        <v>34</v>
      </c>
      <c r="M6" s="45" t="s">
        <v>34</v>
      </c>
      <c r="N6" s="45" t="s">
        <v>34</v>
      </c>
      <c r="O6" s="46" t="s">
        <v>34</v>
      </c>
      <c r="P6" s="45" t="s">
        <v>34</v>
      </c>
      <c r="Q6" s="45">
        <v>-1</v>
      </c>
      <c r="R6" s="7" t="s">
        <v>34</v>
      </c>
      <c r="S6" s="7" t="s">
        <v>34</v>
      </c>
      <c r="T6" s="232" t="s">
        <v>34</v>
      </c>
      <c r="U6" s="221" t="s">
        <v>34</v>
      </c>
      <c r="V6" s="7" t="s">
        <v>34</v>
      </c>
      <c r="W6" s="7" t="s">
        <v>34</v>
      </c>
      <c r="X6" s="113"/>
      <c r="Y6" s="114"/>
      <c r="Z6" s="269"/>
      <c r="AA6" s="221" t="s">
        <v>34</v>
      </c>
      <c r="AB6" s="7" t="s">
        <v>34</v>
      </c>
      <c r="AC6" s="7" t="s">
        <v>34</v>
      </c>
      <c r="AD6" s="221" t="s">
        <v>34</v>
      </c>
      <c r="AE6" s="7" t="s">
        <v>34</v>
      </c>
      <c r="AF6" s="7" t="s">
        <v>34</v>
      </c>
      <c r="AG6" s="221" t="s">
        <v>34</v>
      </c>
      <c r="AH6" s="7" t="s">
        <v>34</v>
      </c>
      <c r="AI6" s="7" t="s">
        <v>34</v>
      </c>
      <c r="AJ6" s="7" t="s">
        <v>34</v>
      </c>
      <c r="AK6" s="7" t="s">
        <v>34</v>
      </c>
      <c r="AL6" s="7" t="s">
        <v>34</v>
      </c>
      <c r="AM6" s="7" t="s">
        <v>34</v>
      </c>
      <c r="AN6" s="7" t="s">
        <v>34</v>
      </c>
      <c r="AO6" s="7" t="s">
        <v>34</v>
      </c>
      <c r="AP6" s="7" t="s">
        <v>34</v>
      </c>
      <c r="AQ6" s="7" t="s">
        <v>34</v>
      </c>
      <c r="AR6" s="7" t="s">
        <v>34</v>
      </c>
    </row>
    <row r="7" spans="1:51" ht="15" customHeight="1" thickBot="1" x14ac:dyDescent="0.3">
      <c r="A7" s="56" t="s">
        <v>91</v>
      </c>
      <c r="B7" s="96">
        <v>0</v>
      </c>
      <c r="C7" s="45">
        <v>0</v>
      </c>
      <c r="D7" s="5">
        <f t="shared" si="0"/>
        <v>0</v>
      </c>
      <c r="E7" s="79" t="s">
        <v>91</v>
      </c>
      <c r="F7" s="97">
        <v>0</v>
      </c>
      <c r="G7" s="210">
        <v>0</v>
      </c>
      <c r="H7" s="78">
        <f t="shared" si="1"/>
        <v>0</v>
      </c>
      <c r="I7" s="15" t="s">
        <v>303</v>
      </c>
      <c r="J7" s="45">
        <v>18</v>
      </c>
      <c r="K7" s="45">
        <v>20</v>
      </c>
      <c r="L7" s="46">
        <f>SUM(J7/K7)*100</f>
        <v>90</v>
      </c>
      <c r="M7" s="45" t="s">
        <v>34</v>
      </c>
      <c r="N7" s="45" t="s">
        <v>34</v>
      </c>
      <c r="O7" s="46" t="s">
        <v>34</v>
      </c>
      <c r="P7" s="45">
        <v>10</v>
      </c>
      <c r="Q7" s="45">
        <v>10</v>
      </c>
      <c r="R7" s="7">
        <v>18</v>
      </c>
      <c r="S7" s="7">
        <v>23</v>
      </c>
      <c r="T7" s="232">
        <f t="shared" ref="T7:T9" si="2">SUM(R7/S7)*100</f>
        <v>78.260869565217391</v>
      </c>
      <c r="U7" s="221">
        <v>47</v>
      </c>
      <c r="V7" s="7">
        <v>59</v>
      </c>
      <c r="W7" s="232">
        <f>SUM(U7/V7)*100</f>
        <v>79.66101694915254</v>
      </c>
      <c r="X7" s="113"/>
      <c r="Y7" s="114"/>
      <c r="Z7" s="269"/>
      <c r="AA7" s="221">
        <v>61</v>
      </c>
      <c r="AB7" s="7">
        <v>79</v>
      </c>
      <c r="AC7" s="232">
        <f>SUM(AA7/AB7)*100</f>
        <v>77.215189873417728</v>
      </c>
      <c r="AD7" s="221">
        <v>20</v>
      </c>
      <c r="AE7" s="7">
        <v>24</v>
      </c>
      <c r="AF7" s="232">
        <f>SUM(AD7/AE7)*100</f>
        <v>83.333333333333343</v>
      </c>
      <c r="AG7" s="221">
        <v>63</v>
      </c>
      <c r="AH7" s="7">
        <v>87</v>
      </c>
      <c r="AI7" s="232">
        <f>SUM(AG7/AH7)*100</f>
        <v>72.41379310344827</v>
      </c>
      <c r="AJ7" s="7">
        <v>69</v>
      </c>
      <c r="AK7" s="7">
        <v>101</v>
      </c>
      <c r="AL7" s="232">
        <f>SUM(AJ7/AK7)*100</f>
        <v>68.316831683168317</v>
      </c>
      <c r="AM7" s="7">
        <v>65</v>
      </c>
      <c r="AN7" s="7">
        <v>77</v>
      </c>
      <c r="AO7" s="232">
        <f>SUM(AM7/AN7)*100</f>
        <v>84.415584415584405</v>
      </c>
      <c r="AP7" s="7" t="s">
        <v>34</v>
      </c>
      <c r="AQ7" s="7" t="s">
        <v>34</v>
      </c>
      <c r="AR7" s="7" t="s">
        <v>34</v>
      </c>
    </row>
    <row r="8" spans="1:51" ht="15" customHeight="1" thickBot="1" x14ac:dyDescent="0.3">
      <c r="A8" s="56" t="s">
        <v>627</v>
      </c>
      <c r="B8" s="96">
        <v>0</v>
      </c>
      <c r="C8" s="45">
        <v>0</v>
      </c>
      <c r="D8" s="5">
        <f t="shared" si="0"/>
        <v>0</v>
      </c>
      <c r="E8" s="79" t="s">
        <v>627</v>
      </c>
      <c r="F8" s="97">
        <v>0</v>
      </c>
      <c r="G8" s="210">
        <v>0</v>
      </c>
      <c r="H8" s="78">
        <f t="shared" si="1"/>
        <v>0</v>
      </c>
      <c r="I8" s="15" t="s">
        <v>155</v>
      </c>
      <c r="J8" s="45">
        <v>39</v>
      </c>
      <c r="K8" s="45">
        <v>49</v>
      </c>
      <c r="L8" s="46">
        <f>SUM(J8/K8)*100</f>
        <v>79.591836734693871</v>
      </c>
      <c r="M8" s="45">
        <v>5</v>
      </c>
      <c r="N8" s="45">
        <v>5</v>
      </c>
      <c r="O8" s="46">
        <f>SUM(M8/N8)*100</f>
        <v>100</v>
      </c>
      <c r="P8" s="45">
        <v>7</v>
      </c>
      <c r="Q8" s="45">
        <v>7</v>
      </c>
      <c r="R8" s="7">
        <v>20</v>
      </c>
      <c r="S8" s="7">
        <v>28</v>
      </c>
      <c r="T8" s="232">
        <f t="shared" si="2"/>
        <v>71.428571428571431</v>
      </c>
      <c r="U8" s="221" t="s">
        <v>34</v>
      </c>
      <c r="V8" s="7" t="s">
        <v>34</v>
      </c>
      <c r="W8" s="7" t="s">
        <v>34</v>
      </c>
      <c r="X8" s="113"/>
      <c r="Y8" s="114"/>
      <c r="Z8" s="269"/>
      <c r="AA8" s="221" t="s">
        <v>34</v>
      </c>
      <c r="AB8" s="7" t="s">
        <v>34</v>
      </c>
      <c r="AC8" s="7" t="s">
        <v>34</v>
      </c>
      <c r="AD8" s="221" t="s">
        <v>34</v>
      </c>
      <c r="AE8" s="7" t="s">
        <v>34</v>
      </c>
      <c r="AF8" s="7" t="s">
        <v>34</v>
      </c>
      <c r="AG8" s="221" t="s">
        <v>34</v>
      </c>
      <c r="AH8" s="7" t="s">
        <v>34</v>
      </c>
      <c r="AI8" s="7" t="s">
        <v>34</v>
      </c>
      <c r="AJ8" s="7" t="s">
        <v>34</v>
      </c>
      <c r="AK8" s="7" t="s">
        <v>34</v>
      </c>
      <c r="AL8" s="7" t="s">
        <v>34</v>
      </c>
      <c r="AM8" s="7" t="s">
        <v>34</v>
      </c>
      <c r="AN8" s="7" t="s">
        <v>34</v>
      </c>
      <c r="AO8" s="7" t="s">
        <v>34</v>
      </c>
      <c r="AP8" s="7" t="s">
        <v>34</v>
      </c>
      <c r="AQ8" s="7" t="s">
        <v>34</v>
      </c>
      <c r="AR8" s="7" t="s">
        <v>34</v>
      </c>
    </row>
    <row r="9" spans="1:51" ht="15" customHeight="1" thickBot="1" x14ac:dyDescent="0.3">
      <c r="A9" s="56" t="s">
        <v>143</v>
      </c>
      <c r="B9" s="96">
        <v>4</v>
      </c>
      <c r="C9" s="45">
        <v>1</v>
      </c>
      <c r="D9" s="5">
        <f t="shared" si="0"/>
        <v>5</v>
      </c>
      <c r="E9" s="79" t="s">
        <v>143</v>
      </c>
      <c r="F9" s="97">
        <v>20</v>
      </c>
      <c r="G9" s="210">
        <v>5</v>
      </c>
      <c r="H9" s="78">
        <f t="shared" si="1"/>
        <v>25</v>
      </c>
      <c r="I9" s="15" t="s">
        <v>43</v>
      </c>
      <c r="J9" s="45" t="s">
        <v>34</v>
      </c>
      <c r="K9" s="45" t="s">
        <v>34</v>
      </c>
      <c r="L9" s="46" t="s">
        <v>34</v>
      </c>
      <c r="M9" s="45" t="s">
        <v>34</v>
      </c>
      <c r="N9" s="45" t="s">
        <v>34</v>
      </c>
      <c r="O9" s="46" t="s">
        <v>34</v>
      </c>
      <c r="P9" s="45">
        <v>2</v>
      </c>
      <c r="Q9" s="45">
        <v>2</v>
      </c>
      <c r="R9" s="7">
        <v>6</v>
      </c>
      <c r="S9" s="7">
        <v>8</v>
      </c>
      <c r="T9" s="232">
        <f t="shared" si="2"/>
        <v>75</v>
      </c>
      <c r="U9" s="221">
        <v>14</v>
      </c>
      <c r="V9" s="7">
        <v>15</v>
      </c>
      <c r="W9" s="232">
        <f>SUM(U9/V9)*100</f>
        <v>93.333333333333329</v>
      </c>
      <c r="X9" s="113"/>
      <c r="Y9" s="114"/>
      <c r="Z9" s="269"/>
      <c r="AA9" s="221">
        <v>2</v>
      </c>
      <c r="AB9" s="7">
        <v>3</v>
      </c>
      <c r="AC9" s="232">
        <f>SUM(AA9/AB9)*100</f>
        <v>66.666666666666657</v>
      </c>
      <c r="AD9" s="221">
        <v>6</v>
      </c>
      <c r="AE9" s="7">
        <v>6</v>
      </c>
      <c r="AF9" s="232">
        <f>SUM(AD9/AE9)*100</f>
        <v>100</v>
      </c>
      <c r="AG9" s="221">
        <v>0</v>
      </c>
      <c r="AH9" s="7">
        <v>0</v>
      </c>
      <c r="AI9" s="7" t="s">
        <v>34</v>
      </c>
      <c r="AJ9" s="7">
        <v>3</v>
      </c>
      <c r="AK9" s="7">
        <v>4</v>
      </c>
      <c r="AL9" s="232">
        <f>SUM(AJ9/AK9)*100</f>
        <v>75</v>
      </c>
      <c r="AM9" s="7">
        <v>1</v>
      </c>
      <c r="AN9" s="7">
        <v>2</v>
      </c>
      <c r="AO9" s="7">
        <v>50</v>
      </c>
      <c r="AP9" s="7">
        <v>5</v>
      </c>
      <c r="AQ9" s="7">
        <v>7</v>
      </c>
      <c r="AR9" s="7">
        <v>71</v>
      </c>
    </row>
    <row r="10" spans="1:51" ht="15" customHeight="1" thickBot="1" x14ac:dyDescent="0.3">
      <c r="A10" s="56" t="s">
        <v>186</v>
      </c>
      <c r="B10" s="96">
        <v>0</v>
      </c>
      <c r="C10" s="45">
        <v>0</v>
      </c>
      <c r="D10" s="5">
        <f t="shared" si="0"/>
        <v>0</v>
      </c>
      <c r="E10" s="79" t="s">
        <v>186</v>
      </c>
      <c r="F10" s="97">
        <v>0</v>
      </c>
      <c r="G10" s="210">
        <v>0</v>
      </c>
      <c r="H10" s="78">
        <f t="shared" si="1"/>
        <v>0</v>
      </c>
    </row>
    <row r="11" spans="1:51" ht="15" customHeight="1" thickBot="1" x14ac:dyDescent="0.3">
      <c r="A11" s="56" t="s">
        <v>991</v>
      </c>
      <c r="B11" s="96">
        <v>1</v>
      </c>
      <c r="C11" s="45">
        <v>0</v>
      </c>
      <c r="D11" s="5">
        <f t="shared" si="0"/>
        <v>1</v>
      </c>
      <c r="E11" s="79" t="s">
        <v>991</v>
      </c>
      <c r="F11" s="97">
        <v>5</v>
      </c>
      <c r="G11" s="210">
        <v>0</v>
      </c>
      <c r="H11" s="78">
        <f t="shared" si="1"/>
        <v>5</v>
      </c>
      <c r="I11" s="517" t="s">
        <v>659</v>
      </c>
      <c r="J11" s="604" t="s">
        <v>33</v>
      </c>
      <c r="K11" s="608"/>
      <c r="L11" s="605"/>
      <c r="M11" s="543" t="s">
        <v>851</v>
      </c>
      <c r="N11" s="549"/>
      <c r="O11" s="550"/>
      <c r="P11" s="543" t="s">
        <v>816</v>
      </c>
      <c r="Q11" s="549"/>
      <c r="R11" s="550"/>
      <c r="S11" s="543" t="s">
        <v>962</v>
      </c>
      <c r="T11" s="549"/>
      <c r="U11" s="550"/>
      <c r="V11" s="254"/>
      <c r="W11" s="254"/>
      <c r="X11" s="254"/>
      <c r="Y11" s="354"/>
      <c r="Z11" s="354"/>
      <c r="AA11" s="543" t="s">
        <v>963</v>
      </c>
      <c r="AB11" s="549"/>
      <c r="AC11" s="550"/>
      <c r="AD11" s="543" t="s">
        <v>964</v>
      </c>
      <c r="AE11" s="549"/>
      <c r="AF11" s="550"/>
      <c r="AG11" s="543" t="s">
        <v>167</v>
      </c>
      <c r="AH11" s="549"/>
      <c r="AI11" s="550"/>
      <c r="AJ11" s="543" t="s">
        <v>965</v>
      </c>
      <c r="AK11" s="549"/>
      <c r="AL11" s="550"/>
      <c r="AM11" s="228"/>
    </row>
    <row r="12" spans="1:51" ht="15" customHeight="1" thickBot="1" x14ac:dyDescent="0.3">
      <c r="A12" s="56" t="s">
        <v>706</v>
      </c>
      <c r="B12" s="96">
        <v>2</v>
      </c>
      <c r="C12" s="45">
        <v>0</v>
      </c>
      <c r="D12" s="5">
        <f t="shared" si="0"/>
        <v>2</v>
      </c>
      <c r="E12" s="79" t="s">
        <v>706</v>
      </c>
      <c r="F12" s="97">
        <v>10</v>
      </c>
      <c r="G12" s="210">
        <v>0</v>
      </c>
      <c r="H12" s="78">
        <f t="shared" si="1"/>
        <v>10</v>
      </c>
      <c r="I12" s="518"/>
      <c r="J12" s="606"/>
      <c r="K12" s="609"/>
      <c r="L12" s="607"/>
      <c r="M12" s="551"/>
      <c r="N12" s="552"/>
      <c r="O12" s="553"/>
      <c r="P12" s="551"/>
      <c r="Q12" s="552"/>
      <c r="R12" s="553"/>
      <c r="S12" s="551"/>
      <c r="T12" s="552"/>
      <c r="U12" s="553"/>
      <c r="V12" s="254"/>
      <c r="W12" s="254"/>
      <c r="X12" s="254"/>
      <c r="Y12" s="354"/>
      <c r="Z12" s="354"/>
      <c r="AA12" s="551"/>
      <c r="AB12" s="552"/>
      <c r="AC12" s="553"/>
      <c r="AD12" s="551"/>
      <c r="AE12" s="552"/>
      <c r="AF12" s="553"/>
      <c r="AG12" s="551"/>
      <c r="AH12" s="552"/>
      <c r="AI12" s="553"/>
      <c r="AJ12" s="551"/>
      <c r="AK12" s="552"/>
      <c r="AL12" s="553"/>
      <c r="AM12" s="228"/>
    </row>
    <row r="13" spans="1:51" ht="15" customHeight="1" thickBot="1" x14ac:dyDescent="0.3">
      <c r="A13" s="56" t="s">
        <v>49</v>
      </c>
      <c r="B13" s="96">
        <v>4</v>
      </c>
      <c r="C13" s="45">
        <v>1</v>
      </c>
      <c r="D13" s="5">
        <f t="shared" si="0"/>
        <v>5</v>
      </c>
      <c r="E13" s="79" t="s">
        <v>49</v>
      </c>
      <c r="F13" s="97">
        <v>20</v>
      </c>
      <c r="G13" s="210">
        <v>5</v>
      </c>
      <c r="H13" s="78">
        <f t="shared" si="1"/>
        <v>25</v>
      </c>
      <c r="I13" s="33" t="s">
        <v>51</v>
      </c>
      <c r="J13" s="251" t="s">
        <v>129</v>
      </c>
      <c r="K13" s="251" t="s">
        <v>27</v>
      </c>
      <c r="L13" s="251" t="s">
        <v>28</v>
      </c>
      <c r="M13" s="7" t="s">
        <v>129</v>
      </c>
      <c r="N13" s="7" t="s">
        <v>27</v>
      </c>
      <c r="O13" s="7" t="s">
        <v>28</v>
      </c>
      <c r="P13" s="7" t="s">
        <v>129</v>
      </c>
      <c r="Q13" s="7" t="s">
        <v>27</v>
      </c>
      <c r="R13" s="7" t="s">
        <v>28</v>
      </c>
      <c r="S13" s="221" t="s">
        <v>129</v>
      </c>
      <c r="T13" s="7" t="s">
        <v>27</v>
      </c>
      <c r="U13" s="7" t="s">
        <v>28</v>
      </c>
      <c r="V13" s="354"/>
      <c r="W13" s="354"/>
      <c r="X13" s="354"/>
      <c r="Y13" s="354"/>
      <c r="Z13" s="354"/>
      <c r="AA13" s="221" t="s">
        <v>129</v>
      </c>
      <c r="AB13" s="7" t="s">
        <v>27</v>
      </c>
      <c r="AC13" s="7" t="s">
        <v>28</v>
      </c>
      <c r="AD13" s="221" t="s">
        <v>129</v>
      </c>
      <c r="AE13" s="7" t="s">
        <v>27</v>
      </c>
      <c r="AF13" s="7" t="s">
        <v>28</v>
      </c>
      <c r="AG13" s="221" t="s">
        <v>129</v>
      </c>
      <c r="AH13" s="7" t="s">
        <v>27</v>
      </c>
      <c r="AI13" s="7" t="s">
        <v>28</v>
      </c>
      <c r="AJ13" s="221" t="s">
        <v>129</v>
      </c>
      <c r="AK13" s="7" t="s">
        <v>27</v>
      </c>
      <c r="AL13" s="7" t="s">
        <v>28</v>
      </c>
      <c r="AM13" s="228"/>
    </row>
    <row r="14" spans="1:51" ht="15" customHeight="1" thickBot="1" x14ac:dyDescent="0.3">
      <c r="A14" s="56" t="s">
        <v>112</v>
      </c>
      <c r="B14" s="96">
        <v>0</v>
      </c>
      <c r="C14" s="45">
        <v>0</v>
      </c>
      <c r="D14" s="5">
        <f t="shared" si="0"/>
        <v>0</v>
      </c>
      <c r="E14" s="79" t="s">
        <v>112</v>
      </c>
      <c r="F14" s="97">
        <v>66</v>
      </c>
      <c r="G14" s="210">
        <v>10</v>
      </c>
      <c r="H14" s="78">
        <f t="shared" si="1"/>
        <v>76</v>
      </c>
      <c r="I14" s="286" t="s">
        <v>81</v>
      </c>
      <c r="J14" s="45">
        <v>1</v>
      </c>
      <c r="K14" s="45">
        <v>1</v>
      </c>
      <c r="L14" s="46">
        <f>SUM(J14/K14)*100</f>
        <v>100</v>
      </c>
      <c r="M14" s="7" t="s">
        <v>34</v>
      </c>
      <c r="N14" s="7" t="s">
        <v>34</v>
      </c>
      <c r="O14" s="7" t="s">
        <v>34</v>
      </c>
      <c r="P14" s="7" t="s">
        <v>34</v>
      </c>
      <c r="Q14" s="7" t="s">
        <v>34</v>
      </c>
      <c r="R14" s="7" t="s">
        <v>34</v>
      </c>
      <c r="S14" s="221" t="s">
        <v>34</v>
      </c>
      <c r="T14" s="7" t="s">
        <v>34</v>
      </c>
      <c r="U14" s="7" t="s">
        <v>34</v>
      </c>
      <c r="V14" s="408"/>
      <c r="W14" s="408"/>
      <c r="X14" s="408"/>
      <c r="Y14" s="408"/>
      <c r="Z14" s="408"/>
      <c r="AA14" s="221" t="s">
        <v>34</v>
      </c>
      <c r="AB14" s="7" t="s">
        <v>34</v>
      </c>
      <c r="AC14" s="7" t="s">
        <v>34</v>
      </c>
      <c r="AD14" s="221" t="s">
        <v>34</v>
      </c>
      <c r="AE14" s="7" t="s">
        <v>34</v>
      </c>
      <c r="AF14" s="7" t="s">
        <v>34</v>
      </c>
      <c r="AG14" s="6" t="s">
        <v>34</v>
      </c>
      <c r="AH14" s="7" t="s">
        <v>34</v>
      </c>
      <c r="AI14" s="7" t="s">
        <v>34</v>
      </c>
      <c r="AJ14" s="7" t="s">
        <v>34</v>
      </c>
      <c r="AK14" s="7" t="s">
        <v>34</v>
      </c>
      <c r="AL14" s="7" t="s">
        <v>34</v>
      </c>
      <c r="AM14" s="410"/>
      <c r="AN14" s="409"/>
      <c r="AO14" s="409"/>
      <c r="AP14" s="409"/>
      <c r="AQ14" s="409"/>
      <c r="AR14" s="409"/>
    </row>
    <row r="15" spans="1:51" ht="15" customHeight="1" thickBot="1" x14ac:dyDescent="0.3">
      <c r="A15" s="56" t="s">
        <v>955</v>
      </c>
      <c r="B15" s="96">
        <v>0</v>
      </c>
      <c r="C15" s="45">
        <v>1</v>
      </c>
      <c r="D15" s="5">
        <f t="shared" si="0"/>
        <v>1</v>
      </c>
      <c r="E15" s="79" t="s">
        <v>955</v>
      </c>
      <c r="F15" s="97">
        <v>0</v>
      </c>
      <c r="G15" s="210">
        <v>5</v>
      </c>
      <c r="H15" s="78">
        <f t="shared" si="1"/>
        <v>5</v>
      </c>
      <c r="I15" s="47" t="s">
        <v>112</v>
      </c>
      <c r="J15" s="45">
        <v>5</v>
      </c>
      <c r="K15" s="45">
        <v>10</v>
      </c>
      <c r="L15" s="45">
        <f>SUM(J15/K15)*100</f>
        <v>50</v>
      </c>
      <c r="M15" s="7">
        <v>1</v>
      </c>
      <c r="N15" s="7">
        <v>1</v>
      </c>
      <c r="O15" s="7">
        <f>SUM(M15/N15)*100</f>
        <v>100</v>
      </c>
      <c r="P15" s="7" t="s">
        <v>34</v>
      </c>
      <c r="Q15" s="7" t="s">
        <v>34</v>
      </c>
      <c r="R15" s="7" t="s">
        <v>34</v>
      </c>
      <c r="S15" s="221">
        <v>10</v>
      </c>
      <c r="T15" s="7">
        <v>13</v>
      </c>
      <c r="U15" s="232">
        <f>SUM(S15/T15)*100</f>
        <v>76.923076923076934</v>
      </c>
      <c r="V15" s="354"/>
      <c r="W15" s="354"/>
      <c r="X15" s="354"/>
      <c r="Y15" s="354"/>
      <c r="Z15" s="354"/>
      <c r="AA15" s="221">
        <v>23</v>
      </c>
      <c r="AB15" s="7">
        <v>27</v>
      </c>
      <c r="AC15" s="232">
        <f>SUM(AA15/AB15)*100</f>
        <v>85.18518518518519</v>
      </c>
      <c r="AD15" s="221">
        <v>23</v>
      </c>
      <c r="AE15" s="7">
        <v>27</v>
      </c>
      <c r="AF15" s="232">
        <f>SUM(AD15/AE15)*100</f>
        <v>85.18518518518519</v>
      </c>
      <c r="AG15" s="221" t="s">
        <v>34</v>
      </c>
      <c r="AH15" s="7" t="s">
        <v>34</v>
      </c>
      <c r="AI15" s="7" t="s">
        <v>34</v>
      </c>
      <c r="AJ15" s="221">
        <v>19</v>
      </c>
      <c r="AK15" s="7">
        <v>27</v>
      </c>
      <c r="AL15" s="232">
        <f>SUM(AJ15/AK15)*100</f>
        <v>70.370370370370367</v>
      </c>
      <c r="AM15" s="228"/>
    </row>
    <row r="16" spans="1:51" ht="15" customHeight="1" thickBot="1" x14ac:dyDescent="0.3">
      <c r="A16" s="56" t="s">
        <v>664</v>
      </c>
      <c r="B16" s="96">
        <v>1</v>
      </c>
      <c r="C16" s="45">
        <v>0</v>
      </c>
      <c r="D16" s="5">
        <f t="shared" si="0"/>
        <v>1</v>
      </c>
      <c r="E16" s="79" t="s">
        <v>664</v>
      </c>
      <c r="F16" s="97">
        <v>5</v>
      </c>
      <c r="G16" s="210">
        <v>0</v>
      </c>
      <c r="H16" s="78">
        <f t="shared" si="1"/>
        <v>5</v>
      </c>
      <c r="I16" s="15" t="s">
        <v>43</v>
      </c>
      <c r="J16" s="45" t="s">
        <v>34</v>
      </c>
      <c r="K16" s="45" t="s">
        <v>34</v>
      </c>
      <c r="L16" s="46" t="s">
        <v>34</v>
      </c>
      <c r="M16" s="7" t="s">
        <v>34</v>
      </c>
      <c r="N16" s="7" t="s">
        <v>34</v>
      </c>
      <c r="O16" s="232" t="s">
        <v>34</v>
      </c>
      <c r="P16" s="7">
        <v>1</v>
      </c>
      <c r="Q16" s="7">
        <v>1</v>
      </c>
      <c r="R16" s="232">
        <f>SUM(P16/Q16)*100</f>
        <v>100</v>
      </c>
      <c r="S16" s="221">
        <v>1</v>
      </c>
      <c r="T16" s="7">
        <v>1</v>
      </c>
      <c r="U16" s="232">
        <f>SUM(S16/T16)*100</f>
        <v>100</v>
      </c>
      <c r="V16" s="354"/>
      <c r="W16" s="354"/>
      <c r="X16" s="354"/>
      <c r="Y16" s="354"/>
      <c r="Z16" s="354"/>
      <c r="AA16" s="221" t="s">
        <v>34</v>
      </c>
      <c r="AB16" s="7" t="s">
        <v>34</v>
      </c>
      <c r="AC16" s="7" t="s">
        <v>34</v>
      </c>
      <c r="AD16" s="221" t="s">
        <v>34</v>
      </c>
      <c r="AE16" s="7" t="s">
        <v>34</v>
      </c>
      <c r="AF16" s="7" t="s">
        <v>34</v>
      </c>
      <c r="AG16" s="221" t="s">
        <v>34</v>
      </c>
      <c r="AH16" s="7" t="s">
        <v>34</v>
      </c>
      <c r="AI16" s="7" t="s">
        <v>34</v>
      </c>
      <c r="AJ16" s="221">
        <v>3</v>
      </c>
      <c r="AK16" s="7">
        <v>5</v>
      </c>
      <c r="AL16" s="232">
        <v>60</v>
      </c>
      <c r="AM16" s="228" t="s">
        <v>94</v>
      </c>
    </row>
    <row r="17" spans="1:44" ht="15" customHeight="1" thickBot="1" x14ac:dyDescent="0.3">
      <c r="A17" s="56" t="s">
        <v>16</v>
      </c>
      <c r="B17" s="96">
        <v>0</v>
      </c>
      <c r="C17" s="45">
        <v>0</v>
      </c>
      <c r="D17" s="5">
        <f t="shared" si="0"/>
        <v>0</v>
      </c>
      <c r="E17" s="79" t="s">
        <v>16</v>
      </c>
      <c r="F17" s="97">
        <v>0</v>
      </c>
      <c r="G17" s="210">
        <v>0</v>
      </c>
      <c r="H17" s="78">
        <f t="shared" si="1"/>
        <v>0</v>
      </c>
      <c r="I17" s="15" t="s">
        <v>298</v>
      </c>
      <c r="J17" s="45" t="s">
        <v>34</v>
      </c>
      <c r="K17" s="45" t="s">
        <v>34</v>
      </c>
      <c r="L17" s="46" t="s">
        <v>34</v>
      </c>
      <c r="M17" s="7">
        <v>10</v>
      </c>
      <c r="N17" s="7">
        <v>12</v>
      </c>
      <c r="O17" s="232">
        <f t="shared" ref="O17:O18" si="3">SUM(M17/N17)*100</f>
        <v>83.333333333333343</v>
      </c>
      <c r="P17" s="7">
        <v>14</v>
      </c>
      <c r="Q17" s="7">
        <v>17</v>
      </c>
      <c r="R17" s="232">
        <f>SUM(P17/Q17)*100</f>
        <v>82.35294117647058</v>
      </c>
      <c r="S17" s="221" t="s">
        <v>34</v>
      </c>
      <c r="T17" s="7" t="s">
        <v>34</v>
      </c>
      <c r="U17" s="7" t="s">
        <v>34</v>
      </c>
      <c r="V17" s="354"/>
      <c r="W17" s="354"/>
      <c r="X17" s="354"/>
      <c r="Y17" s="354"/>
      <c r="Z17" s="354"/>
      <c r="AA17" s="221" t="s">
        <v>34</v>
      </c>
      <c r="AB17" s="7" t="s">
        <v>34</v>
      </c>
      <c r="AC17" s="7" t="s">
        <v>34</v>
      </c>
      <c r="AD17" s="6" t="s">
        <v>34</v>
      </c>
      <c r="AE17" s="7" t="s">
        <v>34</v>
      </c>
      <c r="AF17" s="7" t="s">
        <v>34</v>
      </c>
      <c r="AG17" s="6" t="s">
        <v>34</v>
      </c>
      <c r="AH17" s="7" t="s">
        <v>34</v>
      </c>
      <c r="AI17" s="7" t="s">
        <v>34</v>
      </c>
      <c r="AJ17" s="7" t="s">
        <v>34</v>
      </c>
      <c r="AK17" s="7" t="s">
        <v>34</v>
      </c>
      <c r="AL17" s="7" t="s">
        <v>34</v>
      </c>
      <c r="AM17" s="228"/>
    </row>
    <row r="18" spans="1:44" ht="15" customHeight="1" thickBot="1" x14ac:dyDescent="0.3">
      <c r="A18" s="56" t="s">
        <v>299</v>
      </c>
      <c r="B18" s="96">
        <v>2</v>
      </c>
      <c r="C18" s="45">
        <v>0</v>
      </c>
      <c r="D18" s="5">
        <f t="shared" si="0"/>
        <v>2</v>
      </c>
      <c r="E18" s="79" t="s">
        <v>299</v>
      </c>
      <c r="F18" s="97">
        <v>10</v>
      </c>
      <c r="G18" s="210">
        <v>0</v>
      </c>
      <c r="H18" s="78">
        <f t="shared" si="1"/>
        <v>10</v>
      </c>
      <c r="I18" s="286" t="s">
        <v>155</v>
      </c>
      <c r="J18" s="287">
        <v>4</v>
      </c>
      <c r="K18" s="287">
        <v>5</v>
      </c>
      <c r="L18" s="288">
        <f>SUM(J18/K18)*100</f>
        <v>80</v>
      </c>
      <c r="M18" s="364">
        <v>5</v>
      </c>
      <c r="N18" s="6">
        <v>6</v>
      </c>
      <c r="O18" s="230">
        <f t="shared" si="3"/>
        <v>83.333333333333343</v>
      </c>
      <c r="P18" s="7" t="s">
        <v>34</v>
      </c>
      <c r="Q18" s="7" t="s">
        <v>34</v>
      </c>
      <c r="R18" s="7" t="s">
        <v>34</v>
      </c>
      <c r="S18" s="221" t="s">
        <v>34</v>
      </c>
      <c r="T18" s="7" t="s">
        <v>34</v>
      </c>
      <c r="U18" s="7" t="s">
        <v>34</v>
      </c>
      <c r="V18" s="354"/>
      <c r="W18" s="354"/>
      <c r="X18" s="354"/>
      <c r="Y18" s="354"/>
      <c r="Z18" s="354"/>
      <c r="AA18" s="221" t="s">
        <v>34</v>
      </c>
      <c r="AB18" s="7" t="s">
        <v>34</v>
      </c>
      <c r="AC18" s="7" t="s">
        <v>34</v>
      </c>
      <c r="AD18" s="221" t="s">
        <v>34</v>
      </c>
      <c r="AE18" s="7" t="s">
        <v>34</v>
      </c>
      <c r="AF18" s="7" t="s">
        <v>34</v>
      </c>
      <c r="AG18" s="6" t="s">
        <v>34</v>
      </c>
      <c r="AH18" s="7" t="s">
        <v>34</v>
      </c>
      <c r="AI18" s="7" t="s">
        <v>34</v>
      </c>
      <c r="AJ18" s="7" t="s">
        <v>34</v>
      </c>
      <c r="AK18" s="7" t="s">
        <v>34</v>
      </c>
      <c r="AL18" s="7" t="s">
        <v>34</v>
      </c>
      <c r="AM18" s="283"/>
      <c r="AN18" s="281"/>
      <c r="AO18" s="281"/>
      <c r="AP18" s="281"/>
      <c r="AQ18" s="281"/>
      <c r="AR18" s="281"/>
    </row>
    <row r="19" spans="1:44" ht="15" customHeight="1" thickBot="1" x14ac:dyDescent="0.3">
      <c r="A19" s="56" t="s">
        <v>38</v>
      </c>
      <c r="B19" s="96">
        <v>2</v>
      </c>
      <c r="C19" s="45">
        <v>0</v>
      </c>
      <c r="D19" s="5">
        <f t="shared" si="0"/>
        <v>2</v>
      </c>
      <c r="E19" s="79" t="s">
        <v>38</v>
      </c>
      <c r="F19" s="97">
        <v>10</v>
      </c>
      <c r="G19" s="210">
        <v>0</v>
      </c>
      <c r="H19" s="78">
        <f t="shared" si="1"/>
        <v>10</v>
      </c>
      <c r="S19" s="354"/>
      <c r="T19" s="354"/>
      <c r="U19" s="354"/>
      <c r="V19" s="354"/>
      <c r="W19" s="354"/>
      <c r="X19" s="312"/>
      <c r="Y19" s="312"/>
      <c r="Z19" s="312"/>
      <c r="AA19" s="311"/>
      <c r="AB19" s="311"/>
      <c r="AC19" s="311"/>
    </row>
    <row r="20" spans="1:44" ht="15" customHeight="1" thickBot="1" x14ac:dyDescent="0.3">
      <c r="A20" s="56" t="s">
        <v>43</v>
      </c>
      <c r="B20" s="96">
        <v>2</v>
      </c>
      <c r="C20" s="45">
        <v>0</v>
      </c>
      <c r="D20" s="5">
        <f t="shared" si="0"/>
        <v>2</v>
      </c>
      <c r="E20" s="79" t="s">
        <v>43</v>
      </c>
      <c r="F20" s="97">
        <v>10</v>
      </c>
      <c r="G20" s="210">
        <v>0</v>
      </c>
      <c r="H20" s="78">
        <f t="shared" si="1"/>
        <v>10</v>
      </c>
      <c r="I20" s="515" t="s">
        <v>218</v>
      </c>
      <c r="J20" s="543" t="s">
        <v>836</v>
      </c>
      <c r="K20" s="549"/>
      <c r="L20" s="550"/>
      <c r="M20" s="543" t="s">
        <v>816</v>
      </c>
      <c r="N20" s="549"/>
      <c r="O20" s="550"/>
      <c r="P20" s="543" t="s">
        <v>574</v>
      </c>
      <c r="Q20" s="549"/>
      <c r="R20" s="550"/>
      <c r="S20" s="543" t="s">
        <v>217</v>
      </c>
      <c r="T20" s="549"/>
      <c r="U20" s="550"/>
      <c r="V20" s="354"/>
      <c r="W20" s="354"/>
      <c r="X20" s="613"/>
      <c r="Y20" s="613"/>
      <c r="Z20" s="613"/>
      <c r="AA20" s="549" t="s">
        <v>137</v>
      </c>
      <c r="AB20" s="549"/>
      <c r="AC20" s="550"/>
      <c r="AD20" s="543" t="s">
        <v>101</v>
      </c>
      <c r="AE20" s="549"/>
      <c r="AF20" s="550"/>
    </row>
    <row r="21" spans="1:44" ht="15" customHeight="1" thickBot="1" x14ac:dyDescent="0.3">
      <c r="A21" s="56" t="s">
        <v>708</v>
      </c>
      <c r="B21" s="96">
        <v>0</v>
      </c>
      <c r="C21" s="45">
        <v>0</v>
      </c>
      <c r="D21" s="5">
        <f t="shared" si="0"/>
        <v>0</v>
      </c>
      <c r="E21" s="79" t="s">
        <v>708</v>
      </c>
      <c r="F21" s="97">
        <v>0</v>
      </c>
      <c r="G21" s="210">
        <v>0</v>
      </c>
      <c r="H21" s="78">
        <f t="shared" si="1"/>
        <v>0</v>
      </c>
      <c r="I21" s="516"/>
      <c r="J21" s="551"/>
      <c r="K21" s="552"/>
      <c r="L21" s="553"/>
      <c r="M21" s="551"/>
      <c r="N21" s="552"/>
      <c r="O21" s="553"/>
      <c r="P21" s="551"/>
      <c r="Q21" s="552"/>
      <c r="R21" s="553"/>
      <c r="S21" s="551"/>
      <c r="T21" s="552"/>
      <c r="U21" s="553"/>
      <c r="V21" s="354"/>
      <c r="W21" s="354"/>
      <c r="X21" s="613"/>
      <c r="Y21" s="613"/>
      <c r="Z21" s="613"/>
      <c r="AA21" s="552"/>
      <c r="AB21" s="552"/>
      <c r="AC21" s="553"/>
      <c r="AD21" s="551"/>
      <c r="AE21" s="552"/>
      <c r="AF21" s="553"/>
    </row>
    <row r="22" spans="1:44" ht="15" customHeight="1" thickBot="1" x14ac:dyDescent="0.3">
      <c r="A22" s="56" t="s">
        <v>986</v>
      </c>
      <c r="B22" s="96">
        <v>7</v>
      </c>
      <c r="C22" s="45">
        <v>2</v>
      </c>
      <c r="D22" s="5">
        <f t="shared" si="0"/>
        <v>9</v>
      </c>
      <c r="E22" s="79" t="s">
        <v>986</v>
      </c>
      <c r="F22" s="97">
        <v>35</v>
      </c>
      <c r="G22" s="210">
        <v>10</v>
      </c>
      <c r="H22" s="78">
        <f t="shared" si="1"/>
        <v>45</v>
      </c>
      <c r="I22" s="33" t="s">
        <v>51</v>
      </c>
      <c r="J22" s="7" t="s">
        <v>129</v>
      </c>
      <c r="K22" s="7" t="s">
        <v>27</v>
      </c>
      <c r="L22" s="7" t="s">
        <v>28</v>
      </c>
      <c r="M22" s="7" t="s">
        <v>129</v>
      </c>
      <c r="N22" s="7" t="s">
        <v>27</v>
      </c>
      <c r="O22" s="7" t="s">
        <v>28</v>
      </c>
      <c r="P22" s="221" t="s">
        <v>129</v>
      </c>
      <c r="Q22" s="7" t="s">
        <v>27</v>
      </c>
      <c r="R22" s="7" t="s">
        <v>28</v>
      </c>
      <c r="S22" s="221" t="s">
        <v>129</v>
      </c>
      <c r="T22" s="7" t="s">
        <v>27</v>
      </c>
      <c r="U22" s="7" t="s">
        <v>28</v>
      </c>
      <c r="V22" s="354"/>
      <c r="W22" s="354"/>
      <c r="X22" s="365"/>
      <c r="Y22" s="365"/>
      <c r="Z22" s="365"/>
      <c r="AA22" s="7" t="s">
        <v>129</v>
      </c>
      <c r="AB22" s="7" t="s">
        <v>27</v>
      </c>
      <c r="AC22" s="7" t="s">
        <v>28</v>
      </c>
      <c r="AD22" s="221" t="s">
        <v>129</v>
      </c>
      <c r="AE22" s="7" t="s">
        <v>27</v>
      </c>
      <c r="AF22" s="7" t="s">
        <v>28</v>
      </c>
    </row>
    <row r="23" spans="1:44" ht="15" customHeight="1" thickBot="1" x14ac:dyDescent="0.3">
      <c r="A23" s="56" t="s">
        <v>728</v>
      </c>
      <c r="B23" s="96">
        <v>0</v>
      </c>
      <c r="C23" s="45">
        <v>0</v>
      </c>
      <c r="D23" s="5">
        <f t="shared" si="0"/>
        <v>0</v>
      </c>
      <c r="E23" s="79" t="s">
        <v>728</v>
      </c>
      <c r="F23" s="97">
        <v>0</v>
      </c>
      <c r="G23" s="210">
        <v>0</v>
      </c>
      <c r="H23" s="78">
        <f t="shared" si="1"/>
        <v>0</v>
      </c>
      <c r="I23" s="15" t="s">
        <v>121</v>
      </c>
      <c r="J23" s="7" t="s">
        <v>34</v>
      </c>
      <c r="K23" s="7" t="s">
        <v>34</v>
      </c>
      <c r="L23" s="7" t="s">
        <v>34</v>
      </c>
      <c r="M23" s="7" t="s">
        <v>34</v>
      </c>
      <c r="N23" s="7" t="s">
        <v>34</v>
      </c>
      <c r="O23" s="7" t="s">
        <v>34</v>
      </c>
      <c r="P23" s="221" t="s">
        <v>34</v>
      </c>
      <c r="Q23" s="7" t="s">
        <v>34</v>
      </c>
      <c r="R23" s="7" t="s">
        <v>34</v>
      </c>
      <c r="S23" s="221">
        <v>0</v>
      </c>
      <c r="T23" s="7">
        <v>1</v>
      </c>
      <c r="U23" s="232">
        <f>SUM(S23/T23)*100</f>
        <v>0</v>
      </c>
      <c r="V23" s="354"/>
      <c r="W23" s="354"/>
      <c r="X23" s="365"/>
      <c r="Y23" s="365"/>
      <c r="Z23" s="366"/>
      <c r="AA23" s="7" t="s">
        <v>34</v>
      </c>
      <c r="AB23" s="7" t="s">
        <v>34</v>
      </c>
      <c r="AC23" s="7" t="s">
        <v>34</v>
      </c>
      <c r="AD23" s="221" t="s">
        <v>34</v>
      </c>
      <c r="AE23" s="7" t="s">
        <v>34</v>
      </c>
      <c r="AF23" s="7" t="s">
        <v>34</v>
      </c>
    </row>
    <row r="24" spans="1:44" ht="15" customHeight="1" thickBot="1" x14ac:dyDescent="0.3">
      <c r="A24" s="56" t="s">
        <v>956</v>
      </c>
      <c r="B24" s="96">
        <v>0</v>
      </c>
      <c r="C24" s="45">
        <v>0</v>
      </c>
      <c r="D24" s="5">
        <f t="shared" si="0"/>
        <v>0</v>
      </c>
      <c r="E24" s="79" t="s">
        <v>956</v>
      </c>
      <c r="F24" s="97">
        <v>0</v>
      </c>
      <c r="G24" s="210">
        <v>0</v>
      </c>
      <c r="H24" s="78">
        <f t="shared" si="1"/>
        <v>0</v>
      </c>
      <c r="I24" s="15" t="s">
        <v>43</v>
      </c>
      <c r="J24" s="7">
        <v>1</v>
      </c>
      <c r="K24" s="7">
        <v>1</v>
      </c>
      <c r="L24" s="7">
        <f>(J24/K24)*100</f>
        <v>100</v>
      </c>
      <c r="M24" s="7" t="s">
        <v>34</v>
      </c>
      <c r="N24" s="7" t="s">
        <v>34</v>
      </c>
      <c r="O24" s="7" t="s">
        <v>34</v>
      </c>
      <c r="P24" s="221">
        <v>5</v>
      </c>
      <c r="Q24" s="7">
        <v>8</v>
      </c>
      <c r="R24" s="232">
        <f>SUM(P24/Q24)*100</f>
        <v>62.5</v>
      </c>
      <c r="S24" s="221" t="s">
        <v>34</v>
      </c>
      <c r="T24" s="7" t="s">
        <v>34</v>
      </c>
      <c r="U24" s="7" t="s">
        <v>34</v>
      </c>
      <c r="V24" s="354"/>
      <c r="W24" s="354"/>
      <c r="X24" s="365"/>
      <c r="Y24" s="365"/>
      <c r="Z24" s="365"/>
      <c r="AA24" s="7" t="s">
        <v>34</v>
      </c>
      <c r="AB24" s="7" t="s">
        <v>34</v>
      </c>
      <c r="AC24" s="7" t="s">
        <v>34</v>
      </c>
      <c r="AD24" s="221" t="s">
        <v>34</v>
      </c>
      <c r="AE24" s="7" t="s">
        <v>34</v>
      </c>
      <c r="AF24" s="7" t="s">
        <v>34</v>
      </c>
    </row>
    <row r="25" spans="1:44" ht="15" customHeight="1" thickBot="1" x14ac:dyDescent="0.3">
      <c r="A25" s="56" t="s">
        <v>6</v>
      </c>
      <c r="B25" s="96">
        <v>1</v>
      </c>
      <c r="C25" s="45">
        <v>0</v>
      </c>
      <c r="D25" s="5">
        <f t="shared" si="0"/>
        <v>1</v>
      </c>
      <c r="E25" s="79" t="s">
        <v>6</v>
      </c>
      <c r="F25" s="97">
        <v>7</v>
      </c>
      <c r="G25" s="210">
        <v>0</v>
      </c>
      <c r="H25" s="78">
        <f t="shared" si="1"/>
        <v>7</v>
      </c>
      <c r="I25" s="15" t="s">
        <v>298</v>
      </c>
      <c r="J25" s="7">
        <v>3</v>
      </c>
      <c r="K25" s="7">
        <v>3</v>
      </c>
      <c r="L25" s="7">
        <f>(J25/K25)*100</f>
        <v>100</v>
      </c>
      <c r="M25" s="7">
        <v>5</v>
      </c>
      <c r="N25" s="7">
        <v>5</v>
      </c>
      <c r="O25" s="232">
        <f>SUM(M25/N25)*100</f>
        <v>100</v>
      </c>
      <c r="P25" s="221" t="s">
        <v>34</v>
      </c>
      <c r="Q25" s="7" t="s">
        <v>34</v>
      </c>
      <c r="R25" s="7" t="s">
        <v>34</v>
      </c>
      <c r="S25" s="221" t="s">
        <v>34</v>
      </c>
      <c r="T25" s="7" t="s">
        <v>34</v>
      </c>
      <c r="U25" s="7" t="s">
        <v>34</v>
      </c>
      <c r="V25" s="354"/>
      <c r="W25" s="354"/>
      <c r="X25" s="365"/>
      <c r="Y25" s="365"/>
      <c r="Z25" s="365"/>
      <c r="AA25" s="231" t="s">
        <v>34</v>
      </c>
      <c r="AB25" s="7" t="s">
        <v>34</v>
      </c>
      <c r="AC25" s="7" t="s">
        <v>34</v>
      </c>
      <c r="AD25" s="6" t="s">
        <v>34</v>
      </c>
      <c r="AE25" s="7" t="s">
        <v>34</v>
      </c>
      <c r="AF25" s="7" t="s">
        <v>34</v>
      </c>
    </row>
    <row r="26" spans="1:44" ht="15" customHeight="1" thickBot="1" x14ac:dyDescent="0.3">
      <c r="A26" s="56" t="s">
        <v>958</v>
      </c>
      <c r="B26" s="96">
        <v>0</v>
      </c>
      <c r="C26" s="45">
        <v>0</v>
      </c>
      <c r="D26" s="5">
        <f t="shared" si="0"/>
        <v>0</v>
      </c>
      <c r="E26" s="79" t="s">
        <v>958</v>
      </c>
      <c r="F26" s="97">
        <v>0</v>
      </c>
      <c r="G26" s="210">
        <v>0</v>
      </c>
      <c r="H26" s="78">
        <f t="shared" si="1"/>
        <v>0</v>
      </c>
      <c r="I26" s="15" t="s">
        <v>155</v>
      </c>
      <c r="J26" s="7">
        <v>9</v>
      </c>
      <c r="K26" s="7">
        <v>13</v>
      </c>
      <c r="L26" s="232">
        <f>(J26/K26)*100</f>
        <v>69.230769230769226</v>
      </c>
      <c r="M26" s="7" t="s">
        <v>34</v>
      </c>
      <c r="N26" s="7" t="s">
        <v>34</v>
      </c>
      <c r="O26" s="7" t="s">
        <v>34</v>
      </c>
      <c r="P26" s="221">
        <v>6</v>
      </c>
      <c r="Q26" s="7">
        <v>8</v>
      </c>
      <c r="R26" s="232">
        <f>SUM(P26/Q26)*100</f>
        <v>75</v>
      </c>
      <c r="S26" s="221">
        <v>0</v>
      </c>
      <c r="T26" s="7">
        <v>2</v>
      </c>
      <c r="U26" s="232">
        <f>SUM(S26/T26)*100</f>
        <v>0</v>
      </c>
      <c r="V26" s="354"/>
      <c r="W26" s="354"/>
      <c r="X26" s="365"/>
      <c r="Y26" s="365"/>
      <c r="Z26" s="366"/>
      <c r="AA26" s="7" t="s">
        <v>34</v>
      </c>
      <c r="AB26" s="7" t="s">
        <v>34</v>
      </c>
      <c r="AC26" s="7" t="s">
        <v>34</v>
      </c>
      <c r="AD26" s="221" t="s">
        <v>34</v>
      </c>
      <c r="AE26" s="7" t="s">
        <v>34</v>
      </c>
      <c r="AF26" s="7" t="s">
        <v>34</v>
      </c>
    </row>
    <row r="27" spans="1:44" ht="15" customHeight="1" thickBot="1" x14ac:dyDescent="0.3">
      <c r="A27" s="56" t="s">
        <v>121</v>
      </c>
      <c r="B27" s="96">
        <v>2</v>
      </c>
      <c r="C27" s="45">
        <v>1</v>
      </c>
      <c r="D27" s="5">
        <f t="shared" si="0"/>
        <v>3</v>
      </c>
      <c r="E27" s="79" t="s">
        <v>121</v>
      </c>
      <c r="F27" s="97">
        <v>10</v>
      </c>
      <c r="G27" s="210">
        <v>5</v>
      </c>
      <c r="H27" s="78">
        <f t="shared" si="1"/>
        <v>15</v>
      </c>
      <c r="I27" s="537" t="s">
        <v>961</v>
      </c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4"/>
      <c r="AG27" s="614"/>
      <c r="AH27" s="77"/>
      <c r="AI27" s="77"/>
      <c r="AJ27" s="77"/>
      <c r="AK27" s="77"/>
    </row>
    <row r="28" spans="1:44" ht="15" customHeight="1" thickBot="1" x14ac:dyDescent="0.3">
      <c r="A28" s="56" t="s">
        <v>90</v>
      </c>
      <c r="B28" s="96">
        <v>1</v>
      </c>
      <c r="C28" s="45">
        <v>0</v>
      </c>
      <c r="D28" s="5">
        <f t="shared" si="0"/>
        <v>1</v>
      </c>
      <c r="E28" s="79" t="s">
        <v>90</v>
      </c>
      <c r="F28" s="97">
        <v>5</v>
      </c>
      <c r="G28" s="210">
        <v>0</v>
      </c>
      <c r="H28" s="78">
        <f t="shared" si="1"/>
        <v>5</v>
      </c>
    </row>
    <row r="29" spans="1:44" ht="15" customHeight="1" thickBot="1" x14ac:dyDescent="0.3">
      <c r="A29" s="56" t="s">
        <v>297</v>
      </c>
      <c r="B29" s="96">
        <v>4</v>
      </c>
      <c r="C29" s="45">
        <v>0</v>
      </c>
      <c r="D29" s="5">
        <f t="shared" si="0"/>
        <v>4</v>
      </c>
      <c r="E29" s="79" t="s">
        <v>297</v>
      </c>
      <c r="F29" s="97">
        <v>20</v>
      </c>
      <c r="G29" s="210">
        <v>0</v>
      </c>
      <c r="H29" s="78">
        <f t="shared" si="1"/>
        <v>20</v>
      </c>
    </row>
    <row r="30" spans="1:44" ht="15" customHeight="1" thickBot="1" x14ac:dyDescent="0.3">
      <c r="A30" s="56" t="s">
        <v>960</v>
      </c>
      <c r="B30" s="96">
        <v>0</v>
      </c>
      <c r="C30" s="45">
        <v>0</v>
      </c>
      <c r="D30" s="5">
        <f t="shared" si="0"/>
        <v>0</v>
      </c>
      <c r="E30" s="79" t="s">
        <v>960</v>
      </c>
      <c r="F30" s="97">
        <v>0</v>
      </c>
      <c r="G30" s="210">
        <v>0</v>
      </c>
      <c r="H30" s="78">
        <f t="shared" si="1"/>
        <v>0</v>
      </c>
    </row>
    <row r="31" spans="1:44" ht="15" customHeight="1" thickBot="1" x14ac:dyDescent="0.3">
      <c r="A31" s="56" t="s">
        <v>298</v>
      </c>
      <c r="B31" s="96">
        <v>1</v>
      </c>
      <c r="C31" s="45">
        <v>0</v>
      </c>
      <c r="D31" s="5">
        <f t="shared" si="0"/>
        <v>1</v>
      </c>
      <c r="E31" s="79" t="s">
        <v>298</v>
      </c>
      <c r="F31" s="97">
        <v>48</v>
      </c>
      <c r="G31" s="210">
        <v>0</v>
      </c>
      <c r="H31" s="78">
        <f t="shared" si="1"/>
        <v>48</v>
      </c>
    </row>
    <row r="32" spans="1:44" ht="15" customHeight="1" thickBot="1" x14ac:dyDescent="0.3">
      <c r="A32" s="56" t="s">
        <v>772</v>
      </c>
      <c r="B32" s="96">
        <v>0</v>
      </c>
      <c r="C32" s="45">
        <v>0</v>
      </c>
      <c r="D32" s="5">
        <f t="shared" si="0"/>
        <v>0</v>
      </c>
      <c r="E32" s="79" t="s">
        <v>772</v>
      </c>
      <c r="F32" s="97">
        <v>0</v>
      </c>
      <c r="G32" s="210">
        <v>0</v>
      </c>
      <c r="H32" s="78">
        <f t="shared" si="1"/>
        <v>0</v>
      </c>
    </row>
    <row r="33" spans="1:26" ht="15" customHeight="1" thickBot="1" x14ac:dyDescent="0.3">
      <c r="A33" s="56" t="s">
        <v>144</v>
      </c>
      <c r="B33" s="96">
        <v>2</v>
      </c>
      <c r="C33" s="45">
        <v>0</v>
      </c>
      <c r="D33" s="5">
        <f t="shared" si="0"/>
        <v>2</v>
      </c>
      <c r="E33" s="79" t="s">
        <v>144</v>
      </c>
      <c r="F33" s="97">
        <v>10</v>
      </c>
      <c r="G33" s="210">
        <v>0</v>
      </c>
      <c r="H33" s="78">
        <f t="shared" si="1"/>
        <v>10</v>
      </c>
    </row>
    <row r="34" spans="1:26" ht="15" customHeight="1" thickBot="1" x14ac:dyDescent="0.3">
      <c r="A34" s="56" t="s">
        <v>155</v>
      </c>
      <c r="B34" s="96">
        <v>1</v>
      </c>
      <c r="C34" s="45">
        <v>0</v>
      </c>
      <c r="D34" s="5">
        <f t="shared" si="0"/>
        <v>1</v>
      </c>
      <c r="E34" s="79" t="s">
        <v>155</v>
      </c>
      <c r="F34" s="97">
        <v>98</v>
      </c>
      <c r="G34" s="210">
        <v>10</v>
      </c>
      <c r="H34" s="78">
        <f t="shared" si="1"/>
        <v>108</v>
      </c>
    </row>
    <row r="35" spans="1:26" ht="15" customHeight="1" thickBot="1" x14ac:dyDescent="0.3">
      <c r="A35" s="56" t="s">
        <v>202</v>
      </c>
      <c r="B35" s="96">
        <v>3</v>
      </c>
      <c r="C35" s="45">
        <v>0</v>
      </c>
      <c r="D35" s="5">
        <f t="shared" si="0"/>
        <v>3</v>
      </c>
      <c r="E35" s="79" t="s">
        <v>202</v>
      </c>
      <c r="F35" s="97">
        <v>15</v>
      </c>
      <c r="G35" s="210">
        <v>0</v>
      </c>
      <c r="H35" s="78">
        <f t="shared" si="1"/>
        <v>15</v>
      </c>
      <c r="Z35" s="360"/>
    </row>
    <row r="36" spans="1:26" ht="15" customHeight="1" thickBot="1" x14ac:dyDescent="0.3">
      <c r="A36" s="56" t="s">
        <v>790</v>
      </c>
      <c r="B36" s="96">
        <v>0</v>
      </c>
      <c r="C36" s="45">
        <v>0</v>
      </c>
      <c r="D36" s="5">
        <f t="shared" si="0"/>
        <v>0</v>
      </c>
      <c r="E36" s="79" t="s">
        <v>790</v>
      </c>
      <c r="F36" s="97">
        <v>0</v>
      </c>
      <c r="G36" s="210">
        <v>0</v>
      </c>
      <c r="H36" s="78">
        <f t="shared" si="1"/>
        <v>0</v>
      </c>
    </row>
    <row r="37" spans="1:26" ht="15" customHeight="1" thickBot="1" x14ac:dyDescent="0.3">
      <c r="A37" s="56" t="s">
        <v>58</v>
      </c>
      <c r="B37" s="96">
        <v>1</v>
      </c>
      <c r="C37" s="45">
        <v>0</v>
      </c>
      <c r="D37" s="5">
        <f t="shared" si="0"/>
        <v>1</v>
      </c>
      <c r="E37" s="79" t="s">
        <v>58</v>
      </c>
      <c r="F37" s="97">
        <v>5</v>
      </c>
      <c r="G37" s="210">
        <v>0</v>
      </c>
      <c r="H37" s="78">
        <f t="shared" si="1"/>
        <v>5</v>
      </c>
    </row>
    <row r="38" spans="1:26" ht="15" customHeight="1" thickBot="1" x14ac:dyDescent="0.3">
      <c r="A38" s="56" t="s">
        <v>301</v>
      </c>
      <c r="B38" s="96">
        <v>2</v>
      </c>
      <c r="C38" s="45">
        <v>0</v>
      </c>
      <c r="D38" s="5">
        <f t="shared" si="0"/>
        <v>2</v>
      </c>
      <c r="E38" s="79" t="s">
        <v>301</v>
      </c>
      <c r="F38" s="97">
        <v>10</v>
      </c>
      <c r="G38" s="210">
        <v>0</v>
      </c>
      <c r="H38" s="78">
        <f t="shared" si="1"/>
        <v>10</v>
      </c>
    </row>
    <row r="39" spans="1:26" ht="15" customHeight="1" thickBot="1" x14ac:dyDescent="0.3">
      <c r="A39" s="56" t="s">
        <v>189</v>
      </c>
      <c r="B39" s="96">
        <v>1</v>
      </c>
      <c r="C39" s="45">
        <v>1</v>
      </c>
      <c r="D39" s="5">
        <f t="shared" si="0"/>
        <v>2</v>
      </c>
      <c r="E39" s="79" t="s">
        <v>189</v>
      </c>
      <c r="F39" s="97">
        <v>5</v>
      </c>
      <c r="G39" s="210">
        <v>5</v>
      </c>
      <c r="H39" s="78">
        <f t="shared" si="1"/>
        <v>10</v>
      </c>
    </row>
    <row r="40" spans="1:26" ht="15" customHeight="1" thickBot="1" x14ac:dyDescent="0.3">
      <c r="A40" s="56" t="s">
        <v>302</v>
      </c>
      <c r="B40" s="96">
        <v>8</v>
      </c>
      <c r="C40" s="45">
        <v>0</v>
      </c>
      <c r="D40" s="5">
        <f t="shared" si="0"/>
        <v>8</v>
      </c>
      <c r="E40" s="79" t="s">
        <v>302</v>
      </c>
      <c r="F40" s="97">
        <v>40</v>
      </c>
      <c r="G40" s="210">
        <v>0</v>
      </c>
      <c r="H40" s="78">
        <f t="shared" si="1"/>
        <v>40</v>
      </c>
    </row>
    <row r="41" spans="1:26" ht="15" customHeight="1" thickBot="1" x14ac:dyDescent="0.3">
      <c r="A41" s="56" t="s">
        <v>640</v>
      </c>
      <c r="B41" s="96">
        <v>0</v>
      </c>
      <c r="C41" s="45">
        <v>0</v>
      </c>
      <c r="D41" s="5">
        <f t="shared" si="0"/>
        <v>0</v>
      </c>
      <c r="E41" s="79" t="s">
        <v>640</v>
      </c>
      <c r="F41" s="97">
        <v>0</v>
      </c>
      <c r="G41" s="210">
        <v>0</v>
      </c>
      <c r="H41" s="78">
        <f t="shared" si="1"/>
        <v>0</v>
      </c>
    </row>
    <row r="42" spans="1:26" ht="15" customHeight="1" thickBot="1" x14ac:dyDescent="0.3">
      <c r="A42" s="56" t="s">
        <v>60</v>
      </c>
      <c r="B42" s="96">
        <v>3</v>
      </c>
      <c r="C42" s="45">
        <v>1</v>
      </c>
      <c r="D42" s="5">
        <f t="shared" si="0"/>
        <v>4</v>
      </c>
      <c r="E42" s="79" t="s">
        <v>60</v>
      </c>
      <c r="F42" s="97">
        <v>15</v>
      </c>
      <c r="G42" s="210">
        <v>5</v>
      </c>
      <c r="H42" s="78">
        <f t="shared" si="1"/>
        <v>20</v>
      </c>
    </row>
    <row r="43" spans="1:26" ht="15" customHeight="1" thickBot="1" x14ac:dyDescent="0.3">
      <c r="A43" s="56" t="s">
        <v>327</v>
      </c>
      <c r="B43" s="96">
        <v>0</v>
      </c>
      <c r="C43" s="45">
        <v>0</v>
      </c>
      <c r="D43" s="5">
        <f t="shared" si="0"/>
        <v>0</v>
      </c>
      <c r="E43" s="79" t="s">
        <v>327</v>
      </c>
      <c r="F43" s="97">
        <v>0</v>
      </c>
      <c r="G43" s="210">
        <v>0</v>
      </c>
      <c r="H43" s="78">
        <f t="shared" si="1"/>
        <v>0</v>
      </c>
    </row>
    <row r="44" spans="1:26" ht="15" customHeight="1" thickBot="1" x14ac:dyDescent="0.3">
      <c r="A44" s="56" t="s">
        <v>3</v>
      </c>
      <c r="B44" s="96">
        <f>SUM(B3:B43)</f>
        <v>66</v>
      </c>
      <c r="C44" s="45">
        <f>SUM(C3:C43)</f>
        <v>12</v>
      </c>
      <c r="D44" s="5">
        <f t="shared" si="0"/>
        <v>78</v>
      </c>
      <c r="E44" s="79" t="s">
        <v>3</v>
      </c>
      <c r="F44" s="97">
        <f>SUM(F3:F43)</f>
        <v>539</v>
      </c>
      <c r="G44" s="210">
        <f>SUM(G3:G43)</f>
        <v>82</v>
      </c>
      <c r="H44" s="78">
        <f t="shared" si="1"/>
        <v>621</v>
      </c>
    </row>
    <row r="45" spans="1:26" ht="15" customHeight="1" x14ac:dyDescent="0.25">
      <c r="E45" s="76"/>
      <c r="F45" s="37"/>
      <c r="G45" s="37"/>
      <c r="H45" s="37"/>
    </row>
    <row r="46" spans="1:26" ht="15" customHeight="1" thickBot="1" x14ac:dyDescent="0.3">
      <c r="A46" t="s">
        <v>30</v>
      </c>
      <c r="E46" s="77"/>
      <c r="F46" s="39"/>
      <c r="G46" s="39"/>
      <c r="H46" s="39"/>
    </row>
    <row r="47" spans="1:26" ht="15" customHeight="1" thickBot="1" x14ac:dyDescent="0.3">
      <c r="A47" s="149" t="s">
        <v>0</v>
      </c>
      <c r="B47" s="154" t="s">
        <v>815</v>
      </c>
      <c r="C47" s="140" t="s">
        <v>72</v>
      </c>
      <c r="D47" s="141" t="s">
        <v>1</v>
      </c>
      <c r="E47" s="150" t="s">
        <v>2</v>
      </c>
      <c r="F47" s="147" t="s">
        <v>815</v>
      </c>
      <c r="G47" s="212" t="s">
        <v>72</v>
      </c>
      <c r="H47" s="148" t="s">
        <v>1</v>
      </c>
    </row>
    <row r="48" spans="1:26" ht="15" customHeight="1" thickBot="1" x14ac:dyDescent="0.3">
      <c r="A48" s="56" t="s">
        <v>14</v>
      </c>
      <c r="B48" s="96">
        <v>9</v>
      </c>
      <c r="C48" s="45">
        <v>1</v>
      </c>
      <c r="D48" s="5">
        <f t="shared" ref="D48:D88" si="4">SUM(B48:C48)</f>
        <v>10</v>
      </c>
      <c r="E48" s="79" t="s">
        <v>155</v>
      </c>
      <c r="F48" s="97">
        <v>98</v>
      </c>
      <c r="G48" s="210">
        <v>10</v>
      </c>
      <c r="H48" s="78">
        <f t="shared" ref="H48:H88" si="5">SUM(F48:G48)</f>
        <v>108</v>
      </c>
    </row>
    <row r="49" spans="1:8" ht="15.75" thickBot="1" x14ac:dyDescent="0.3">
      <c r="A49" s="56" t="s">
        <v>986</v>
      </c>
      <c r="B49" s="96">
        <v>7</v>
      </c>
      <c r="C49" s="45">
        <v>2</v>
      </c>
      <c r="D49" s="5">
        <f t="shared" si="4"/>
        <v>9</v>
      </c>
      <c r="E49" s="79" t="s">
        <v>112</v>
      </c>
      <c r="F49" s="97">
        <v>66</v>
      </c>
      <c r="G49" s="210">
        <v>10</v>
      </c>
      <c r="H49" s="78">
        <f t="shared" si="5"/>
        <v>76</v>
      </c>
    </row>
    <row r="50" spans="1:8" ht="15.75" thickBot="1" x14ac:dyDescent="0.3">
      <c r="A50" s="56" t="s">
        <v>302</v>
      </c>
      <c r="B50" s="96">
        <v>8</v>
      </c>
      <c r="C50" s="45">
        <v>0</v>
      </c>
      <c r="D50" s="5">
        <f t="shared" si="4"/>
        <v>8</v>
      </c>
      <c r="E50" s="79" t="s">
        <v>14</v>
      </c>
      <c r="F50" s="97">
        <v>45</v>
      </c>
      <c r="G50" s="210">
        <v>5</v>
      </c>
      <c r="H50" s="78">
        <f t="shared" si="5"/>
        <v>50</v>
      </c>
    </row>
    <row r="51" spans="1:8" ht="15.75" thickBot="1" x14ac:dyDescent="0.3">
      <c r="A51" s="56" t="s">
        <v>143</v>
      </c>
      <c r="B51" s="96">
        <v>4</v>
      </c>
      <c r="C51" s="45">
        <v>1</v>
      </c>
      <c r="D51" s="5">
        <f t="shared" si="4"/>
        <v>5</v>
      </c>
      <c r="E51" s="79" t="s">
        <v>298</v>
      </c>
      <c r="F51" s="97">
        <v>48</v>
      </c>
      <c r="G51" s="210">
        <v>0</v>
      </c>
      <c r="H51" s="78">
        <f t="shared" si="5"/>
        <v>48</v>
      </c>
    </row>
    <row r="52" spans="1:8" ht="15.75" thickBot="1" x14ac:dyDescent="0.3">
      <c r="A52" s="56" t="s">
        <v>49</v>
      </c>
      <c r="B52" s="96">
        <v>4</v>
      </c>
      <c r="C52" s="45">
        <v>1</v>
      </c>
      <c r="D52" s="5">
        <f t="shared" si="4"/>
        <v>5</v>
      </c>
      <c r="E52" s="79" t="s">
        <v>986</v>
      </c>
      <c r="F52" s="97">
        <v>35</v>
      </c>
      <c r="G52" s="210">
        <v>10</v>
      </c>
      <c r="H52" s="78">
        <f t="shared" si="5"/>
        <v>45</v>
      </c>
    </row>
    <row r="53" spans="1:8" ht="15" customHeight="1" thickBot="1" x14ac:dyDescent="0.3">
      <c r="A53" s="56" t="s">
        <v>297</v>
      </c>
      <c r="B53" s="96">
        <v>4</v>
      </c>
      <c r="C53" s="45">
        <v>0</v>
      </c>
      <c r="D53" s="5">
        <f t="shared" si="4"/>
        <v>4</v>
      </c>
      <c r="E53" s="79" t="s">
        <v>302</v>
      </c>
      <c r="F53" s="97">
        <v>40</v>
      </c>
      <c r="G53" s="210">
        <v>0</v>
      </c>
      <c r="H53" s="78">
        <f t="shared" si="5"/>
        <v>40</v>
      </c>
    </row>
    <row r="54" spans="1:8" ht="15.75" thickBot="1" x14ac:dyDescent="0.3">
      <c r="A54" s="56" t="s">
        <v>60</v>
      </c>
      <c r="B54" s="96">
        <v>3</v>
      </c>
      <c r="C54" s="45">
        <v>1</v>
      </c>
      <c r="D54" s="5">
        <f t="shared" si="4"/>
        <v>4</v>
      </c>
      <c r="E54" s="79" t="s">
        <v>143</v>
      </c>
      <c r="F54" s="97">
        <v>20</v>
      </c>
      <c r="G54" s="210">
        <v>5</v>
      </c>
      <c r="H54" s="78">
        <f t="shared" si="5"/>
        <v>25</v>
      </c>
    </row>
    <row r="55" spans="1:8" ht="15.75" thickBot="1" x14ac:dyDescent="0.3">
      <c r="A55" s="56" t="s">
        <v>532</v>
      </c>
      <c r="B55" s="96">
        <v>1</v>
      </c>
      <c r="C55" s="45">
        <v>2</v>
      </c>
      <c r="D55" s="5">
        <f t="shared" si="4"/>
        <v>3</v>
      </c>
      <c r="E55" s="79" t="s">
        <v>49</v>
      </c>
      <c r="F55" s="97">
        <v>20</v>
      </c>
      <c r="G55" s="210">
        <v>5</v>
      </c>
      <c r="H55" s="78">
        <f t="shared" si="5"/>
        <v>25</v>
      </c>
    </row>
    <row r="56" spans="1:8" ht="15.75" thickBot="1" x14ac:dyDescent="0.3">
      <c r="A56" s="56" t="s">
        <v>121</v>
      </c>
      <c r="B56" s="96">
        <v>2</v>
      </c>
      <c r="C56" s="45">
        <v>1</v>
      </c>
      <c r="D56" s="5">
        <f t="shared" si="4"/>
        <v>3</v>
      </c>
      <c r="E56" s="79" t="s">
        <v>297</v>
      </c>
      <c r="F56" s="97">
        <v>20</v>
      </c>
      <c r="G56" s="210">
        <v>0</v>
      </c>
      <c r="H56" s="78">
        <f t="shared" si="5"/>
        <v>20</v>
      </c>
    </row>
    <row r="57" spans="1:8" ht="15.75" thickBot="1" x14ac:dyDescent="0.3">
      <c r="A57" s="56" t="s">
        <v>202</v>
      </c>
      <c r="B57" s="96">
        <v>3</v>
      </c>
      <c r="C57" s="45">
        <v>0</v>
      </c>
      <c r="D57" s="5">
        <f t="shared" si="4"/>
        <v>3</v>
      </c>
      <c r="E57" s="79" t="s">
        <v>60</v>
      </c>
      <c r="F57" s="97">
        <v>15</v>
      </c>
      <c r="G57" s="210">
        <v>5</v>
      </c>
      <c r="H57" s="78">
        <f t="shared" si="5"/>
        <v>20</v>
      </c>
    </row>
    <row r="58" spans="1:8" ht="15.75" thickBot="1" x14ac:dyDescent="0.3">
      <c r="A58" s="56" t="s">
        <v>81</v>
      </c>
      <c r="B58" s="96">
        <v>1</v>
      </c>
      <c r="C58" s="45">
        <v>1</v>
      </c>
      <c r="D58" s="5">
        <f t="shared" si="4"/>
        <v>2</v>
      </c>
      <c r="E58" s="79" t="s">
        <v>81</v>
      </c>
      <c r="F58" s="97">
        <v>10</v>
      </c>
      <c r="G58" s="210">
        <v>7</v>
      </c>
      <c r="H58" s="78">
        <f t="shared" si="5"/>
        <v>17</v>
      </c>
    </row>
    <row r="59" spans="1:8" ht="15.75" thickBot="1" x14ac:dyDescent="0.3">
      <c r="A59" s="56" t="s">
        <v>706</v>
      </c>
      <c r="B59" s="96">
        <v>2</v>
      </c>
      <c r="C59" s="45">
        <v>0</v>
      </c>
      <c r="D59" s="5">
        <f t="shared" si="4"/>
        <v>2</v>
      </c>
      <c r="E59" s="79" t="s">
        <v>532</v>
      </c>
      <c r="F59" s="97">
        <v>5</v>
      </c>
      <c r="G59" s="210">
        <v>10</v>
      </c>
      <c r="H59" s="78">
        <f t="shared" si="5"/>
        <v>15</v>
      </c>
    </row>
    <row r="60" spans="1:8" ht="15.75" thickBot="1" x14ac:dyDescent="0.3">
      <c r="A60" s="56" t="s">
        <v>299</v>
      </c>
      <c r="B60" s="96">
        <v>2</v>
      </c>
      <c r="C60" s="45">
        <v>0</v>
      </c>
      <c r="D60" s="5">
        <f t="shared" si="4"/>
        <v>2</v>
      </c>
      <c r="E60" s="79" t="s">
        <v>121</v>
      </c>
      <c r="F60" s="97">
        <v>10</v>
      </c>
      <c r="G60" s="210">
        <v>5</v>
      </c>
      <c r="H60" s="78">
        <f t="shared" si="5"/>
        <v>15</v>
      </c>
    </row>
    <row r="61" spans="1:8" ht="15.75" thickBot="1" x14ac:dyDescent="0.3">
      <c r="A61" s="56" t="s">
        <v>38</v>
      </c>
      <c r="B61" s="96">
        <v>2</v>
      </c>
      <c r="C61" s="45">
        <v>0</v>
      </c>
      <c r="D61" s="5">
        <f t="shared" si="4"/>
        <v>2</v>
      </c>
      <c r="E61" s="79" t="s">
        <v>202</v>
      </c>
      <c r="F61" s="97">
        <v>15</v>
      </c>
      <c r="G61" s="210">
        <v>0</v>
      </c>
      <c r="H61" s="78">
        <f t="shared" si="5"/>
        <v>15</v>
      </c>
    </row>
    <row r="62" spans="1:8" ht="15.75" thickBot="1" x14ac:dyDescent="0.3">
      <c r="A62" s="56" t="s">
        <v>43</v>
      </c>
      <c r="B62" s="96">
        <v>2</v>
      </c>
      <c r="C62" s="45">
        <v>0</v>
      </c>
      <c r="D62" s="5">
        <f t="shared" si="4"/>
        <v>2</v>
      </c>
      <c r="E62" s="79" t="s">
        <v>706</v>
      </c>
      <c r="F62" s="97">
        <v>10</v>
      </c>
      <c r="G62" s="210">
        <v>0</v>
      </c>
      <c r="H62" s="78">
        <f t="shared" si="5"/>
        <v>10</v>
      </c>
    </row>
    <row r="63" spans="1:8" ht="15.75" thickBot="1" x14ac:dyDescent="0.3">
      <c r="A63" s="56" t="s">
        <v>144</v>
      </c>
      <c r="B63" s="96">
        <v>2</v>
      </c>
      <c r="C63" s="45">
        <v>0</v>
      </c>
      <c r="D63" s="5">
        <f t="shared" si="4"/>
        <v>2</v>
      </c>
      <c r="E63" s="79" t="s">
        <v>299</v>
      </c>
      <c r="F63" s="97">
        <v>10</v>
      </c>
      <c r="G63" s="210">
        <v>0</v>
      </c>
      <c r="H63" s="78">
        <f t="shared" si="5"/>
        <v>10</v>
      </c>
    </row>
    <row r="64" spans="1:8" ht="15.75" thickBot="1" x14ac:dyDescent="0.3">
      <c r="A64" s="56" t="s">
        <v>301</v>
      </c>
      <c r="B64" s="96">
        <v>2</v>
      </c>
      <c r="C64" s="45">
        <v>0</v>
      </c>
      <c r="D64" s="5">
        <f t="shared" si="4"/>
        <v>2</v>
      </c>
      <c r="E64" s="79" t="s">
        <v>38</v>
      </c>
      <c r="F64" s="97">
        <v>10</v>
      </c>
      <c r="G64" s="210">
        <v>0</v>
      </c>
      <c r="H64" s="78">
        <f t="shared" si="5"/>
        <v>10</v>
      </c>
    </row>
    <row r="65" spans="1:8" ht="15.75" thickBot="1" x14ac:dyDescent="0.3">
      <c r="A65" s="56" t="s">
        <v>189</v>
      </c>
      <c r="B65" s="96">
        <v>1</v>
      </c>
      <c r="C65" s="45">
        <v>1</v>
      </c>
      <c r="D65" s="5">
        <f t="shared" si="4"/>
        <v>2</v>
      </c>
      <c r="E65" s="79" t="s">
        <v>43</v>
      </c>
      <c r="F65" s="97">
        <v>10</v>
      </c>
      <c r="G65" s="210">
        <v>0</v>
      </c>
      <c r="H65" s="78">
        <f t="shared" si="5"/>
        <v>10</v>
      </c>
    </row>
    <row r="66" spans="1:8" ht="15.75" thickBot="1" x14ac:dyDescent="0.3">
      <c r="A66" s="56" t="s">
        <v>991</v>
      </c>
      <c r="B66" s="96">
        <v>1</v>
      </c>
      <c r="C66" s="45">
        <v>0</v>
      </c>
      <c r="D66" s="5">
        <f t="shared" si="4"/>
        <v>1</v>
      </c>
      <c r="E66" s="79" t="s">
        <v>144</v>
      </c>
      <c r="F66" s="97">
        <v>10</v>
      </c>
      <c r="G66" s="210">
        <v>0</v>
      </c>
      <c r="H66" s="78">
        <f t="shared" si="5"/>
        <v>10</v>
      </c>
    </row>
    <row r="67" spans="1:8" ht="15.75" thickBot="1" x14ac:dyDescent="0.3">
      <c r="A67" s="56" t="s">
        <v>955</v>
      </c>
      <c r="B67" s="96">
        <v>0</v>
      </c>
      <c r="C67" s="45">
        <v>1</v>
      </c>
      <c r="D67" s="5">
        <f t="shared" si="4"/>
        <v>1</v>
      </c>
      <c r="E67" s="79" t="s">
        <v>301</v>
      </c>
      <c r="F67" s="97">
        <v>10</v>
      </c>
      <c r="G67" s="210">
        <v>0</v>
      </c>
      <c r="H67" s="78">
        <f t="shared" si="5"/>
        <v>10</v>
      </c>
    </row>
    <row r="68" spans="1:8" ht="15.75" thickBot="1" x14ac:dyDescent="0.3">
      <c r="A68" s="56" t="s">
        <v>664</v>
      </c>
      <c r="B68" s="96">
        <v>1</v>
      </c>
      <c r="C68" s="45">
        <v>0</v>
      </c>
      <c r="D68" s="5">
        <f t="shared" si="4"/>
        <v>1</v>
      </c>
      <c r="E68" s="79" t="s">
        <v>189</v>
      </c>
      <c r="F68" s="97">
        <v>5</v>
      </c>
      <c r="G68" s="210">
        <v>5</v>
      </c>
      <c r="H68" s="78">
        <f t="shared" si="5"/>
        <v>10</v>
      </c>
    </row>
    <row r="69" spans="1:8" ht="15.75" thickBot="1" x14ac:dyDescent="0.3">
      <c r="A69" s="56" t="s">
        <v>6</v>
      </c>
      <c r="B69" s="96">
        <v>1</v>
      </c>
      <c r="C69" s="45">
        <v>0</v>
      </c>
      <c r="D69" s="5">
        <f t="shared" si="4"/>
        <v>1</v>
      </c>
      <c r="E69" s="79" t="s">
        <v>6</v>
      </c>
      <c r="F69" s="97">
        <v>7</v>
      </c>
      <c r="G69" s="210">
        <v>0</v>
      </c>
      <c r="H69" s="78">
        <f t="shared" si="5"/>
        <v>7</v>
      </c>
    </row>
    <row r="70" spans="1:8" ht="15.75" thickBot="1" x14ac:dyDescent="0.3">
      <c r="A70" s="56" t="s">
        <v>90</v>
      </c>
      <c r="B70" s="96">
        <v>1</v>
      </c>
      <c r="C70" s="45">
        <v>0</v>
      </c>
      <c r="D70" s="5">
        <f t="shared" si="4"/>
        <v>1</v>
      </c>
      <c r="E70" s="79" t="s">
        <v>991</v>
      </c>
      <c r="F70" s="97">
        <v>5</v>
      </c>
      <c r="G70" s="210">
        <v>0</v>
      </c>
      <c r="H70" s="78">
        <f t="shared" si="5"/>
        <v>5</v>
      </c>
    </row>
    <row r="71" spans="1:8" ht="15.75" thickBot="1" x14ac:dyDescent="0.3">
      <c r="A71" s="56" t="s">
        <v>298</v>
      </c>
      <c r="B71" s="96">
        <v>1</v>
      </c>
      <c r="C71" s="45">
        <v>0</v>
      </c>
      <c r="D71" s="5">
        <f t="shared" si="4"/>
        <v>1</v>
      </c>
      <c r="E71" s="79" t="s">
        <v>955</v>
      </c>
      <c r="F71" s="97">
        <v>0</v>
      </c>
      <c r="G71" s="210">
        <v>5</v>
      </c>
      <c r="H71" s="78">
        <f t="shared" si="5"/>
        <v>5</v>
      </c>
    </row>
    <row r="72" spans="1:8" ht="15.75" thickBot="1" x14ac:dyDescent="0.3">
      <c r="A72" s="56" t="s">
        <v>155</v>
      </c>
      <c r="B72" s="96">
        <v>1</v>
      </c>
      <c r="C72" s="45">
        <v>0</v>
      </c>
      <c r="D72" s="5">
        <f t="shared" si="4"/>
        <v>1</v>
      </c>
      <c r="E72" s="79" t="s">
        <v>664</v>
      </c>
      <c r="F72" s="97">
        <v>5</v>
      </c>
      <c r="G72" s="210">
        <v>0</v>
      </c>
      <c r="H72" s="78">
        <f t="shared" si="5"/>
        <v>5</v>
      </c>
    </row>
    <row r="73" spans="1:8" ht="15.75" thickBot="1" x14ac:dyDescent="0.3">
      <c r="A73" s="56" t="s">
        <v>58</v>
      </c>
      <c r="B73" s="96">
        <v>1</v>
      </c>
      <c r="C73" s="45">
        <v>0</v>
      </c>
      <c r="D73" s="5">
        <f t="shared" si="4"/>
        <v>1</v>
      </c>
      <c r="E73" s="79" t="s">
        <v>90</v>
      </c>
      <c r="F73" s="97">
        <v>5</v>
      </c>
      <c r="G73" s="210">
        <v>0</v>
      </c>
      <c r="H73" s="78">
        <f t="shared" si="5"/>
        <v>5</v>
      </c>
    </row>
    <row r="74" spans="1:8" ht="15.75" thickBot="1" x14ac:dyDescent="0.3">
      <c r="A74" s="56" t="s">
        <v>718</v>
      </c>
      <c r="B74" s="96">
        <v>0</v>
      </c>
      <c r="C74" s="45">
        <v>0</v>
      </c>
      <c r="D74" s="5">
        <f t="shared" si="4"/>
        <v>0</v>
      </c>
      <c r="E74" s="79" t="s">
        <v>58</v>
      </c>
      <c r="F74" s="97">
        <v>5</v>
      </c>
      <c r="G74" s="210">
        <v>0</v>
      </c>
      <c r="H74" s="78">
        <f t="shared" si="5"/>
        <v>5</v>
      </c>
    </row>
    <row r="75" spans="1:8" ht="15.75" thickBot="1" x14ac:dyDescent="0.3">
      <c r="A75" s="56" t="s">
        <v>91</v>
      </c>
      <c r="B75" s="96">
        <v>0</v>
      </c>
      <c r="C75" s="45">
        <v>0</v>
      </c>
      <c r="D75" s="5">
        <f t="shared" si="4"/>
        <v>0</v>
      </c>
      <c r="E75" s="79" t="s">
        <v>718</v>
      </c>
      <c r="F75" s="97">
        <v>0</v>
      </c>
      <c r="G75" s="210">
        <v>0</v>
      </c>
      <c r="H75" s="78">
        <f t="shared" si="5"/>
        <v>0</v>
      </c>
    </row>
    <row r="76" spans="1:8" ht="15.75" thickBot="1" x14ac:dyDescent="0.3">
      <c r="A76" s="56" t="s">
        <v>627</v>
      </c>
      <c r="B76" s="96">
        <v>0</v>
      </c>
      <c r="C76" s="45">
        <v>0</v>
      </c>
      <c r="D76" s="5">
        <f t="shared" si="4"/>
        <v>0</v>
      </c>
      <c r="E76" s="79" t="s">
        <v>91</v>
      </c>
      <c r="F76" s="97">
        <v>0</v>
      </c>
      <c r="G76" s="210">
        <v>0</v>
      </c>
      <c r="H76" s="78">
        <f t="shared" si="5"/>
        <v>0</v>
      </c>
    </row>
    <row r="77" spans="1:8" ht="15.75" thickBot="1" x14ac:dyDescent="0.3">
      <c r="A77" s="56" t="s">
        <v>186</v>
      </c>
      <c r="B77" s="96">
        <v>0</v>
      </c>
      <c r="C77" s="45">
        <v>0</v>
      </c>
      <c r="D77" s="5">
        <f t="shared" si="4"/>
        <v>0</v>
      </c>
      <c r="E77" s="79" t="s">
        <v>627</v>
      </c>
      <c r="F77" s="97">
        <v>0</v>
      </c>
      <c r="G77" s="210">
        <v>0</v>
      </c>
      <c r="H77" s="78">
        <f t="shared" si="5"/>
        <v>0</v>
      </c>
    </row>
    <row r="78" spans="1:8" ht="15.75" thickBot="1" x14ac:dyDescent="0.3">
      <c r="A78" s="56" t="s">
        <v>112</v>
      </c>
      <c r="B78" s="96">
        <v>0</v>
      </c>
      <c r="C78" s="45">
        <v>0</v>
      </c>
      <c r="D78" s="5">
        <f t="shared" si="4"/>
        <v>0</v>
      </c>
      <c r="E78" s="79" t="s">
        <v>186</v>
      </c>
      <c r="F78" s="97">
        <v>0</v>
      </c>
      <c r="G78" s="210">
        <v>0</v>
      </c>
      <c r="H78" s="78">
        <f t="shared" si="5"/>
        <v>0</v>
      </c>
    </row>
    <row r="79" spans="1:8" ht="15.75" thickBot="1" x14ac:dyDescent="0.3">
      <c r="A79" s="56" t="s">
        <v>16</v>
      </c>
      <c r="B79" s="96">
        <v>0</v>
      </c>
      <c r="C79" s="45">
        <v>0</v>
      </c>
      <c r="D79" s="5">
        <f t="shared" si="4"/>
        <v>0</v>
      </c>
      <c r="E79" s="79" t="s">
        <v>16</v>
      </c>
      <c r="F79" s="97">
        <v>0</v>
      </c>
      <c r="G79" s="210">
        <v>0</v>
      </c>
      <c r="H79" s="78">
        <f t="shared" si="5"/>
        <v>0</v>
      </c>
    </row>
    <row r="80" spans="1:8" ht="15.75" thickBot="1" x14ac:dyDescent="0.3">
      <c r="A80" s="56" t="s">
        <v>708</v>
      </c>
      <c r="B80" s="96">
        <v>0</v>
      </c>
      <c r="C80" s="45">
        <v>0</v>
      </c>
      <c r="D80" s="5">
        <f t="shared" si="4"/>
        <v>0</v>
      </c>
      <c r="E80" s="79" t="s">
        <v>708</v>
      </c>
      <c r="F80" s="97">
        <v>0</v>
      </c>
      <c r="G80" s="210">
        <v>0</v>
      </c>
      <c r="H80" s="78">
        <f t="shared" si="5"/>
        <v>0</v>
      </c>
    </row>
    <row r="81" spans="1:8" ht="15.75" thickBot="1" x14ac:dyDescent="0.3">
      <c r="A81" s="56" t="s">
        <v>728</v>
      </c>
      <c r="B81" s="96">
        <v>0</v>
      </c>
      <c r="C81" s="45">
        <v>0</v>
      </c>
      <c r="D81" s="5">
        <f t="shared" si="4"/>
        <v>0</v>
      </c>
      <c r="E81" s="79" t="s">
        <v>728</v>
      </c>
      <c r="F81" s="97">
        <v>0</v>
      </c>
      <c r="G81" s="210">
        <v>0</v>
      </c>
      <c r="H81" s="78">
        <f t="shared" si="5"/>
        <v>0</v>
      </c>
    </row>
    <row r="82" spans="1:8" ht="15.75" thickBot="1" x14ac:dyDescent="0.3">
      <c r="A82" s="56" t="s">
        <v>956</v>
      </c>
      <c r="B82" s="96">
        <v>0</v>
      </c>
      <c r="C82" s="45">
        <v>0</v>
      </c>
      <c r="D82" s="5">
        <f t="shared" si="4"/>
        <v>0</v>
      </c>
      <c r="E82" s="79" t="s">
        <v>956</v>
      </c>
      <c r="F82" s="97">
        <v>0</v>
      </c>
      <c r="G82" s="210">
        <v>0</v>
      </c>
      <c r="H82" s="78">
        <f t="shared" si="5"/>
        <v>0</v>
      </c>
    </row>
    <row r="83" spans="1:8" ht="15.75" thickBot="1" x14ac:dyDescent="0.3">
      <c r="A83" s="56" t="s">
        <v>958</v>
      </c>
      <c r="B83" s="96">
        <v>0</v>
      </c>
      <c r="C83" s="45">
        <v>0</v>
      </c>
      <c r="D83" s="5">
        <f t="shared" si="4"/>
        <v>0</v>
      </c>
      <c r="E83" s="79" t="s">
        <v>958</v>
      </c>
      <c r="F83" s="97">
        <v>0</v>
      </c>
      <c r="G83" s="210">
        <v>0</v>
      </c>
      <c r="H83" s="78">
        <f t="shared" si="5"/>
        <v>0</v>
      </c>
    </row>
    <row r="84" spans="1:8" ht="15.75" thickBot="1" x14ac:dyDescent="0.3">
      <c r="A84" s="56" t="s">
        <v>960</v>
      </c>
      <c r="B84" s="96">
        <v>0</v>
      </c>
      <c r="C84" s="45">
        <v>0</v>
      </c>
      <c r="D84" s="5">
        <f t="shared" si="4"/>
        <v>0</v>
      </c>
      <c r="E84" s="79" t="s">
        <v>960</v>
      </c>
      <c r="F84" s="97">
        <v>0</v>
      </c>
      <c r="G84" s="210">
        <v>0</v>
      </c>
      <c r="H84" s="78">
        <f t="shared" si="5"/>
        <v>0</v>
      </c>
    </row>
    <row r="85" spans="1:8" ht="15" customHeight="1" thickBot="1" x14ac:dyDescent="0.3">
      <c r="A85" s="56" t="s">
        <v>772</v>
      </c>
      <c r="B85" s="96">
        <v>0</v>
      </c>
      <c r="C85" s="45">
        <v>0</v>
      </c>
      <c r="D85" s="5">
        <f t="shared" si="4"/>
        <v>0</v>
      </c>
      <c r="E85" s="79" t="s">
        <v>772</v>
      </c>
      <c r="F85" s="97">
        <v>0</v>
      </c>
      <c r="G85" s="210">
        <v>0</v>
      </c>
      <c r="H85" s="78">
        <f t="shared" si="5"/>
        <v>0</v>
      </c>
    </row>
    <row r="86" spans="1:8" ht="15.75" thickBot="1" x14ac:dyDescent="0.3">
      <c r="A86" s="56" t="s">
        <v>790</v>
      </c>
      <c r="B86" s="96">
        <v>0</v>
      </c>
      <c r="C86" s="45">
        <v>0</v>
      </c>
      <c r="D86" s="5">
        <f t="shared" si="4"/>
        <v>0</v>
      </c>
      <c r="E86" s="79" t="s">
        <v>790</v>
      </c>
      <c r="F86" s="97">
        <v>0</v>
      </c>
      <c r="G86" s="210">
        <v>0</v>
      </c>
      <c r="H86" s="78">
        <f t="shared" si="5"/>
        <v>0</v>
      </c>
    </row>
    <row r="87" spans="1:8" ht="15" customHeight="1" thickBot="1" x14ac:dyDescent="0.3">
      <c r="A87" s="56" t="s">
        <v>640</v>
      </c>
      <c r="B87" s="96">
        <v>0</v>
      </c>
      <c r="C87" s="45">
        <v>0</v>
      </c>
      <c r="D87" s="5">
        <f t="shared" si="4"/>
        <v>0</v>
      </c>
      <c r="E87" s="79" t="s">
        <v>640</v>
      </c>
      <c r="F87" s="97">
        <v>0</v>
      </c>
      <c r="G87" s="210">
        <v>0</v>
      </c>
      <c r="H87" s="78">
        <f t="shared" si="5"/>
        <v>0</v>
      </c>
    </row>
    <row r="88" spans="1:8" ht="15.75" thickBot="1" x14ac:dyDescent="0.3">
      <c r="A88" s="56" t="s">
        <v>327</v>
      </c>
      <c r="B88" s="96">
        <v>0</v>
      </c>
      <c r="C88" s="45">
        <v>0</v>
      </c>
      <c r="D88" s="5">
        <f t="shared" si="4"/>
        <v>0</v>
      </c>
      <c r="E88" s="79" t="s">
        <v>327</v>
      </c>
      <c r="F88" s="97">
        <v>0</v>
      </c>
      <c r="G88" s="210">
        <v>0</v>
      </c>
      <c r="H88" s="78">
        <f t="shared" si="5"/>
        <v>0</v>
      </c>
    </row>
    <row r="89" spans="1:8" ht="15" customHeight="1" thickBot="1" x14ac:dyDescent="0.3">
      <c r="A89" s="56" t="s">
        <v>3</v>
      </c>
      <c r="B89" s="96">
        <f>SUM(B48:B88)</f>
        <v>66</v>
      </c>
      <c r="C89" s="45">
        <f>SUM(C48:C88)</f>
        <v>12</v>
      </c>
      <c r="D89" s="5">
        <f t="shared" ref="D89" si="6">SUM(B89:C89)</f>
        <v>78</v>
      </c>
      <c r="E89" s="79" t="s">
        <v>3</v>
      </c>
      <c r="F89" s="97">
        <f>SUM(F48:F88)</f>
        <v>539</v>
      </c>
      <c r="G89" s="210">
        <f>SUM(G48:G88)</f>
        <v>82</v>
      </c>
      <c r="H89" s="78">
        <f t="shared" ref="H89" si="7">SUM(F89:G89)</f>
        <v>621</v>
      </c>
    </row>
    <row r="90" spans="1:8" x14ac:dyDescent="0.25">
      <c r="A90" s="535" t="s">
        <v>95</v>
      </c>
      <c r="B90" s="536"/>
      <c r="C90" s="536"/>
      <c r="D90" s="536"/>
      <c r="E90" s="536"/>
      <c r="F90" s="536"/>
      <c r="G90" s="536"/>
      <c r="H90" s="536"/>
    </row>
  </sheetData>
  <sortState xmlns:xlrd2="http://schemas.microsoft.com/office/spreadsheetml/2017/richdata2" ref="E48:H88">
    <sortCondition descending="1" ref="H48:H88"/>
  </sortState>
  <mergeCells count="32">
    <mergeCell ref="I27:AG27"/>
    <mergeCell ref="S11:U12"/>
    <mergeCell ref="AG11:AI12"/>
    <mergeCell ref="P20:R21"/>
    <mergeCell ref="AD20:AF21"/>
    <mergeCell ref="I20:I21"/>
    <mergeCell ref="J20:L21"/>
    <mergeCell ref="S20:U21"/>
    <mergeCell ref="P11:R12"/>
    <mergeCell ref="A1:H1"/>
    <mergeCell ref="AA1:AC2"/>
    <mergeCell ref="AA11:AC12"/>
    <mergeCell ref="X20:Z21"/>
    <mergeCell ref="R1:T2"/>
    <mergeCell ref="M11:O12"/>
    <mergeCell ref="U1:W2"/>
    <mergeCell ref="A90:H90"/>
    <mergeCell ref="AP1:AR2"/>
    <mergeCell ref="AM1:AO2"/>
    <mergeCell ref="P1:Q2"/>
    <mergeCell ref="I11:I12"/>
    <mergeCell ref="I1:I2"/>
    <mergeCell ref="AJ1:AL2"/>
    <mergeCell ref="J11:L12"/>
    <mergeCell ref="AG1:AI2"/>
    <mergeCell ref="AJ11:AL12"/>
    <mergeCell ref="J1:L2"/>
    <mergeCell ref="M1:O2"/>
    <mergeCell ref="M20:O21"/>
    <mergeCell ref="AD1:AF2"/>
    <mergeCell ref="AD11:AF12"/>
    <mergeCell ref="AA20:AC2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96"/>
  <sheetViews>
    <sheetView topLeftCell="A11" workbookViewId="0">
      <selection sqref="A1:AI47"/>
    </sheetView>
  </sheetViews>
  <sheetFormatPr defaultColWidth="8.85546875" defaultRowHeight="15" x14ac:dyDescent="0.25"/>
  <cols>
    <col min="1" max="1" width="16.42578125" customWidth="1"/>
    <col min="2" max="3" width="3.7109375" customWidth="1"/>
    <col min="4" max="4" width="4.7109375" customWidth="1"/>
    <col min="5" max="5" width="16.42578125" customWidth="1"/>
    <col min="6" max="8" width="5.28515625" customWidth="1"/>
    <col min="9" max="9" width="15.42578125" customWidth="1"/>
    <col min="10" max="11" width="5.42578125" customWidth="1"/>
    <col min="12" max="12" width="5.7109375" customWidth="1"/>
    <col min="13" max="13" width="4.7109375" customWidth="1"/>
    <col min="14" max="14" width="5.42578125" customWidth="1"/>
    <col min="15" max="35" width="5.7109375" customWidth="1"/>
    <col min="36" max="36" width="9.28515625" bestFit="1" customWidth="1"/>
  </cols>
  <sheetData>
    <row r="1" spans="1:43" ht="15" customHeight="1" thickBot="1" x14ac:dyDescent="0.3">
      <c r="A1" s="616" t="s">
        <v>814</v>
      </c>
      <c r="B1" s="617"/>
      <c r="C1" s="617"/>
      <c r="D1" s="617"/>
      <c r="E1" s="617"/>
      <c r="F1" s="617"/>
      <c r="G1" s="617"/>
      <c r="H1" s="618"/>
      <c r="I1" s="531" t="s">
        <v>658</v>
      </c>
      <c r="J1" s="525" t="s">
        <v>33</v>
      </c>
      <c r="K1" s="526"/>
      <c r="L1" s="527"/>
      <c r="M1" s="525" t="s">
        <v>110</v>
      </c>
      <c r="N1" s="526"/>
      <c r="O1" s="527"/>
      <c r="P1" s="525" t="s">
        <v>657</v>
      </c>
      <c r="Q1" s="527"/>
      <c r="R1" s="543" t="s">
        <v>836</v>
      </c>
      <c r="S1" s="549"/>
      <c r="T1" s="550"/>
      <c r="U1" s="543" t="s">
        <v>816</v>
      </c>
      <c r="V1" s="549"/>
      <c r="W1" s="550"/>
      <c r="X1" s="453"/>
      <c r="Y1" s="452"/>
      <c r="Z1" s="454"/>
      <c r="AA1" s="543" t="s">
        <v>574</v>
      </c>
      <c r="AB1" s="549"/>
      <c r="AC1" s="550"/>
      <c r="AD1" s="543" t="s">
        <v>217</v>
      </c>
      <c r="AE1" s="549"/>
      <c r="AF1" s="550"/>
      <c r="AG1" s="543" t="s">
        <v>147</v>
      </c>
      <c r="AH1" s="549"/>
      <c r="AI1" s="550"/>
      <c r="AL1" s="4"/>
      <c r="AM1" s="4"/>
      <c r="AN1" s="4"/>
      <c r="AQ1" s="4"/>
    </row>
    <row r="2" spans="1:43" ht="15" customHeight="1" thickBot="1" x14ac:dyDescent="0.3">
      <c r="A2" s="419" t="s">
        <v>0</v>
      </c>
      <c r="B2" s="208" t="s">
        <v>219</v>
      </c>
      <c r="C2" s="166" t="s">
        <v>73</v>
      </c>
      <c r="D2" s="421" t="s">
        <v>1</v>
      </c>
      <c r="E2" s="420" t="s">
        <v>2</v>
      </c>
      <c r="F2" s="147" t="s">
        <v>219</v>
      </c>
      <c r="G2" s="217" t="s">
        <v>73</v>
      </c>
      <c r="H2" s="212" t="s">
        <v>1</v>
      </c>
      <c r="I2" s="532"/>
      <c r="J2" s="528"/>
      <c r="K2" s="529"/>
      <c r="L2" s="530"/>
      <c r="M2" s="528"/>
      <c r="N2" s="529"/>
      <c r="O2" s="530"/>
      <c r="P2" s="528"/>
      <c r="Q2" s="530"/>
      <c r="R2" s="551"/>
      <c r="S2" s="552"/>
      <c r="T2" s="553"/>
      <c r="U2" s="551"/>
      <c r="V2" s="552"/>
      <c r="W2" s="553"/>
      <c r="X2" s="453"/>
      <c r="Y2" s="452"/>
      <c r="Z2" s="454"/>
      <c r="AA2" s="551"/>
      <c r="AB2" s="552"/>
      <c r="AC2" s="553"/>
      <c r="AD2" s="551"/>
      <c r="AE2" s="552"/>
      <c r="AF2" s="553"/>
      <c r="AG2" s="551"/>
      <c r="AH2" s="552"/>
      <c r="AI2" s="553"/>
    </row>
    <row r="3" spans="1:43" ht="15" customHeight="1" thickBot="1" x14ac:dyDescent="0.3">
      <c r="A3" s="422" t="s">
        <v>122</v>
      </c>
      <c r="B3" s="186">
        <v>2</v>
      </c>
      <c r="C3" s="167">
        <v>0</v>
      </c>
      <c r="D3" s="427">
        <f t="shared" ref="D3:D47" si="0">SUM(B3:C3)</f>
        <v>2</v>
      </c>
      <c r="E3" s="216" t="s">
        <v>122</v>
      </c>
      <c r="F3" s="97">
        <v>10</v>
      </c>
      <c r="G3" s="218">
        <v>0</v>
      </c>
      <c r="H3" s="210">
        <f t="shared" ref="H3:H47" si="1">SUM(F3:G3)</f>
        <v>10</v>
      </c>
      <c r="I3" s="33"/>
      <c r="J3" s="3" t="s">
        <v>129</v>
      </c>
      <c r="K3" s="3" t="s">
        <v>27</v>
      </c>
      <c r="L3" s="3" t="s">
        <v>28</v>
      </c>
      <c r="M3" s="3" t="s">
        <v>129</v>
      </c>
      <c r="N3" s="3" t="s">
        <v>27</v>
      </c>
      <c r="O3" s="3" t="s">
        <v>28</v>
      </c>
      <c r="P3" s="3" t="s">
        <v>40</v>
      </c>
      <c r="Q3" s="3" t="s">
        <v>166</v>
      </c>
      <c r="R3" s="7" t="s">
        <v>129</v>
      </c>
      <c r="S3" s="7" t="s">
        <v>27</v>
      </c>
      <c r="T3" s="7" t="s">
        <v>28</v>
      </c>
      <c r="U3" s="221" t="s">
        <v>129</v>
      </c>
      <c r="V3" s="7" t="s">
        <v>27</v>
      </c>
      <c r="W3" s="7" t="s">
        <v>28</v>
      </c>
      <c r="X3" s="455"/>
      <c r="Y3" s="456"/>
      <c r="Z3" s="457"/>
      <c r="AA3" s="221" t="s">
        <v>129</v>
      </c>
      <c r="AB3" s="7" t="s">
        <v>27</v>
      </c>
      <c r="AC3" s="7" t="s">
        <v>28</v>
      </c>
      <c r="AD3" s="221" t="s">
        <v>129</v>
      </c>
      <c r="AE3" s="7" t="s">
        <v>27</v>
      </c>
      <c r="AF3" s="7" t="s">
        <v>28</v>
      </c>
      <c r="AG3" s="7" t="s">
        <v>129</v>
      </c>
      <c r="AH3" s="7" t="s">
        <v>27</v>
      </c>
      <c r="AI3" s="7" t="s">
        <v>28</v>
      </c>
    </row>
    <row r="4" spans="1:43" ht="15" customHeight="1" thickBot="1" x14ac:dyDescent="0.3">
      <c r="A4" s="422" t="s">
        <v>507</v>
      </c>
      <c r="B4" s="186">
        <v>1</v>
      </c>
      <c r="C4" s="167">
        <v>0</v>
      </c>
      <c r="D4" s="427">
        <f t="shared" si="0"/>
        <v>1</v>
      </c>
      <c r="E4" s="216" t="s">
        <v>507</v>
      </c>
      <c r="F4" s="97">
        <v>5</v>
      </c>
      <c r="G4" s="218">
        <v>0</v>
      </c>
      <c r="H4" s="210">
        <f t="shared" si="1"/>
        <v>5</v>
      </c>
      <c r="I4" s="422" t="s">
        <v>312</v>
      </c>
      <c r="J4" s="427">
        <v>8</v>
      </c>
      <c r="K4" s="427">
        <v>12</v>
      </c>
      <c r="L4" s="428">
        <f>(J4/K4)*100</f>
        <v>66.666666666666657</v>
      </c>
      <c r="M4" s="427">
        <v>1</v>
      </c>
      <c r="N4" s="427">
        <v>3</v>
      </c>
      <c r="O4" s="428">
        <f>(M4/N4)*100</f>
        <v>33.333333333333329</v>
      </c>
      <c r="P4" s="427">
        <v>1</v>
      </c>
      <c r="Q4" s="427">
        <v>1</v>
      </c>
      <c r="R4" s="7">
        <v>48</v>
      </c>
      <c r="S4" s="7">
        <v>62</v>
      </c>
      <c r="T4" s="232">
        <f t="shared" ref="T4:T9" si="2">(R4/S4)*100</f>
        <v>77.41935483870968</v>
      </c>
      <c r="U4" s="221">
        <v>73</v>
      </c>
      <c r="V4" s="7">
        <v>87</v>
      </c>
      <c r="W4" s="232">
        <f>SUM(U4/V4)*100</f>
        <v>83.908045977011497</v>
      </c>
      <c r="X4" s="455"/>
      <c r="Y4" s="456"/>
      <c r="Z4" s="457"/>
      <c r="AA4" s="221">
        <v>26</v>
      </c>
      <c r="AB4" s="7">
        <v>33</v>
      </c>
      <c r="AC4" s="232">
        <f>SUM(AA4/AB4)*100</f>
        <v>78.787878787878782</v>
      </c>
      <c r="AD4" s="221">
        <v>42</v>
      </c>
      <c r="AE4" s="7">
        <v>53</v>
      </c>
      <c r="AF4" s="232">
        <f>SUM(AD4/AE4)*100</f>
        <v>79.245283018867923</v>
      </c>
      <c r="AG4" s="7">
        <v>41</v>
      </c>
      <c r="AH4" s="7">
        <v>57</v>
      </c>
      <c r="AI4" s="232">
        <f>SUM(AG4/AH4)*100</f>
        <v>71.929824561403507</v>
      </c>
    </row>
    <row r="5" spans="1:43" ht="15" customHeight="1" thickBot="1" x14ac:dyDescent="0.3">
      <c r="A5" s="422" t="s">
        <v>123</v>
      </c>
      <c r="B5" s="186">
        <v>0</v>
      </c>
      <c r="C5" s="167">
        <v>0</v>
      </c>
      <c r="D5" s="427">
        <f t="shared" si="0"/>
        <v>0</v>
      </c>
      <c r="E5" s="216" t="s">
        <v>123</v>
      </c>
      <c r="F5" s="97">
        <v>0</v>
      </c>
      <c r="G5" s="218">
        <v>0</v>
      </c>
      <c r="H5" s="210">
        <f t="shared" si="1"/>
        <v>0</v>
      </c>
      <c r="I5" s="422" t="s">
        <v>150</v>
      </c>
      <c r="J5" s="427">
        <v>19</v>
      </c>
      <c r="K5" s="427">
        <v>24</v>
      </c>
      <c r="L5" s="428">
        <f>(J5/K5)*100</f>
        <v>79.166666666666657</v>
      </c>
      <c r="M5" s="427">
        <v>1</v>
      </c>
      <c r="N5" s="427">
        <v>1</v>
      </c>
      <c r="O5" s="428">
        <f>(M5/N5)*100</f>
        <v>100</v>
      </c>
      <c r="P5" s="427">
        <v>1</v>
      </c>
      <c r="Q5" s="427">
        <v>1</v>
      </c>
      <c r="R5" s="7" t="s">
        <v>34</v>
      </c>
      <c r="S5" s="7" t="s">
        <v>34</v>
      </c>
      <c r="T5" s="232" t="s">
        <v>34</v>
      </c>
      <c r="U5" s="221">
        <v>0</v>
      </c>
      <c r="V5" s="7">
        <v>1</v>
      </c>
      <c r="W5" s="7">
        <v>0</v>
      </c>
      <c r="X5" s="455"/>
      <c r="Y5" s="456"/>
      <c r="Z5" s="457"/>
      <c r="AA5" s="221">
        <v>8</v>
      </c>
      <c r="AB5" s="7">
        <v>14</v>
      </c>
      <c r="AC5" s="232">
        <f t="shared" ref="AC5:AC6" si="3">SUM(AA5/AB5)*100</f>
        <v>57.142857142857139</v>
      </c>
      <c r="AD5" s="221">
        <v>13</v>
      </c>
      <c r="AE5" s="7">
        <v>18</v>
      </c>
      <c r="AF5" s="232">
        <f>SUM(AD5/AE5)*100</f>
        <v>72.222222222222214</v>
      </c>
      <c r="AG5" s="7" t="s">
        <v>34</v>
      </c>
      <c r="AH5" s="7" t="s">
        <v>34</v>
      </c>
      <c r="AI5" s="7" t="s">
        <v>34</v>
      </c>
    </row>
    <row r="6" spans="1:43" ht="15" customHeight="1" thickBot="1" x14ac:dyDescent="0.3">
      <c r="A6" s="422" t="s">
        <v>1074</v>
      </c>
      <c r="B6" s="186">
        <v>2</v>
      </c>
      <c r="C6" s="167">
        <v>0</v>
      </c>
      <c r="D6" s="427">
        <f t="shared" si="0"/>
        <v>2</v>
      </c>
      <c r="E6" s="216" t="s">
        <v>1074</v>
      </c>
      <c r="F6" s="97">
        <v>10</v>
      </c>
      <c r="G6" s="218">
        <v>0</v>
      </c>
      <c r="H6" s="210">
        <f t="shared" si="1"/>
        <v>10</v>
      </c>
      <c r="I6" s="422" t="s">
        <v>125</v>
      </c>
      <c r="J6" s="427" t="s">
        <v>34</v>
      </c>
      <c r="K6" s="427" t="s">
        <v>34</v>
      </c>
      <c r="L6" s="428" t="s">
        <v>34</v>
      </c>
      <c r="M6" s="427" t="s">
        <v>34</v>
      </c>
      <c r="N6" s="427" t="s">
        <v>34</v>
      </c>
      <c r="O6" s="428" t="s">
        <v>34</v>
      </c>
      <c r="P6" s="427">
        <v>-2</v>
      </c>
      <c r="Q6" s="427">
        <v>-2</v>
      </c>
      <c r="R6" s="7">
        <v>0</v>
      </c>
      <c r="S6" s="7">
        <v>2</v>
      </c>
      <c r="T6" s="232">
        <f t="shared" si="2"/>
        <v>0</v>
      </c>
      <c r="U6" s="221">
        <v>12</v>
      </c>
      <c r="V6" s="7">
        <v>16</v>
      </c>
      <c r="W6" s="232">
        <f>SUM(U6/V6)*100</f>
        <v>75</v>
      </c>
      <c r="X6" s="455"/>
      <c r="Y6" s="456"/>
      <c r="Z6" s="457"/>
      <c r="AA6" s="221">
        <v>31</v>
      </c>
      <c r="AB6" s="7">
        <v>44</v>
      </c>
      <c r="AC6" s="232">
        <f t="shared" si="3"/>
        <v>70.454545454545453</v>
      </c>
      <c r="AD6" s="221">
        <v>3</v>
      </c>
      <c r="AE6" s="7">
        <v>4</v>
      </c>
      <c r="AF6" s="232">
        <f>SUM(AD6/AE6)*100</f>
        <v>75</v>
      </c>
      <c r="AG6" s="7" t="s">
        <v>34</v>
      </c>
      <c r="AH6" s="7" t="s">
        <v>34</v>
      </c>
      <c r="AI6" s="7" t="s">
        <v>34</v>
      </c>
    </row>
    <row r="7" spans="1:43" ht="15" customHeight="1" thickBot="1" x14ac:dyDescent="0.3">
      <c r="A7" s="422" t="s">
        <v>305</v>
      </c>
      <c r="B7" s="186">
        <v>0</v>
      </c>
      <c r="C7" s="167">
        <v>0</v>
      </c>
      <c r="D7" s="427">
        <f t="shared" si="0"/>
        <v>0</v>
      </c>
      <c r="E7" s="216" t="s">
        <v>305</v>
      </c>
      <c r="F7" s="97">
        <v>0</v>
      </c>
      <c r="G7" s="218">
        <v>0</v>
      </c>
      <c r="H7" s="210">
        <f t="shared" si="1"/>
        <v>0</v>
      </c>
      <c r="I7" s="422" t="s">
        <v>1025</v>
      </c>
      <c r="J7" s="427">
        <v>23</v>
      </c>
      <c r="K7" s="427">
        <v>31</v>
      </c>
      <c r="L7" s="428">
        <f>(J7/K7)*100</f>
        <v>74.193548387096769</v>
      </c>
      <c r="M7" s="427" t="s">
        <v>34</v>
      </c>
      <c r="N7" s="427" t="s">
        <v>34</v>
      </c>
      <c r="O7" s="428" t="s">
        <v>34</v>
      </c>
      <c r="P7" s="427">
        <v>5</v>
      </c>
      <c r="Q7" s="427">
        <v>5</v>
      </c>
      <c r="R7" s="7">
        <v>8</v>
      </c>
      <c r="S7" s="7">
        <v>13</v>
      </c>
      <c r="T7" s="232">
        <f t="shared" si="2"/>
        <v>61.53846153846154</v>
      </c>
      <c r="U7" s="7">
        <v>17</v>
      </c>
      <c r="V7" s="7">
        <v>22</v>
      </c>
      <c r="W7" s="232">
        <f>SUM(U7/V7)*100</f>
        <v>77.272727272727266</v>
      </c>
      <c r="X7" s="455"/>
      <c r="Y7" s="456"/>
      <c r="Z7" s="457"/>
      <c r="AA7" s="221" t="s">
        <v>34</v>
      </c>
      <c r="AB7" s="7" t="s">
        <v>34</v>
      </c>
      <c r="AC7" s="7" t="s">
        <v>34</v>
      </c>
      <c r="AD7" s="221">
        <v>10</v>
      </c>
      <c r="AE7" s="7">
        <v>11</v>
      </c>
      <c r="AF7" s="232">
        <f>SUM(AD7/AE7)*100</f>
        <v>90.909090909090907</v>
      </c>
      <c r="AG7" s="221" t="s">
        <v>34</v>
      </c>
      <c r="AH7" s="7" t="s">
        <v>34</v>
      </c>
      <c r="AI7" s="7" t="s">
        <v>34</v>
      </c>
    </row>
    <row r="8" spans="1:43" ht="15" customHeight="1" thickBot="1" x14ac:dyDescent="0.3">
      <c r="A8" s="422" t="s">
        <v>304</v>
      </c>
      <c r="B8" s="186">
        <v>0</v>
      </c>
      <c r="C8" s="167">
        <v>0</v>
      </c>
      <c r="D8" s="427">
        <f t="shared" si="0"/>
        <v>0</v>
      </c>
      <c r="E8" s="216" t="s">
        <v>304</v>
      </c>
      <c r="F8" s="97">
        <v>0</v>
      </c>
      <c r="G8" s="218">
        <v>0</v>
      </c>
      <c r="H8" s="210">
        <f t="shared" si="1"/>
        <v>0</v>
      </c>
      <c r="I8" s="422" t="s">
        <v>55</v>
      </c>
      <c r="J8" s="427">
        <v>2</v>
      </c>
      <c r="K8" s="427">
        <v>5</v>
      </c>
      <c r="L8" s="428">
        <f>(J8/K8)*100</f>
        <v>40</v>
      </c>
      <c r="M8" s="427" t="s">
        <v>34</v>
      </c>
      <c r="N8" s="427" t="s">
        <v>34</v>
      </c>
      <c r="O8" s="428" t="s">
        <v>34</v>
      </c>
      <c r="P8" s="427">
        <v>2</v>
      </c>
      <c r="Q8" s="427">
        <v>2</v>
      </c>
      <c r="R8" s="7"/>
      <c r="S8" s="7"/>
      <c r="T8" s="232"/>
      <c r="U8" s="7"/>
      <c r="V8" s="7"/>
      <c r="W8" s="232"/>
      <c r="X8" s="455"/>
      <c r="Y8" s="456"/>
      <c r="Z8" s="457"/>
      <c r="AA8" s="221"/>
      <c r="AB8" s="7"/>
      <c r="AC8" s="7"/>
      <c r="AD8" s="221"/>
      <c r="AE8" s="7"/>
      <c r="AF8" s="232"/>
      <c r="AG8" s="7"/>
      <c r="AH8" s="7"/>
      <c r="AI8" s="7"/>
    </row>
    <row r="9" spans="1:43" ht="15" customHeight="1" thickBot="1" x14ac:dyDescent="0.3">
      <c r="A9" s="422" t="s">
        <v>508</v>
      </c>
      <c r="B9" s="186">
        <v>0</v>
      </c>
      <c r="C9" s="167">
        <v>0</v>
      </c>
      <c r="D9" s="427">
        <f t="shared" si="0"/>
        <v>0</v>
      </c>
      <c r="E9" s="216" t="s">
        <v>508</v>
      </c>
      <c r="F9" s="97">
        <v>0</v>
      </c>
      <c r="G9" s="218">
        <v>0</v>
      </c>
      <c r="H9" s="210">
        <f t="shared" si="1"/>
        <v>0</v>
      </c>
      <c r="I9" s="422" t="s">
        <v>308</v>
      </c>
      <c r="J9" s="427" t="s">
        <v>34</v>
      </c>
      <c r="K9" s="427" t="s">
        <v>34</v>
      </c>
      <c r="L9" s="428" t="s">
        <v>34</v>
      </c>
      <c r="M9" s="427" t="s">
        <v>34</v>
      </c>
      <c r="N9" s="427" t="s">
        <v>34</v>
      </c>
      <c r="O9" s="428" t="s">
        <v>34</v>
      </c>
      <c r="P9" s="427" t="s">
        <v>41</v>
      </c>
      <c r="Q9" s="427">
        <v>-1</v>
      </c>
      <c r="R9" s="7">
        <v>1</v>
      </c>
      <c r="S9" s="7">
        <v>1</v>
      </c>
      <c r="T9" s="232">
        <f t="shared" si="2"/>
        <v>100</v>
      </c>
      <c r="U9" s="221" t="s">
        <v>34</v>
      </c>
      <c r="V9" s="7" t="s">
        <v>34</v>
      </c>
      <c r="W9" s="7" t="s">
        <v>34</v>
      </c>
      <c r="X9" s="455"/>
      <c r="Y9" s="456"/>
      <c r="Z9" s="457"/>
      <c r="AA9" s="221" t="s">
        <v>34</v>
      </c>
      <c r="AB9" s="7" t="s">
        <v>34</v>
      </c>
      <c r="AC9" s="7" t="s">
        <v>34</v>
      </c>
      <c r="AD9" s="221" t="s">
        <v>34</v>
      </c>
      <c r="AE9" s="7" t="s">
        <v>34</v>
      </c>
      <c r="AF9" s="7" t="s">
        <v>34</v>
      </c>
      <c r="AG9" s="7" t="s">
        <v>34</v>
      </c>
      <c r="AH9" s="7" t="s">
        <v>34</v>
      </c>
      <c r="AI9" s="7" t="s">
        <v>34</v>
      </c>
    </row>
    <row r="10" spans="1:43" ht="15" customHeight="1" thickBot="1" x14ac:dyDescent="0.3">
      <c r="A10" s="422" t="s">
        <v>215</v>
      </c>
      <c r="B10" s="186">
        <v>0</v>
      </c>
      <c r="C10" s="167">
        <v>0</v>
      </c>
      <c r="D10" s="427">
        <f t="shared" si="0"/>
        <v>0</v>
      </c>
      <c r="E10" s="216" t="s">
        <v>215</v>
      </c>
      <c r="F10" s="97">
        <v>0</v>
      </c>
      <c r="G10" s="218">
        <v>0</v>
      </c>
      <c r="H10" s="210">
        <f t="shared" si="1"/>
        <v>0</v>
      </c>
      <c r="I10" s="75"/>
      <c r="V10" s="360"/>
      <c r="W10" s="360"/>
      <c r="X10" s="360"/>
    </row>
    <row r="11" spans="1:43" ht="15" customHeight="1" thickBot="1" x14ac:dyDescent="0.3">
      <c r="A11" s="422" t="s">
        <v>510</v>
      </c>
      <c r="B11" s="186">
        <v>1</v>
      </c>
      <c r="C11" s="167">
        <v>0</v>
      </c>
      <c r="D11" s="427">
        <f t="shared" si="0"/>
        <v>1</v>
      </c>
      <c r="E11" s="216" t="s">
        <v>510</v>
      </c>
      <c r="F11" s="97">
        <v>5</v>
      </c>
      <c r="G11" s="218">
        <v>0</v>
      </c>
      <c r="H11" s="210">
        <f t="shared" si="1"/>
        <v>5</v>
      </c>
      <c r="I11" s="570" t="s">
        <v>660</v>
      </c>
      <c r="J11" s="525" t="s">
        <v>33</v>
      </c>
      <c r="K11" s="526"/>
      <c r="L11" s="527"/>
      <c r="M11" s="543" t="s">
        <v>836</v>
      </c>
      <c r="N11" s="549"/>
      <c r="O11" s="550"/>
      <c r="P11" s="543" t="s">
        <v>816</v>
      </c>
      <c r="Q11" s="549"/>
      <c r="R11" s="550"/>
      <c r="S11" s="543" t="s">
        <v>574</v>
      </c>
      <c r="T11" s="549"/>
      <c r="U11" s="550"/>
      <c r="V11" s="418"/>
      <c r="W11" s="418"/>
      <c r="X11" s="418"/>
      <c r="Y11" s="417"/>
      <c r="Z11" s="417"/>
      <c r="AA11" s="543" t="s">
        <v>217</v>
      </c>
      <c r="AB11" s="549"/>
      <c r="AC11" s="550"/>
      <c r="AD11" s="543" t="s">
        <v>147</v>
      </c>
      <c r="AE11" s="549"/>
      <c r="AF11" s="550"/>
    </row>
    <row r="12" spans="1:43" ht="15" customHeight="1" thickBot="1" x14ac:dyDescent="0.3">
      <c r="A12" s="422" t="s">
        <v>739</v>
      </c>
      <c r="B12" s="186">
        <v>0</v>
      </c>
      <c r="C12" s="167">
        <v>0</v>
      </c>
      <c r="D12" s="427">
        <f t="shared" si="0"/>
        <v>0</v>
      </c>
      <c r="E12" s="216" t="s">
        <v>739</v>
      </c>
      <c r="F12" s="97">
        <v>0</v>
      </c>
      <c r="G12" s="218">
        <v>0</v>
      </c>
      <c r="H12" s="210">
        <f t="shared" si="1"/>
        <v>0</v>
      </c>
      <c r="I12" s="571"/>
      <c r="J12" s="528"/>
      <c r="K12" s="529"/>
      <c r="L12" s="530"/>
      <c r="M12" s="551"/>
      <c r="N12" s="552"/>
      <c r="O12" s="553"/>
      <c r="P12" s="551"/>
      <c r="Q12" s="552"/>
      <c r="R12" s="553"/>
      <c r="S12" s="551"/>
      <c r="T12" s="552"/>
      <c r="U12" s="553"/>
      <c r="V12" s="418"/>
      <c r="W12" s="418"/>
      <c r="X12" s="418"/>
      <c r="Y12" s="417"/>
      <c r="Z12" s="417"/>
      <c r="AA12" s="551"/>
      <c r="AB12" s="552"/>
      <c r="AC12" s="553"/>
      <c r="AD12" s="551"/>
      <c r="AE12" s="552"/>
      <c r="AF12" s="553"/>
    </row>
    <row r="13" spans="1:43" ht="15" customHeight="1" thickBot="1" x14ac:dyDescent="0.3">
      <c r="A13" s="422" t="s">
        <v>562</v>
      </c>
      <c r="B13" s="186">
        <v>3</v>
      </c>
      <c r="C13" s="167">
        <v>0</v>
      </c>
      <c r="D13" s="427">
        <f t="shared" si="0"/>
        <v>3</v>
      </c>
      <c r="E13" s="216" t="s">
        <v>562</v>
      </c>
      <c r="F13" s="97">
        <v>15</v>
      </c>
      <c r="G13" s="218">
        <v>0</v>
      </c>
      <c r="H13" s="210">
        <f t="shared" si="1"/>
        <v>15</v>
      </c>
      <c r="I13" s="121" t="s">
        <v>51</v>
      </c>
      <c r="J13" s="3" t="s">
        <v>129</v>
      </c>
      <c r="K13" s="3" t="s">
        <v>27</v>
      </c>
      <c r="L13" s="3" t="s">
        <v>28</v>
      </c>
      <c r="M13" s="7" t="s">
        <v>129</v>
      </c>
      <c r="N13" s="7" t="s">
        <v>27</v>
      </c>
      <c r="O13" s="7" t="s">
        <v>28</v>
      </c>
      <c r="P13" s="7" t="s">
        <v>129</v>
      </c>
      <c r="Q13" s="7" t="s">
        <v>27</v>
      </c>
      <c r="R13" s="7" t="s">
        <v>28</v>
      </c>
      <c r="S13" s="221" t="s">
        <v>129</v>
      </c>
      <c r="T13" s="7" t="s">
        <v>27</v>
      </c>
      <c r="U13" s="7" t="s">
        <v>28</v>
      </c>
      <c r="V13" s="417"/>
      <c r="W13" s="417"/>
      <c r="X13" s="417"/>
      <c r="Y13" s="417"/>
      <c r="Z13" s="417"/>
      <c r="AA13" s="221" t="s">
        <v>129</v>
      </c>
      <c r="AB13" s="7" t="s">
        <v>27</v>
      </c>
      <c r="AC13" s="7" t="s">
        <v>28</v>
      </c>
      <c r="AD13" s="221" t="s">
        <v>129</v>
      </c>
      <c r="AE13" s="7" t="s">
        <v>27</v>
      </c>
      <c r="AF13" s="7" t="s">
        <v>28</v>
      </c>
    </row>
    <row r="14" spans="1:43" ht="15" customHeight="1" thickBot="1" x14ac:dyDescent="0.3">
      <c r="A14" s="422" t="s">
        <v>306</v>
      </c>
      <c r="B14" s="186">
        <v>0</v>
      </c>
      <c r="C14" s="167">
        <v>0</v>
      </c>
      <c r="D14" s="427">
        <f t="shared" si="0"/>
        <v>0</v>
      </c>
      <c r="E14" s="216" t="s">
        <v>306</v>
      </c>
      <c r="F14" s="97">
        <v>0</v>
      </c>
      <c r="G14" s="218">
        <v>0</v>
      </c>
      <c r="H14" s="210">
        <f t="shared" si="1"/>
        <v>0</v>
      </c>
      <c r="I14" s="429" t="s">
        <v>150</v>
      </c>
      <c r="J14" s="427">
        <v>7</v>
      </c>
      <c r="K14" s="427">
        <v>11</v>
      </c>
      <c r="L14" s="428">
        <f>(J14/K14)*100</f>
        <v>63.636363636363633</v>
      </c>
      <c r="M14" s="7">
        <v>20</v>
      </c>
      <c r="N14" s="7">
        <v>25</v>
      </c>
      <c r="O14" s="232">
        <f>(M14/N14)*100</f>
        <v>80</v>
      </c>
      <c r="P14" s="7">
        <v>7</v>
      </c>
      <c r="Q14" s="7">
        <v>8</v>
      </c>
      <c r="R14" s="232">
        <f t="shared" ref="R14:R16" si="4">SUM(P14/Q14)*100</f>
        <v>87.5</v>
      </c>
      <c r="S14" s="221">
        <v>0</v>
      </c>
      <c r="T14" s="7">
        <v>3</v>
      </c>
      <c r="U14" s="232">
        <f>SUM(S14/T14)*100</f>
        <v>0</v>
      </c>
      <c r="V14" s="417"/>
      <c r="W14" s="417"/>
      <c r="X14" s="417"/>
      <c r="Y14" s="417"/>
      <c r="Z14" s="417"/>
      <c r="AA14" s="221">
        <v>3</v>
      </c>
      <c r="AB14" s="7">
        <v>4</v>
      </c>
      <c r="AC14" s="232">
        <f>SUM(AA14/AB14)*100</f>
        <v>75</v>
      </c>
      <c r="AD14" s="221" t="s">
        <v>34</v>
      </c>
      <c r="AE14" s="7" t="s">
        <v>34</v>
      </c>
      <c r="AF14" s="7" t="s">
        <v>34</v>
      </c>
    </row>
    <row r="15" spans="1:43" ht="15" customHeight="1" thickBot="1" x14ac:dyDescent="0.3">
      <c r="A15" s="422" t="s">
        <v>710</v>
      </c>
      <c r="B15" s="186">
        <v>0</v>
      </c>
      <c r="C15" s="167">
        <v>0</v>
      </c>
      <c r="D15" s="427">
        <f t="shared" si="0"/>
        <v>0</v>
      </c>
      <c r="E15" s="216" t="s">
        <v>710</v>
      </c>
      <c r="F15" s="97">
        <v>0</v>
      </c>
      <c r="G15" s="218">
        <v>0</v>
      </c>
      <c r="H15" s="210">
        <f t="shared" si="1"/>
        <v>0</v>
      </c>
      <c r="I15" s="429" t="s">
        <v>1026</v>
      </c>
      <c r="J15" s="427" t="s">
        <v>34</v>
      </c>
      <c r="K15" s="427" t="s">
        <v>34</v>
      </c>
      <c r="L15" s="428" t="s">
        <v>34</v>
      </c>
      <c r="M15" s="7" t="s">
        <v>34</v>
      </c>
      <c r="N15" s="7" t="s">
        <v>34</v>
      </c>
      <c r="O15" s="232" t="s">
        <v>34</v>
      </c>
      <c r="P15" s="7">
        <v>7</v>
      </c>
      <c r="Q15" s="7">
        <v>10</v>
      </c>
      <c r="R15" s="232">
        <f>SUM(P15/Q15)*100</f>
        <v>70</v>
      </c>
      <c r="S15" s="221" t="s">
        <v>34</v>
      </c>
      <c r="T15" s="7" t="s">
        <v>34</v>
      </c>
      <c r="U15" s="7" t="s">
        <v>34</v>
      </c>
      <c r="V15" s="417"/>
      <c r="W15" s="417"/>
      <c r="X15" s="417"/>
      <c r="Y15" s="417"/>
      <c r="Z15" s="417"/>
      <c r="AA15" s="6">
        <v>8</v>
      </c>
      <c r="AB15" s="7">
        <v>13</v>
      </c>
      <c r="AC15" s="232">
        <f>SUM(AA15/AB15)*100</f>
        <v>61.53846153846154</v>
      </c>
      <c r="AD15" s="221" t="s">
        <v>34</v>
      </c>
      <c r="AE15" s="7" t="s">
        <v>34</v>
      </c>
      <c r="AF15" s="7" t="s">
        <v>34</v>
      </c>
    </row>
    <row r="16" spans="1:43" ht="15" customHeight="1" thickBot="1" x14ac:dyDescent="0.3">
      <c r="A16" s="422" t="s">
        <v>307</v>
      </c>
      <c r="B16" s="186">
        <v>0</v>
      </c>
      <c r="C16" s="167">
        <v>0</v>
      </c>
      <c r="D16" s="427">
        <f t="shared" si="0"/>
        <v>0</v>
      </c>
      <c r="E16" s="216" t="s">
        <v>307</v>
      </c>
      <c r="F16" s="97">
        <v>0</v>
      </c>
      <c r="G16" s="218">
        <v>0</v>
      </c>
      <c r="H16" s="210">
        <f t="shared" si="1"/>
        <v>0</v>
      </c>
      <c r="I16" s="429" t="s">
        <v>125</v>
      </c>
      <c r="J16" s="427" t="s">
        <v>34</v>
      </c>
      <c r="K16" s="427" t="s">
        <v>34</v>
      </c>
      <c r="L16" s="428" t="s">
        <v>34</v>
      </c>
      <c r="M16" s="7" t="s">
        <v>34</v>
      </c>
      <c r="N16" s="7" t="s">
        <v>34</v>
      </c>
      <c r="O16" s="232" t="s">
        <v>34</v>
      </c>
      <c r="P16" s="7">
        <v>3</v>
      </c>
      <c r="Q16" s="7">
        <v>6</v>
      </c>
      <c r="R16" s="232">
        <f t="shared" si="4"/>
        <v>50</v>
      </c>
      <c r="S16" s="221">
        <v>3</v>
      </c>
      <c r="T16" s="7">
        <v>5</v>
      </c>
      <c r="U16" s="232">
        <f>SUM(S16/T16)*100</f>
        <v>60</v>
      </c>
      <c r="V16" s="417"/>
      <c r="W16" s="417"/>
      <c r="X16" s="417"/>
      <c r="Y16" s="417"/>
      <c r="Z16" s="417"/>
      <c r="AA16" s="221" t="s">
        <v>34</v>
      </c>
      <c r="AB16" s="7" t="s">
        <v>34</v>
      </c>
      <c r="AC16" s="7" t="s">
        <v>34</v>
      </c>
      <c r="AD16" s="221" t="s">
        <v>34</v>
      </c>
      <c r="AE16" s="7" t="s">
        <v>34</v>
      </c>
      <c r="AF16" s="7" t="s">
        <v>34</v>
      </c>
    </row>
    <row r="17" spans="1:36" ht="15" customHeight="1" thickBot="1" x14ac:dyDescent="0.3">
      <c r="A17" s="422" t="s">
        <v>966</v>
      </c>
      <c r="B17" s="186">
        <v>1</v>
      </c>
      <c r="C17" s="167">
        <v>0</v>
      </c>
      <c r="D17" s="427">
        <f t="shared" si="0"/>
        <v>1</v>
      </c>
      <c r="E17" s="216" t="s">
        <v>966</v>
      </c>
      <c r="F17" s="97">
        <v>5</v>
      </c>
      <c r="G17" s="218">
        <v>0</v>
      </c>
      <c r="H17" s="210">
        <f t="shared" si="1"/>
        <v>5</v>
      </c>
      <c r="I17" s="429" t="s">
        <v>308</v>
      </c>
      <c r="J17" s="427" t="s">
        <v>34</v>
      </c>
      <c r="K17" s="427" t="s">
        <v>34</v>
      </c>
      <c r="L17" s="428" t="s">
        <v>34</v>
      </c>
      <c r="M17" s="7" t="s">
        <v>34</v>
      </c>
      <c r="N17" s="7" t="s">
        <v>34</v>
      </c>
      <c r="O17" s="232" t="s">
        <v>34</v>
      </c>
      <c r="P17" s="7">
        <v>1</v>
      </c>
      <c r="Q17" s="7">
        <v>3</v>
      </c>
      <c r="R17" s="232">
        <f t="shared" ref="R17" si="5">SUM(P17/Q17)*100</f>
        <v>33.333333333333329</v>
      </c>
      <c r="S17" s="221" t="s">
        <v>34</v>
      </c>
      <c r="T17" s="7" t="s">
        <v>34</v>
      </c>
      <c r="U17" s="7" t="s">
        <v>34</v>
      </c>
      <c r="V17" s="417"/>
      <c r="W17" s="417"/>
      <c r="X17" s="417"/>
      <c r="Y17" s="417"/>
      <c r="Z17" s="417"/>
      <c r="AA17" s="221" t="s">
        <v>34</v>
      </c>
      <c r="AB17" s="7" t="s">
        <v>34</v>
      </c>
      <c r="AC17" s="7" t="s">
        <v>34</v>
      </c>
      <c r="AD17" s="221" t="s">
        <v>34</v>
      </c>
      <c r="AE17" s="7" t="s">
        <v>34</v>
      </c>
      <c r="AF17" s="7" t="s">
        <v>34</v>
      </c>
    </row>
    <row r="18" spans="1:36" ht="15" customHeight="1" thickBot="1" x14ac:dyDescent="0.3">
      <c r="A18" s="422" t="s">
        <v>682</v>
      </c>
      <c r="B18" s="186">
        <v>0</v>
      </c>
      <c r="C18" s="167">
        <v>0</v>
      </c>
      <c r="D18" s="427">
        <f t="shared" si="0"/>
        <v>0</v>
      </c>
      <c r="E18" s="216" t="s">
        <v>682</v>
      </c>
      <c r="F18" s="97">
        <v>0</v>
      </c>
      <c r="G18" s="218">
        <v>0</v>
      </c>
      <c r="H18" s="210">
        <f t="shared" si="1"/>
        <v>0</v>
      </c>
      <c r="I18" s="429" t="s">
        <v>312</v>
      </c>
      <c r="J18" s="427" t="s">
        <v>34</v>
      </c>
      <c r="K18" s="427" t="s">
        <v>34</v>
      </c>
      <c r="L18" s="428" t="s">
        <v>34</v>
      </c>
      <c r="M18" s="7">
        <v>12</v>
      </c>
      <c r="N18" s="7">
        <v>13</v>
      </c>
      <c r="O18" s="232">
        <f>(M18/N18)*100</f>
        <v>92.307692307692307</v>
      </c>
      <c r="P18" s="7">
        <v>7</v>
      </c>
      <c r="Q18" s="7">
        <v>10</v>
      </c>
      <c r="R18" s="232">
        <f>SUM(P18/Q18)*100</f>
        <v>70</v>
      </c>
      <c r="S18" s="221" t="s">
        <v>34</v>
      </c>
      <c r="T18" s="7" t="s">
        <v>34</v>
      </c>
      <c r="U18" s="7" t="s">
        <v>34</v>
      </c>
      <c r="V18" s="417"/>
      <c r="W18" s="417"/>
      <c r="X18" s="417"/>
      <c r="Y18" s="417"/>
      <c r="Z18" s="417"/>
      <c r="AA18" s="221">
        <v>16</v>
      </c>
      <c r="AB18" s="7">
        <v>18</v>
      </c>
      <c r="AC18" s="232">
        <f>SUM(AA18/AB18)*100</f>
        <v>88.888888888888886</v>
      </c>
      <c r="AD18" s="221">
        <v>5</v>
      </c>
      <c r="AE18" s="7">
        <v>5</v>
      </c>
      <c r="AF18" s="232">
        <f>SUM(AD18/AE18)*100</f>
        <v>100</v>
      </c>
    </row>
    <row r="19" spans="1:36" ht="15" customHeight="1" thickBot="1" x14ac:dyDescent="0.3">
      <c r="A19" s="422" t="s">
        <v>70</v>
      </c>
      <c r="B19" s="186">
        <v>2</v>
      </c>
      <c r="C19" s="167">
        <v>1</v>
      </c>
      <c r="D19" s="427">
        <f t="shared" si="0"/>
        <v>3</v>
      </c>
      <c r="E19" s="216" t="s">
        <v>70</v>
      </c>
      <c r="F19" s="97">
        <v>10</v>
      </c>
      <c r="G19" s="218">
        <v>5</v>
      </c>
      <c r="H19" s="210">
        <f t="shared" si="1"/>
        <v>15</v>
      </c>
      <c r="V19" s="417"/>
      <c r="W19" s="417"/>
      <c r="X19" s="417"/>
      <c r="Y19" s="417"/>
      <c r="Z19" s="417"/>
      <c r="AA19" s="345"/>
      <c r="AB19" s="345"/>
      <c r="AC19" s="345"/>
      <c r="AD19" s="105"/>
      <c r="AG19" s="105"/>
    </row>
    <row r="20" spans="1:36" ht="15" customHeight="1" thickBot="1" x14ac:dyDescent="0.3">
      <c r="A20" s="422" t="s">
        <v>132</v>
      </c>
      <c r="B20" s="186">
        <v>3</v>
      </c>
      <c r="C20" s="167">
        <v>0</v>
      </c>
      <c r="D20" s="427">
        <f t="shared" si="0"/>
        <v>3</v>
      </c>
      <c r="E20" s="216" t="s">
        <v>132</v>
      </c>
      <c r="F20" s="97">
        <v>15</v>
      </c>
      <c r="G20" s="218">
        <v>0</v>
      </c>
      <c r="H20" s="210">
        <f t="shared" si="1"/>
        <v>15</v>
      </c>
      <c r="I20" s="515" t="s">
        <v>218</v>
      </c>
      <c r="J20" s="543" t="s">
        <v>836</v>
      </c>
      <c r="K20" s="549"/>
      <c r="L20" s="550"/>
      <c r="M20" s="543" t="s">
        <v>816</v>
      </c>
      <c r="N20" s="549"/>
      <c r="O20" s="550"/>
      <c r="P20" s="543" t="s">
        <v>574</v>
      </c>
      <c r="Q20" s="549"/>
      <c r="R20" s="550"/>
      <c r="S20" s="543" t="s">
        <v>217</v>
      </c>
      <c r="T20" s="549"/>
      <c r="U20" s="550"/>
      <c r="V20" s="417"/>
      <c r="W20" s="417"/>
      <c r="X20" s="417"/>
      <c r="Y20" s="417"/>
      <c r="Z20" s="417"/>
      <c r="AA20" s="543" t="s">
        <v>137</v>
      </c>
      <c r="AB20" s="549"/>
      <c r="AC20" s="550"/>
      <c r="AD20" s="52"/>
    </row>
    <row r="21" spans="1:36" ht="15" customHeight="1" thickBot="1" x14ac:dyDescent="0.3">
      <c r="A21" s="422" t="s">
        <v>157</v>
      </c>
      <c r="B21" s="186">
        <v>2</v>
      </c>
      <c r="C21" s="167">
        <v>0</v>
      </c>
      <c r="D21" s="427">
        <f t="shared" si="0"/>
        <v>2</v>
      </c>
      <c r="E21" s="216" t="s">
        <v>157</v>
      </c>
      <c r="F21" s="97">
        <v>10</v>
      </c>
      <c r="G21" s="218">
        <v>0</v>
      </c>
      <c r="H21" s="210">
        <f t="shared" si="1"/>
        <v>10</v>
      </c>
      <c r="I21" s="516"/>
      <c r="J21" s="551"/>
      <c r="K21" s="552"/>
      <c r="L21" s="553"/>
      <c r="M21" s="551"/>
      <c r="N21" s="552"/>
      <c r="O21" s="553"/>
      <c r="P21" s="551"/>
      <c r="Q21" s="552"/>
      <c r="R21" s="553"/>
      <c r="S21" s="551"/>
      <c r="T21" s="552"/>
      <c r="U21" s="553"/>
      <c r="V21" s="417"/>
      <c r="W21" s="417"/>
      <c r="X21" s="417"/>
      <c r="Y21" s="417"/>
      <c r="Z21" s="417"/>
      <c r="AA21" s="551"/>
      <c r="AB21" s="552"/>
      <c r="AC21" s="553"/>
      <c r="AD21" s="50"/>
    </row>
    <row r="22" spans="1:36" ht="15" customHeight="1" thickBot="1" x14ac:dyDescent="0.3">
      <c r="A22" s="422" t="s">
        <v>145</v>
      </c>
      <c r="B22" s="186">
        <v>5</v>
      </c>
      <c r="C22" s="167">
        <v>0</v>
      </c>
      <c r="D22" s="427">
        <f t="shared" si="0"/>
        <v>5</v>
      </c>
      <c r="E22" s="216" t="s">
        <v>146</v>
      </c>
      <c r="F22" s="97">
        <v>25</v>
      </c>
      <c r="G22" s="218">
        <v>0</v>
      </c>
      <c r="H22" s="210">
        <f t="shared" si="1"/>
        <v>25</v>
      </c>
      <c r="I22" s="33" t="s">
        <v>51</v>
      </c>
      <c r="J22" s="7" t="s">
        <v>129</v>
      </c>
      <c r="K22" s="7" t="s">
        <v>27</v>
      </c>
      <c r="L22" s="7" t="s">
        <v>28</v>
      </c>
      <c r="M22" s="7" t="s">
        <v>129</v>
      </c>
      <c r="N22" s="7" t="s">
        <v>27</v>
      </c>
      <c r="O22" s="7" t="s">
        <v>28</v>
      </c>
      <c r="P22" s="7" t="s">
        <v>129</v>
      </c>
      <c r="Q22" s="7" t="s">
        <v>27</v>
      </c>
      <c r="R22" s="7" t="s">
        <v>28</v>
      </c>
      <c r="S22" s="221" t="s">
        <v>129</v>
      </c>
      <c r="T22" s="7" t="s">
        <v>27</v>
      </c>
      <c r="U22" s="7" t="s">
        <v>28</v>
      </c>
      <c r="V22" s="417"/>
      <c r="W22" s="417"/>
      <c r="X22" s="417"/>
      <c r="Y22" s="417"/>
      <c r="Z22" s="417"/>
      <c r="AA22" s="221" t="s">
        <v>129</v>
      </c>
      <c r="AB22" s="7" t="s">
        <v>27</v>
      </c>
      <c r="AC22" s="7" t="s">
        <v>28</v>
      </c>
      <c r="AD22" s="50"/>
    </row>
    <row r="23" spans="1:36" ht="15" customHeight="1" thickBot="1" x14ac:dyDescent="0.3">
      <c r="A23" s="422" t="s">
        <v>684</v>
      </c>
      <c r="B23" s="186">
        <v>0</v>
      </c>
      <c r="C23" s="167">
        <v>0</v>
      </c>
      <c r="D23" s="427">
        <f t="shared" si="0"/>
        <v>0</v>
      </c>
      <c r="E23" s="216" t="s">
        <v>684</v>
      </c>
      <c r="F23" s="97">
        <v>0</v>
      </c>
      <c r="G23" s="218">
        <v>0</v>
      </c>
      <c r="H23" s="210">
        <f t="shared" si="1"/>
        <v>0</v>
      </c>
      <c r="I23" s="429" t="s">
        <v>308</v>
      </c>
      <c r="J23" s="7">
        <v>2</v>
      </c>
      <c r="K23" s="7">
        <v>2</v>
      </c>
      <c r="L23" s="232">
        <f>(J23/K23)*100</f>
        <v>100</v>
      </c>
      <c r="M23" s="7">
        <v>2</v>
      </c>
      <c r="N23" s="7">
        <v>7</v>
      </c>
      <c r="O23" s="232">
        <f t="shared" ref="O23:O25" si="6">SUM(M23/N23)*100</f>
        <v>28.571428571428569</v>
      </c>
      <c r="P23" s="7"/>
      <c r="Q23" s="7"/>
      <c r="R23" s="7"/>
      <c r="S23" s="221"/>
      <c r="T23" s="7"/>
      <c r="U23" s="232"/>
      <c r="V23" s="417"/>
      <c r="W23" s="417"/>
      <c r="X23" s="417"/>
      <c r="Y23" s="417"/>
      <c r="Z23" s="417"/>
      <c r="AA23" s="221"/>
      <c r="AB23" s="7"/>
      <c r="AC23" s="7"/>
    </row>
    <row r="24" spans="1:36" ht="15" customHeight="1" thickBot="1" x14ac:dyDescent="0.3">
      <c r="A24" s="422" t="s">
        <v>64</v>
      </c>
      <c r="B24" s="186">
        <v>0</v>
      </c>
      <c r="C24" s="167">
        <v>0</v>
      </c>
      <c r="D24" s="427">
        <f t="shared" si="0"/>
        <v>0</v>
      </c>
      <c r="E24" s="216" t="s">
        <v>64</v>
      </c>
      <c r="F24" s="97">
        <v>0</v>
      </c>
      <c r="G24" s="218">
        <v>0</v>
      </c>
      <c r="H24" s="210">
        <f t="shared" si="1"/>
        <v>0</v>
      </c>
      <c r="I24" s="429" t="s">
        <v>310</v>
      </c>
      <c r="J24" s="7">
        <v>4</v>
      </c>
      <c r="K24" s="7">
        <v>6</v>
      </c>
      <c r="L24" s="232">
        <f>(J24/K24)*100</f>
        <v>66.666666666666657</v>
      </c>
      <c r="M24" s="7">
        <v>15</v>
      </c>
      <c r="N24" s="7">
        <v>18</v>
      </c>
      <c r="O24" s="232">
        <f t="shared" si="6"/>
        <v>83.333333333333343</v>
      </c>
      <c r="P24" s="7" t="s">
        <v>34</v>
      </c>
      <c r="Q24" s="7" t="s">
        <v>34</v>
      </c>
      <c r="R24" s="7" t="s">
        <v>34</v>
      </c>
      <c r="S24" s="221" t="s">
        <v>34</v>
      </c>
      <c r="T24" s="7" t="s">
        <v>34</v>
      </c>
      <c r="U24" s="7" t="s">
        <v>34</v>
      </c>
      <c r="V24" s="417"/>
      <c r="W24" s="417"/>
      <c r="X24" s="417"/>
      <c r="Y24" s="417"/>
      <c r="Z24" s="417"/>
      <c r="AA24" s="221" t="s">
        <v>34</v>
      </c>
      <c r="AB24" s="7" t="s">
        <v>34</v>
      </c>
      <c r="AC24" s="7" t="s">
        <v>34</v>
      </c>
    </row>
    <row r="25" spans="1:36" ht="15" customHeight="1" thickBot="1" x14ac:dyDescent="0.3">
      <c r="A25" s="422" t="s">
        <v>196</v>
      </c>
      <c r="B25" s="186">
        <v>0</v>
      </c>
      <c r="C25" s="167">
        <v>1</v>
      </c>
      <c r="D25" s="427">
        <f t="shared" si="0"/>
        <v>1</v>
      </c>
      <c r="E25" s="216" t="s">
        <v>196</v>
      </c>
      <c r="F25" s="97">
        <v>0</v>
      </c>
      <c r="G25" s="218">
        <v>5</v>
      </c>
      <c r="H25" s="210">
        <f t="shared" si="1"/>
        <v>5</v>
      </c>
      <c r="I25" s="429" t="s">
        <v>150</v>
      </c>
      <c r="J25" s="7">
        <v>2</v>
      </c>
      <c r="K25" s="7">
        <v>2</v>
      </c>
      <c r="L25" s="232">
        <f>(J25/K25)*100</f>
        <v>100</v>
      </c>
      <c r="M25" s="7">
        <v>1</v>
      </c>
      <c r="N25" s="7">
        <v>1</v>
      </c>
      <c r="O25" s="232">
        <f t="shared" si="6"/>
        <v>100</v>
      </c>
      <c r="P25" s="7">
        <v>3</v>
      </c>
      <c r="Q25" s="7">
        <v>5</v>
      </c>
      <c r="R25" s="232">
        <f>SUM(P25/Q25)*100</f>
        <v>60</v>
      </c>
      <c r="S25" s="221" t="s">
        <v>34</v>
      </c>
      <c r="T25" s="7" t="s">
        <v>34</v>
      </c>
      <c r="U25" s="7" t="s">
        <v>34</v>
      </c>
      <c r="V25" s="417"/>
      <c r="W25" s="417"/>
      <c r="X25" s="417"/>
      <c r="Y25" s="417"/>
      <c r="Z25" s="417"/>
      <c r="AA25" s="221" t="s">
        <v>34</v>
      </c>
      <c r="AB25" s="7" t="s">
        <v>34</v>
      </c>
      <c r="AC25" s="7" t="s">
        <v>34</v>
      </c>
      <c r="AG25" s="313"/>
      <c r="AH25" s="313"/>
      <c r="AI25" s="313"/>
    </row>
    <row r="26" spans="1:36" ht="15" customHeight="1" thickBot="1" x14ac:dyDescent="0.3">
      <c r="A26" s="422" t="s">
        <v>59</v>
      </c>
      <c r="B26" s="186">
        <v>1</v>
      </c>
      <c r="C26" s="167">
        <v>0</v>
      </c>
      <c r="D26" s="427">
        <f t="shared" si="0"/>
        <v>1</v>
      </c>
      <c r="E26" s="216" t="s">
        <v>59</v>
      </c>
      <c r="F26" s="97">
        <v>5</v>
      </c>
      <c r="G26" s="218">
        <v>0</v>
      </c>
      <c r="H26" s="210">
        <f t="shared" si="1"/>
        <v>5</v>
      </c>
      <c r="I26" s="537" t="s">
        <v>821</v>
      </c>
      <c r="J26" s="536"/>
      <c r="K26" s="536"/>
      <c r="L26" s="536"/>
      <c r="M26" s="536"/>
      <c r="N26" s="536"/>
      <c r="O26" s="536"/>
      <c r="P26" s="536"/>
      <c r="Q26" s="536"/>
      <c r="R26" s="536"/>
      <c r="S26" s="536"/>
      <c r="T26" s="536"/>
      <c r="U26" s="536"/>
      <c r="V26" s="536"/>
      <c r="W26" s="536"/>
      <c r="X26" s="536"/>
      <c r="Y26" s="536"/>
      <c r="Z26" s="536"/>
      <c r="AA26" s="536"/>
      <c r="AB26" s="536"/>
      <c r="AC26" s="536"/>
      <c r="AD26" s="536"/>
      <c r="AE26" s="536"/>
      <c r="AF26" s="536"/>
      <c r="AG26" s="536"/>
      <c r="AH26" s="354"/>
      <c r="AI26" s="354"/>
    </row>
    <row r="27" spans="1:36" ht="15.75" thickBot="1" x14ac:dyDescent="0.3">
      <c r="A27" s="422" t="s">
        <v>124</v>
      </c>
      <c r="B27" s="186">
        <v>1</v>
      </c>
      <c r="C27" s="167">
        <v>0</v>
      </c>
      <c r="D27" s="427">
        <f t="shared" si="0"/>
        <v>1</v>
      </c>
      <c r="E27" s="216" t="s">
        <v>124</v>
      </c>
      <c r="F27" s="97">
        <v>5</v>
      </c>
      <c r="G27" s="218">
        <v>0</v>
      </c>
      <c r="H27" s="210">
        <f t="shared" si="1"/>
        <v>5</v>
      </c>
      <c r="I27" s="537" t="s">
        <v>1024</v>
      </c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</row>
    <row r="28" spans="1:36" ht="15.95" customHeight="1" thickBot="1" x14ac:dyDescent="0.3">
      <c r="A28" s="422" t="s">
        <v>43</v>
      </c>
      <c r="B28" s="186">
        <v>0</v>
      </c>
      <c r="C28" s="167">
        <v>0</v>
      </c>
      <c r="D28" s="427">
        <f t="shared" si="0"/>
        <v>0</v>
      </c>
      <c r="E28" s="216" t="s">
        <v>43</v>
      </c>
      <c r="F28" s="97">
        <v>0</v>
      </c>
      <c r="G28" s="218">
        <v>0</v>
      </c>
      <c r="H28" s="210">
        <f t="shared" si="1"/>
        <v>0</v>
      </c>
    </row>
    <row r="29" spans="1:36" ht="15.95" customHeight="1" thickBot="1" x14ac:dyDescent="0.3">
      <c r="A29" s="422" t="s">
        <v>967</v>
      </c>
      <c r="B29" s="186">
        <v>0</v>
      </c>
      <c r="C29" s="167">
        <v>0</v>
      </c>
      <c r="D29" s="427">
        <f t="shared" si="0"/>
        <v>0</v>
      </c>
      <c r="E29" s="216" t="s">
        <v>967</v>
      </c>
      <c r="F29" s="97">
        <v>0</v>
      </c>
      <c r="G29" s="218">
        <v>0</v>
      </c>
      <c r="H29" s="210">
        <f t="shared" si="1"/>
        <v>0</v>
      </c>
    </row>
    <row r="30" spans="1:36" ht="15.75" customHeight="1" thickBot="1" x14ac:dyDescent="0.3">
      <c r="A30" s="422" t="s">
        <v>1049</v>
      </c>
      <c r="B30" s="186">
        <v>2</v>
      </c>
      <c r="C30" s="167">
        <v>0</v>
      </c>
      <c r="D30" s="427">
        <f t="shared" si="0"/>
        <v>2</v>
      </c>
      <c r="E30" s="216" t="s">
        <v>1049</v>
      </c>
      <c r="F30" s="97">
        <v>10</v>
      </c>
      <c r="G30" s="218">
        <v>0</v>
      </c>
      <c r="H30" s="210">
        <f t="shared" si="1"/>
        <v>10</v>
      </c>
      <c r="AJ30" s="354"/>
    </row>
    <row r="31" spans="1:36" ht="15.75" thickBot="1" x14ac:dyDescent="0.3">
      <c r="A31" s="422" t="s">
        <v>968</v>
      </c>
      <c r="B31" s="186">
        <v>0</v>
      </c>
      <c r="C31" s="167">
        <v>0</v>
      </c>
      <c r="D31" s="427">
        <f t="shared" si="0"/>
        <v>0</v>
      </c>
      <c r="E31" s="216" t="s">
        <v>968</v>
      </c>
      <c r="F31" s="97">
        <v>0</v>
      </c>
      <c r="G31" s="218">
        <v>0</v>
      </c>
      <c r="H31" s="210">
        <f t="shared" si="1"/>
        <v>0</v>
      </c>
    </row>
    <row r="32" spans="1:36" ht="15.75" thickBot="1" x14ac:dyDescent="0.3">
      <c r="A32" s="422" t="s">
        <v>762</v>
      </c>
      <c r="B32" s="186">
        <v>0</v>
      </c>
      <c r="C32" s="167">
        <v>1</v>
      </c>
      <c r="D32" s="427">
        <f t="shared" si="0"/>
        <v>1</v>
      </c>
      <c r="E32" s="216" t="s">
        <v>762</v>
      </c>
      <c r="F32" s="97">
        <v>0</v>
      </c>
      <c r="G32" s="218">
        <v>5</v>
      </c>
      <c r="H32" s="210">
        <f t="shared" si="1"/>
        <v>5</v>
      </c>
    </row>
    <row r="33" spans="1:8" ht="15.75" thickBot="1" x14ac:dyDescent="0.3">
      <c r="A33" s="422" t="s">
        <v>686</v>
      </c>
      <c r="B33" s="186">
        <v>2</v>
      </c>
      <c r="C33" s="167">
        <v>0</v>
      </c>
      <c r="D33" s="427">
        <f t="shared" si="0"/>
        <v>2</v>
      </c>
      <c r="E33" s="216" t="s">
        <v>686</v>
      </c>
      <c r="F33" s="97">
        <v>10</v>
      </c>
      <c r="G33" s="218">
        <v>0</v>
      </c>
      <c r="H33" s="210">
        <f t="shared" si="1"/>
        <v>10</v>
      </c>
    </row>
    <row r="34" spans="1:8" ht="15.75" thickBot="1" x14ac:dyDescent="0.3">
      <c r="A34" s="422" t="s">
        <v>6</v>
      </c>
      <c r="B34" s="186">
        <v>2</v>
      </c>
      <c r="C34" s="167">
        <v>1</v>
      </c>
      <c r="D34" s="427">
        <f t="shared" si="0"/>
        <v>3</v>
      </c>
      <c r="E34" s="216" t="s">
        <v>6</v>
      </c>
      <c r="F34" s="97">
        <v>14</v>
      </c>
      <c r="G34" s="218">
        <v>7</v>
      </c>
      <c r="H34" s="210">
        <f t="shared" si="1"/>
        <v>21</v>
      </c>
    </row>
    <row r="35" spans="1:8" ht="15.75" thickBot="1" x14ac:dyDescent="0.3">
      <c r="A35" s="422" t="s">
        <v>125</v>
      </c>
      <c r="B35" s="186">
        <v>1</v>
      </c>
      <c r="C35" s="167">
        <v>0</v>
      </c>
      <c r="D35" s="427">
        <f t="shared" si="0"/>
        <v>1</v>
      </c>
      <c r="E35" s="216" t="s">
        <v>125</v>
      </c>
      <c r="F35" s="97">
        <v>5</v>
      </c>
      <c r="G35" s="218">
        <v>0</v>
      </c>
      <c r="H35" s="210">
        <f t="shared" si="1"/>
        <v>5</v>
      </c>
    </row>
    <row r="36" spans="1:8" ht="15.75" thickBot="1" x14ac:dyDescent="0.3">
      <c r="A36" s="422" t="s">
        <v>126</v>
      </c>
      <c r="B36" s="186">
        <v>0</v>
      </c>
      <c r="C36" s="167">
        <v>0</v>
      </c>
      <c r="D36" s="427">
        <f t="shared" si="0"/>
        <v>0</v>
      </c>
      <c r="E36" s="216" t="s">
        <v>126</v>
      </c>
      <c r="F36" s="97">
        <v>0</v>
      </c>
      <c r="G36" s="218">
        <v>0</v>
      </c>
      <c r="H36" s="210">
        <f t="shared" si="1"/>
        <v>0</v>
      </c>
    </row>
    <row r="37" spans="1:8" ht="15.75" thickBot="1" x14ac:dyDescent="0.3">
      <c r="A37" s="422" t="s">
        <v>970</v>
      </c>
      <c r="B37" s="186">
        <v>1</v>
      </c>
      <c r="C37" s="167">
        <v>1</v>
      </c>
      <c r="D37" s="427">
        <f t="shared" si="0"/>
        <v>2</v>
      </c>
      <c r="E37" s="216" t="s">
        <v>970</v>
      </c>
      <c r="F37" s="97">
        <v>63</v>
      </c>
      <c r="G37" s="218">
        <v>5</v>
      </c>
      <c r="H37" s="210">
        <f t="shared" si="1"/>
        <v>68</v>
      </c>
    </row>
    <row r="38" spans="1:8" ht="15.75" thickBot="1" x14ac:dyDescent="0.3">
      <c r="A38" s="422" t="s">
        <v>150</v>
      </c>
      <c r="B38" s="186">
        <v>3</v>
      </c>
      <c r="C38" s="167">
        <v>0</v>
      </c>
      <c r="D38" s="427">
        <f t="shared" si="0"/>
        <v>3</v>
      </c>
      <c r="E38" s="216" t="s">
        <v>150</v>
      </c>
      <c r="F38" s="97">
        <v>59</v>
      </c>
      <c r="G38" s="218">
        <v>17</v>
      </c>
      <c r="H38" s="210">
        <f t="shared" si="1"/>
        <v>76</v>
      </c>
    </row>
    <row r="39" spans="1:8" ht="15.75" thickBot="1" x14ac:dyDescent="0.3">
      <c r="A39" s="422" t="s">
        <v>37</v>
      </c>
      <c r="B39" s="186">
        <v>0</v>
      </c>
      <c r="C39" s="167">
        <v>1</v>
      </c>
      <c r="D39" s="427">
        <f t="shared" si="0"/>
        <v>1</v>
      </c>
      <c r="E39" s="216" t="s">
        <v>37</v>
      </c>
      <c r="F39" s="97">
        <v>0</v>
      </c>
      <c r="G39" s="218">
        <v>5</v>
      </c>
      <c r="H39" s="210">
        <f t="shared" si="1"/>
        <v>5</v>
      </c>
    </row>
    <row r="40" spans="1:8" ht="15" customHeight="1" thickBot="1" x14ac:dyDescent="0.3">
      <c r="A40" s="422" t="s">
        <v>55</v>
      </c>
      <c r="B40" s="186">
        <v>0</v>
      </c>
      <c r="C40" s="167">
        <v>0</v>
      </c>
      <c r="D40" s="427">
        <f t="shared" si="0"/>
        <v>0</v>
      </c>
      <c r="E40" s="216" t="s">
        <v>55</v>
      </c>
      <c r="F40" s="97">
        <v>4</v>
      </c>
      <c r="G40" s="218">
        <v>0</v>
      </c>
      <c r="H40" s="210">
        <f t="shared" si="1"/>
        <v>4</v>
      </c>
    </row>
    <row r="41" spans="1:8" ht="15.75" thickBot="1" x14ac:dyDescent="0.3">
      <c r="A41" s="422" t="s">
        <v>308</v>
      </c>
      <c r="B41" s="186">
        <v>0</v>
      </c>
      <c r="C41" s="167">
        <v>0</v>
      </c>
      <c r="D41" s="427">
        <f t="shared" si="0"/>
        <v>0</v>
      </c>
      <c r="E41" s="216" t="s">
        <v>308</v>
      </c>
      <c r="F41" s="97">
        <v>0</v>
      </c>
      <c r="G41" s="218">
        <v>0</v>
      </c>
      <c r="H41" s="210">
        <f t="shared" si="1"/>
        <v>0</v>
      </c>
    </row>
    <row r="42" spans="1:8" ht="15.75" thickBot="1" x14ac:dyDescent="0.3">
      <c r="A42" s="422" t="s">
        <v>113</v>
      </c>
      <c r="B42" s="186">
        <v>0</v>
      </c>
      <c r="C42" s="167">
        <v>0</v>
      </c>
      <c r="D42" s="427">
        <f t="shared" si="0"/>
        <v>0</v>
      </c>
      <c r="E42" s="216" t="s">
        <v>113</v>
      </c>
      <c r="F42" s="97">
        <v>0</v>
      </c>
      <c r="G42" s="218">
        <v>0</v>
      </c>
      <c r="H42" s="210">
        <f t="shared" si="1"/>
        <v>0</v>
      </c>
    </row>
    <row r="43" spans="1:8" ht="15.75" thickBot="1" x14ac:dyDescent="0.3">
      <c r="A43" s="422" t="s">
        <v>309</v>
      </c>
      <c r="B43" s="186">
        <v>2</v>
      </c>
      <c r="C43" s="167">
        <v>0</v>
      </c>
      <c r="D43" s="427">
        <f t="shared" si="0"/>
        <v>2</v>
      </c>
      <c r="E43" s="216" t="s">
        <v>309</v>
      </c>
      <c r="F43" s="97">
        <v>10</v>
      </c>
      <c r="G43" s="218">
        <v>0</v>
      </c>
      <c r="H43" s="210">
        <f t="shared" si="1"/>
        <v>10</v>
      </c>
    </row>
    <row r="44" spans="1:8" ht="15.75" thickBot="1" x14ac:dyDescent="0.3">
      <c r="A44" s="422" t="s">
        <v>178</v>
      </c>
      <c r="B44" s="186">
        <v>1</v>
      </c>
      <c r="C44" s="167">
        <v>0</v>
      </c>
      <c r="D44" s="427">
        <f t="shared" si="0"/>
        <v>1</v>
      </c>
      <c r="E44" s="216" t="s">
        <v>178</v>
      </c>
      <c r="F44" s="97">
        <v>5</v>
      </c>
      <c r="G44" s="218">
        <v>0</v>
      </c>
      <c r="H44" s="210">
        <f t="shared" si="1"/>
        <v>5</v>
      </c>
    </row>
    <row r="45" spans="1:8" ht="15.75" thickBot="1" x14ac:dyDescent="0.3">
      <c r="A45" s="422" t="s">
        <v>310</v>
      </c>
      <c r="B45" s="186">
        <v>1</v>
      </c>
      <c r="C45" s="167">
        <v>0</v>
      </c>
      <c r="D45" s="427">
        <f t="shared" si="0"/>
        <v>1</v>
      </c>
      <c r="E45" s="216" t="s">
        <v>310</v>
      </c>
      <c r="F45" s="97">
        <v>26</v>
      </c>
      <c r="G45" s="218">
        <v>0</v>
      </c>
      <c r="H45" s="210">
        <f t="shared" si="1"/>
        <v>26</v>
      </c>
    </row>
    <row r="46" spans="1:8" ht="15.75" thickBot="1" x14ac:dyDescent="0.3">
      <c r="A46" s="422" t="s">
        <v>7</v>
      </c>
      <c r="B46" s="186">
        <v>0</v>
      </c>
      <c r="C46" s="167">
        <v>0</v>
      </c>
      <c r="D46" s="427">
        <f t="shared" si="0"/>
        <v>0</v>
      </c>
      <c r="E46" s="216" t="s">
        <v>7</v>
      </c>
      <c r="F46" s="97">
        <v>0</v>
      </c>
      <c r="G46" s="218">
        <v>0</v>
      </c>
      <c r="H46" s="210">
        <f t="shared" si="1"/>
        <v>0</v>
      </c>
    </row>
    <row r="47" spans="1:8" ht="15.75" thickBot="1" x14ac:dyDescent="0.3">
      <c r="A47" s="422" t="s">
        <v>3</v>
      </c>
      <c r="B47" s="186">
        <f>SUM(B3:B46)</f>
        <v>39</v>
      </c>
      <c r="C47" s="167">
        <f>SUM(C3:C46)</f>
        <v>6</v>
      </c>
      <c r="D47" s="427">
        <f t="shared" si="0"/>
        <v>45</v>
      </c>
      <c r="E47" s="216" t="s">
        <v>3</v>
      </c>
      <c r="F47" s="97">
        <f>SUM(F3:F46)</f>
        <v>326</v>
      </c>
      <c r="G47" s="218">
        <f>SUM(G3:G46)</f>
        <v>49</v>
      </c>
      <c r="H47" s="210">
        <f t="shared" si="1"/>
        <v>375</v>
      </c>
    </row>
    <row r="48" spans="1:8" x14ac:dyDescent="0.25">
      <c r="A48" s="423"/>
      <c r="B48" s="182"/>
      <c r="C48" s="83"/>
      <c r="D48" s="206"/>
      <c r="E48" s="424"/>
      <c r="F48" s="204"/>
      <c r="G48" s="53"/>
      <c r="H48" s="426"/>
    </row>
    <row r="49" spans="1:9" ht="15.75" thickBot="1" x14ac:dyDescent="0.3">
      <c r="A49" s="416" t="s">
        <v>30</v>
      </c>
      <c r="B49" s="182"/>
      <c r="C49" s="83"/>
      <c r="D49" s="206"/>
      <c r="E49" s="425"/>
      <c r="F49" s="205"/>
      <c r="G49" s="51"/>
      <c r="H49" s="107"/>
    </row>
    <row r="50" spans="1:9" ht="15" customHeight="1" thickBot="1" x14ac:dyDescent="0.3">
      <c r="A50" s="419" t="s">
        <v>0</v>
      </c>
      <c r="B50" s="208" t="s">
        <v>219</v>
      </c>
      <c r="C50" s="166" t="s">
        <v>73</v>
      </c>
      <c r="D50" s="421" t="s">
        <v>1</v>
      </c>
      <c r="E50" s="420" t="s">
        <v>2</v>
      </c>
      <c r="F50" s="147" t="s">
        <v>219</v>
      </c>
      <c r="G50" s="217" t="s">
        <v>73</v>
      </c>
      <c r="H50" s="212" t="s">
        <v>1</v>
      </c>
    </row>
    <row r="51" spans="1:9" ht="15.75" thickBot="1" x14ac:dyDescent="0.3">
      <c r="A51" s="422" t="s">
        <v>145</v>
      </c>
      <c r="B51" s="186">
        <v>5</v>
      </c>
      <c r="C51" s="167">
        <v>0</v>
      </c>
      <c r="D51" s="427">
        <f t="shared" ref="D51:D94" si="7">SUM(B51:C51)</f>
        <v>5</v>
      </c>
      <c r="E51" s="216" t="s">
        <v>150</v>
      </c>
      <c r="F51" s="97">
        <v>59</v>
      </c>
      <c r="G51" s="218">
        <v>17</v>
      </c>
      <c r="H51" s="210">
        <f t="shared" ref="H51:H94" si="8">SUM(F51:G51)</f>
        <v>76</v>
      </c>
    </row>
    <row r="52" spans="1:9" ht="15.75" thickBot="1" x14ac:dyDescent="0.3">
      <c r="A52" s="422" t="s">
        <v>562</v>
      </c>
      <c r="B52" s="186">
        <v>3</v>
      </c>
      <c r="C52" s="167">
        <v>0</v>
      </c>
      <c r="D52" s="427">
        <f t="shared" si="7"/>
        <v>3</v>
      </c>
      <c r="E52" s="216" t="s">
        <v>970</v>
      </c>
      <c r="F52" s="97">
        <v>63</v>
      </c>
      <c r="G52" s="218">
        <v>5</v>
      </c>
      <c r="H52" s="210">
        <f t="shared" si="8"/>
        <v>68</v>
      </c>
    </row>
    <row r="53" spans="1:9" ht="15.75" thickBot="1" x14ac:dyDescent="0.3">
      <c r="A53" s="422" t="s">
        <v>70</v>
      </c>
      <c r="B53" s="186">
        <v>2</v>
      </c>
      <c r="C53" s="167">
        <v>1</v>
      </c>
      <c r="D53" s="427">
        <f t="shared" si="7"/>
        <v>3</v>
      </c>
      <c r="E53" s="216" t="s">
        <v>310</v>
      </c>
      <c r="F53" s="97">
        <v>26</v>
      </c>
      <c r="G53" s="218">
        <v>0</v>
      </c>
      <c r="H53" s="210">
        <f t="shared" si="8"/>
        <v>26</v>
      </c>
    </row>
    <row r="54" spans="1:9" ht="15.75" thickBot="1" x14ac:dyDescent="0.3">
      <c r="A54" s="422" t="s">
        <v>132</v>
      </c>
      <c r="B54" s="186">
        <v>3</v>
      </c>
      <c r="C54" s="167">
        <v>0</v>
      </c>
      <c r="D54" s="427">
        <f t="shared" si="7"/>
        <v>3</v>
      </c>
      <c r="E54" s="216" t="s">
        <v>146</v>
      </c>
      <c r="F54" s="97">
        <v>25</v>
      </c>
      <c r="G54" s="218">
        <v>0</v>
      </c>
      <c r="H54" s="210">
        <f t="shared" si="8"/>
        <v>25</v>
      </c>
    </row>
    <row r="55" spans="1:9" ht="15.75" thickBot="1" x14ac:dyDescent="0.3">
      <c r="A55" s="422" t="s">
        <v>6</v>
      </c>
      <c r="B55" s="186">
        <v>2</v>
      </c>
      <c r="C55" s="167">
        <v>1</v>
      </c>
      <c r="D55" s="427">
        <f t="shared" si="7"/>
        <v>3</v>
      </c>
      <c r="E55" s="216" t="s">
        <v>6</v>
      </c>
      <c r="F55" s="97">
        <v>14</v>
      </c>
      <c r="G55" s="218">
        <v>7</v>
      </c>
      <c r="H55" s="210">
        <f t="shared" si="8"/>
        <v>21</v>
      </c>
    </row>
    <row r="56" spans="1:9" ht="15.75" thickBot="1" x14ac:dyDescent="0.3">
      <c r="A56" s="422" t="s">
        <v>150</v>
      </c>
      <c r="B56" s="186">
        <v>3</v>
      </c>
      <c r="C56" s="167">
        <v>0</v>
      </c>
      <c r="D56" s="427">
        <f t="shared" si="7"/>
        <v>3</v>
      </c>
      <c r="E56" s="216" t="s">
        <v>562</v>
      </c>
      <c r="F56" s="97">
        <v>15</v>
      </c>
      <c r="G56" s="218">
        <v>0</v>
      </c>
      <c r="H56" s="210">
        <f t="shared" si="8"/>
        <v>15</v>
      </c>
    </row>
    <row r="57" spans="1:9" ht="15.75" thickBot="1" x14ac:dyDescent="0.3">
      <c r="A57" s="422" t="s">
        <v>122</v>
      </c>
      <c r="B57" s="186">
        <v>2</v>
      </c>
      <c r="C57" s="167">
        <v>0</v>
      </c>
      <c r="D57" s="427">
        <f t="shared" si="7"/>
        <v>2</v>
      </c>
      <c r="E57" s="216" t="s">
        <v>70</v>
      </c>
      <c r="F57" s="97">
        <v>10</v>
      </c>
      <c r="G57" s="218">
        <v>5</v>
      </c>
      <c r="H57" s="210">
        <f t="shared" si="8"/>
        <v>15</v>
      </c>
    </row>
    <row r="58" spans="1:9" ht="15.75" thickBot="1" x14ac:dyDescent="0.3">
      <c r="A58" s="422" t="s">
        <v>1074</v>
      </c>
      <c r="B58" s="186">
        <v>2</v>
      </c>
      <c r="C58" s="167">
        <v>0</v>
      </c>
      <c r="D58" s="427">
        <f t="shared" si="7"/>
        <v>2</v>
      </c>
      <c r="E58" s="216" t="s">
        <v>132</v>
      </c>
      <c r="F58" s="97">
        <v>15</v>
      </c>
      <c r="G58" s="218">
        <v>0</v>
      </c>
      <c r="H58" s="210">
        <f t="shared" si="8"/>
        <v>15</v>
      </c>
      <c r="I58" s="354"/>
    </row>
    <row r="59" spans="1:9" ht="15.75" thickBot="1" x14ac:dyDescent="0.3">
      <c r="A59" s="422" t="s">
        <v>157</v>
      </c>
      <c r="B59" s="186">
        <v>2</v>
      </c>
      <c r="C59" s="167">
        <v>0</v>
      </c>
      <c r="D59" s="427">
        <f t="shared" si="7"/>
        <v>2</v>
      </c>
      <c r="E59" s="216" t="s">
        <v>122</v>
      </c>
      <c r="F59" s="97">
        <v>10</v>
      </c>
      <c r="G59" s="218">
        <v>0</v>
      </c>
      <c r="H59" s="210">
        <f t="shared" si="8"/>
        <v>10</v>
      </c>
      <c r="I59" s="348"/>
    </row>
    <row r="60" spans="1:9" ht="15.75" thickBot="1" x14ac:dyDescent="0.3">
      <c r="A60" s="422" t="s">
        <v>1049</v>
      </c>
      <c r="B60" s="186">
        <v>2</v>
      </c>
      <c r="C60" s="167">
        <v>0</v>
      </c>
      <c r="D60" s="427">
        <f t="shared" si="7"/>
        <v>2</v>
      </c>
      <c r="E60" s="216" t="s">
        <v>1074</v>
      </c>
      <c r="F60" s="97">
        <v>10</v>
      </c>
      <c r="G60" s="218">
        <v>0</v>
      </c>
      <c r="H60" s="210">
        <f t="shared" si="8"/>
        <v>10</v>
      </c>
    </row>
    <row r="61" spans="1:9" ht="15.75" thickBot="1" x14ac:dyDescent="0.3">
      <c r="A61" s="422" t="s">
        <v>686</v>
      </c>
      <c r="B61" s="186">
        <v>2</v>
      </c>
      <c r="C61" s="167">
        <v>0</v>
      </c>
      <c r="D61" s="427">
        <f t="shared" si="7"/>
        <v>2</v>
      </c>
      <c r="E61" s="216" t="s">
        <v>157</v>
      </c>
      <c r="F61" s="97">
        <v>10</v>
      </c>
      <c r="G61" s="218">
        <v>0</v>
      </c>
      <c r="H61" s="210">
        <f t="shared" si="8"/>
        <v>10</v>
      </c>
    </row>
    <row r="62" spans="1:9" ht="15.75" thickBot="1" x14ac:dyDescent="0.3">
      <c r="A62" s="422" t="s">
        <v>970</v>
      </c>
      <c r="B62" s="186">
        <v>1</v>
      </c>
      <c r="C62" s="167">
        <v>1</v>
      </c>
      <c r="D62" s="427">
        <f t="shared" si="7"/>
        <v>2</v>
      </c>
      <c r="E62" s="216" t="s">
        <v>1049</v>
      </c>
      <c r="F62" s="97">
        <v>10</v>
      </c>
      <c r="G62" s="218">
        <v>0</v>
      </c>
      <c r="H62" s="210">
        <f t="shared" si="8"/>
        <v>10</v>
      </c>
    </row>
    <row r="63" spans="1:9" ht="15.75" thickBot="1" x14ac:dyDescent="0.3">
      <c r="A63" s="422" t="s">
        <v>309</v>
      </c>
      <c r="B63" s="186">
        <v>2</v>
      </c>
      <c r="C63" s="167">
        <v>0</v>
      </c>
      <c r="D63" s="427">
        <f t="shared" si="7"/>
        <v>2</v>
      </c>
      <c r="E63" s="216" t="s">
        <v>686</v>
      </c>
      <c r="F63" s="97">
        <v>10</v>
      </c>
      <c r="G63" s="218">
        <v>0</v>
      </c>
      <c r="H63" s="210">
        <f t="shared" si="8"/>
        <v>10</v>
      </c>
    </row>
    <row r="64" spans="1:9" ht="15.75" thickBot="1" x14ac:dyDescent="0.3">
      <c r="A64" s="422" t="s">
        <v>507</v>
      </c>
      <c r="B64" s="186">
        <v>1</v>
      </c>
      <c r="C64" s="167">
        <v>0</v>
      </c>
      <c r="D64" s="427">
        <f t="shared" si="7"/>
        <v>1</v>
      </c>
      <c r="E64" s="216" t="s">
        <v>309</v>
      </c>
      <c r="F64" s="97">
        <v>10</v>
      </c>
      <c r="G64" s="218">
        <v>0</v>
      </c>
      <c r="H64" s="210">
        <f t="shared" si="8"/>
        <v>10</v>
      </c>
    </row>
    <row r="65" spans="1:8" ht="15.75" thickBot="1" x14ac:dyDescent="0.3">
      <c r="A65" s="422" t="s">
        <v>510</v>
      </c>
      <c r="B65" s="186">
        <v>1</v>
      </c>
      <c r="C65" s="167">
        <v>0</v>
      </c>
      <c r="D65" s="427">
        <f t="shared" si="7"/>
        <v>1</v>
      </c>
      <c r="E65" s="216" t="s">
        <v>507</v>
      </c>
      <c r="F65" s="97">
        <v>5</v>
      </c>
      <c r="G65" s="218">
        <v>0</v>
      </c>
      <c r="H65" s="210">
        <f t="shared" si="8"/>
        <v>5</v>
      </c>
    </row>
    <row r="66" spans="1:8" ht="15.75" thickBot="1" x14ac:dyDescent="0.3">
      <c r="A66" s="422" t="s">
        <v>966</v>
      </c>
      <c r="B66" s="186">
        <v>1</v>
      </c>
      <c r="C66" s="167">
        <v>0</v>
      </c>
      <c r="D66" s="427">
        <f t="shared" si="7"/>
        <v>1</v>
      </c>
      <c r="E66" s="216" t="s">
        <v>510</v>
      </c>
      <c r="F66" s="97">
        <v>5</v>
      </c>
      <c r="G66" s="218">
        <v>0</v>
      </c>
      <c r="H66" s="210">
        <f t="shared" si="8"/>
        <v>5</v>
      </c>
    </row>
    <row r="67" spans="1:8" ht="15.75" thickBot="1" x14ac:dyDescent="0.3">
      <c r="A67" s="422" t="s">
        <v>196</v>
      </c>
      <c r="B67" s="186">
        <v>0</v>
      </c>
      <c r="C67" s="167">
        <v>1</v>
      </c>
      <c r="D67" s="427">
        <f t="shared" si="7"/>
        <v>1</v>
      </c>
      <c r="E67" s="216" t="s">
        <v>966</v>
      </c>
      <c r="F67" s="97">
        <v>5</v>
      </c>
      <c r="G67" s="218">
        <v>0</v>
      </c>
      <c r="H67" s="210">
        <f t="shared" si="8"/>
        <v>5</v>
      </c>
    </row>
    <row r="68" spans="1:8" ht="15.75" thickBot="1" x14ac:dyDescent="0.3">
      <c r="A68" s="422" t="s">
        <v>59</v>
      </c>
      <c r="B68" s="186">
        <v>1</v>
      </c>
      <c r="C68" s="167">
        <v>0</v>
      </c>
      <c r="D68" s="427">
        <f t="shared" si="7"/>
        <v>1</v>
      </c>
      <c r="E68" s="216" t="s">
        <v>196</v>
      </c>
      <c r="F68" s="97">
        <v>0</v>
      </c>
      <c r="G68" s="218">
        <v>5</v>
      </c>
      <c r="H68" s="210">
        <f t="shared" si="8"/>
        <v>5</v>
      </c>
    </row>
    <row r="69" spans="1:8" ht="15.75" thickBot="1" x14ac:dyDescent="0.3">
      <c r="A69" s="422" t="s">
        <v>124</v>
      </c>
      <c r="B69" s="186">
        <v>1</v>
      </c>
      <c r="C69" s="167">
        <v>0</v>
      </c>
      <c r="D69" s="427">
        <f t="shared" si="7"/>
        <v>1</v>
      </c>
      <c r="E69" s="216" t="s">
        <v>59</v>
      </c>
      <c r="F69" s="97">
        <v>5</v>
      </c>
      <c r="G69" s="218">
        <v>0</v>
      </c>
      <c r="H69" s="210">
        <f t="shared" si="8"/>
        <v>5</v>
      </c>
    </row>
    <row r="70" spans="1:8" ht="15.75" thickBot="1" x14ac:dyDescent="0.3">
      <c r="A70" s="422" t="s">
        <v>762</v>
      </c>
      <c r="B70" s="186">
        <v>0</v>
      </c>
      <c r="C70" s="167">
        <v>1</v>
      </c>
      <c r="D70" s="427">
        <f t="shared" si="7"/>
        <v>1</v>
      </c>
      <c r="E70" s="216" t="s">
        <v>124</v>
      </c>
      <c r="F70" s="97">
        <v>5</v>
      </c>
      <c r="G70" s="218">
        <v>0</v>
      </c>
      <c r="H70" s="210">
        <f t="shared" si="8"/>
        <v>5</v>
      </c>
    </row>
    <row r="71" spans="1:8" ht="15.75" thickBot="1" x14ac:dyDescent="0.3">
      <c r="A71" s="422" t="s">
        <v>125</v>
      </c>
      <c r="B71" s="186">
        <v>1</v>
      </c>
      <c r="C71" s="167">
        <v>0</v>
      </c>
      <c r="D71" s="427">
        <f t="shared" si="7"/>
        <v>1</v>
      </c>
      <c r="E71" s="216" t="s">
        <v>762</v>
      </c>
      <c r="F71" s="97">
        <v>0</v>
      </c>
      <c r="G71" s="218">
        <v>5</v>
      </c>
      <c r="H71" s="210">
        <f t="shared" si="8"/>
        <v>5</v>
      </c>
    </row>
    <row r="72" spans="1:8" ht="15.75" thickBot="1" x14ac:dyDescent="0.3">
      <c r="A72" s="422" t="s">
        <v>37</v>
      </c>
      <c r="B72" s="186">
        <v>0</v>
      </c>
      <c r="C72" s="167">
        <v>1</v>
      </c>
      <c r="D72" s="427">
        <f t="shared" si="7"/>
        <v>1</v>
      </c>
      <c r="E72" s="216" t="s">
        <v>125</v>
      </c>
      <c r="F72" s="97">
        <v>5</v>
      </c>
      <c r="G72" s="218">
        <v>0</v>
      </c>
      <c r="H72" s="210">
        <f t="shared" si="8"/>
        <v>5</v>
      </c>
    </row>
    <row r="73" spans="1:8" ht="15.75" thickBot="1" x14ac:dyDescent="0.3">
      <c r="A73" s="422" t="s">
        <v>178</v>
      </c>
      <c r="B73" s="186">
        <v>1</v>
      </c>
      <c r="C73" s="167">
        <v>0</v>
      </c>
      <c r="D73" s="427">
        <f t="shared" si="7"/>
        <v>1</v>
      </c>
      <c r="E73" s="216" t="s">
        <v>37</v>
      </c>
      <c r="F73" s="97">
        <v>0</v>
      </c>
      <c r="G73" s="218">
        <v>5</v>
      </c>
      <c r="H73" s="210">
        <f t="shared" si="8"/>
        <v>5</v>
      </c>
    </row>
    <row r="74" spans="1:8" ht="15.75" thickBot="1" x14ac:dyDescent="0.3">
      <c r="A74" s="422" t="s">
        <v>310</v>
      </c>
      <c r="B74" s="186">
        <v>1</v>
      </c>
      <c r="C74" s="167">
        <v>0</v>
      </c>
      <c r="D74" s="427">
        <f t="shared" si="7"/>
        <v>1</v>
      </c>
      <c r="E74" s="216" t="s">
        <v>178</v>
      </c>
      <c r="F74" s="97">
        <v>5</v>
      </c>
      <c r="G74" s="218">
        <v>0</v>
      </c>
      <c r="H74" s="210">
        <f t="shared" si="8"/>
        <v>5</v>
      </c>
    </row>
    <row r="75" spans="1:8" ht="15.75" thickBot="1" x14ac:dyDescent="0.3">
      <c r="A75" s="422" t="s">
        <v>123</v>
      </c>
      <c r="B75" s="186">
        <v>0</v>
      </c>
      <c r="C75" s="167">
        <v>0</v>
      </c>
      <c r="D75" s="427">
        <f t="shared" si="7"/>
        <v>0</v>
      </c>
      <c r="E75" s="216" t="s">
        <v>55</v>
      </c>
      <c r="F75" s="97">
        <v>4</v>
      </c>
      <c r="G75" s="218">
        <v>0</v>
      </c>
      <c r="H75" s="210">
        <f t="shared" si="8"/>
        <v>4</v>
      </c>
    </row>
    <row r="76" spans="1:8" ht="15.75" thickBot="1" x14ac:dyDescent="0.3">
      <c r="A76" s="422" t="s">
        <v>305</v>
      </c>
      <c r="B76" s="186">
        <v>0</v>
      </c>
      <c r="C76" s="167">
        <v>0</v>
      </c>
      <c r="D76" s="427">
        <f t="shared" si="7"/>
        <v>0</v>
      </c>
      <c r="E76" s="216" t="s">
        <v>123</v>
      </c>
      <c r="F76" s="97">
        <v>0</v>
      </c>
      <c r="G76" s="218">
        <v>0</v>
      </c>
      <c r="H76" s="210">
        <f t="shared" si="8"/>
        <v>0</v>
      </c>
    </row>
    <row r="77" spans="1:8" ht="15.75" thickBot="1" x14ac:dyDescent="0.3">
      <c r="A77" s="422" t="s">
        <v>304</v>
      </c>
      <c r="B77" s="186">
        <v>0</v>
      </c>
      <c r="C77" s="167">
        <v>0</v>
      </c>
      <c r="D77" s="427">
        <f t="shared" si="7"/>
        <v>0</v>
      </c>
      <c r="E77" s="216" t="s">
        <v>305</v>
      </c>
      <c r="F77" s="97">
        <v>0</v>
      </c>
      <c r="G77" s="218">
        <v>0</v>
      </c>
      <c r="H77" s="210">
        <f t="shared" si="8"/>
        <v>0</v>
      </c>
    </row>
    <row r="78" spans="1:8" ht="15.75" thickBot="1" x14ac:dyDescent="0.3">
      <c r="A78" s="422" t="s">
        <v>508</v>
      </c>
      <c r="B78" s="186">
        <v>0</v>
      </c>
      <c r="C78" s="167">
        <v>0</v>
      </c>
      <c r="D78" s="427">
        <f t="shared" si="7"/>
        <v>0</v>
      </c>
      <c r="E78" s="216" t="s">
        <v>304</v>
      </c>
      <c r="F78" s="97">
        <v>0</v>
      </c>
      <c r="G78" s="218">
        <v>0</v>
      </c>
      <c r="H78" s="210">
        <f t="shared" si="8"/>
        <v>0</v>
      </c>
    </row>
    <row r="79" spans="1:8" ht="15.75" thickBot="1" x14ac:dyDescent="0.3">
      <c r="A79" s="422" t="s">
        <v>215</v>
      </c>
      <c r="B79" s="186">
        <v>0</v>
      </c>
      <c r="C79" s="167">
        <v>0</v>
      </c>
      <c r="D79" s="427">
        <f t="shared" si="7"/>
        <v>0</v>
      </c>
      <c r="E79" s="216" t="s">
        <v>508</v>
      </c>
      <c r="F79" s="97">
        <v>0</v>
      </c>
      <c r="G79" s="218">
        <v>0</v>
      </c>
      <c r="H79" s="210">
        <f t="shared" si="8"/>
        <v>0</v>
      </c>
    </row>
    <row r="80" spans="1:8" ht="15.75" thickBot="1" x14ac:dyDescent="0.3">
      <c r="A80" s="422" t="s">
        <v>739</v>
      </c>
      <c r="B80" s="186">
        <v>0</v>
      </c>
      <c r="C80" s="167">
        <v>0</v>
      </c>
      <c r="D80" s="427">
        <f t="shared" si="7"/>
        <v>0</v>
      </c>
      <c r="E80" s="216" t="s">
        <v>215</v>
      </c>
      <c r="F80" s="97">
        <v>0</v>
      </c>
      <c r="G80" s="218">
        <v>0</v>
      </c>
      <c r="H80" s="210">
        <f t="shared" si="8"/>
        <v>0</v>
      </c>
    </row>
    <row r="81" spans="1:8" ht="15.75" thickBot="1" x14ac:dyDescent="0.3">
      <c r="A81" s="422" t="s">
        <v>306</v>
      </c>
      <c r="B81" s="186">
        <v>0</v>
      </c>
      <c r="C81" s="167">
        <v>0</v>
      </c>
      <c r="D81" s="427">
        <f t="shared" si="7"/>
        <v>0</v>
      </c>
      <c r="E81" s="216" t="s">
        <v>739</v>
      </c>
      <c r="F81" s="97">
        <v>0</v>
      </c>
      <c r="G81" s="218">
        <v>0</v>
      </c>
      <c r="H81" s="210">
        <f t="shared" si="8"/>
        <v>0</v>
      </c>
    </row>
    <row r="82" spans="1:8" ht="15.75" thickBot="1" x14ac:dyDescent="0.3">
      <c r="A82" s="422" t="s">
        <v>710</v>
      </c>
      <c r="B82" s="186">
        <v>0</v>
      </c>
      <c r="C82" s="167">
        <v>0</v>
      </c>
      <c r="D82" s="427">
        <f t="shared" si="7"/>
        <v>0</v>
      </c>
      <c r="E82" s="216" t="s">
        <v>306</v>
      </c>
      <c r="F82" s="97">
        <v>0</v>
      </c>
      <c r="G82" s="218">
        <v>0</v>
      </c>
      <c r="H82" s="210">
        <f t="shared" si="8"/>
        <v>0</v>
      </c>
    </row>
    <row r="83" spans="1:8" ht="15.75" thickBot="1" x14ac:dyDescent="0.3">
      <c r="A83" s="422" t="s">
        <v>307</v>
      </c>
      <c r="B83" s="186">
        <v>0</v>
      </c>
      <c r="C83" s="167">
        <v>0</v>
      </c>
      <c r="D83" s="427">
        <f t="shared" si="7"/>
        <v>0</v>
      </c>
      <c r="E83" s="216" t="s">
        <v>710</v>
      </c>
      <c r="F83" s="97">
        <v>0</v>
      </c>
      <c r="G83" s="218">
        <v>0</v>
      </c>
      <c r="H83" s="210">
        <f t="shared" si="8"/>
        <v>0</v>
      </c>
    </row>
    <row r="84" spans="1:8" ht="15.75" thickBot="1" x14ac:dyDescent="0.3">
      <c r="A84" s="422" t="s">
        <v>682</v>
      </c>
      <c r="B84" s="186">
        <v>0</v>
      </c>
      <c r="C84" s="167">
        <v>0</v>
      </c>
      <c r="D84" s="427">
        <f t="shared" si="7"/>
        <v>0</v>
      </c>
      <c r="E84" s="216" t="s">
        <v>307</v>
      </c>
      <c r="F84" s="97">
        <v>0</v>
      </c>
      <c r="G84" s="218">
        <v>0</v>
      </c>
      <c r="H84" s="210">
        <f t="shared" si="8"/>
        <v>0</v>
      </c>
    </row>
    <row r="85" spans="1:8" ht="15.75" thickBot="1" x14ac:dyDescent="0.3">
      <c r="A85" s="422" t="s">
        <v>684</v>
      </c>
      <c r="B85" s="186">
        <v>0</v>
      </c>
      <c r="C85" s="167">
        <v>0</v>
      </c>
      <c r="D85" s="427">
        <f t="shared" si="7"/>
        <v>0</v>
      </c>
      <c r="E85" s="216" t="s">
        <v>682</v>
      </c>
      <c r="F85" s="97">
        <v>0</v>
      </c>
      <c r="G85" s="218">
        <v>0</v>
      </c>
      <c r="H85" s="210">
        <f t="shared" si="8"/>
        <v>0</v>
      </c>
    </row>
    <row r="86" spans="1:8" ht="15.75" thickBot="1" x14ac:dyDescent="0.3">
      <c r="A86" s="422" t="s">
        <v>64</v>
      </c>
      <c r="B86" s="186">
        <v>0</v>
      </c>
      <c r="C86" s="167">
        <v>0</v>
      </c>
      <c r="D86" s="427">
        <f t="shared" si="7"/>
        <v>0</v>
      </c>
      <c r="E86" s="216" t="s">
        <v>684</v>
      </c>
      <c r="F86" s="97">
        <v>0</v>
      </c>
      <c r="G86" s="218">
        <v>0</v>
      </c>
      <c r="H86" s="210">
        <f t="shared" si="8"/>
        <v>0</v>
      </c>
    </row>
    <row r="87" spans="1:8" ht="15.75" thickBot="1" x14ac:dyDescent="0.3">
      <c r="A87" s="422" t="s">
        <v>43</v>
      </c>
      <c r="B87" s="186">
        <v>0</v>
      </c>
      <c r="C87" s="167">
        <v>0</v>
      </c>
      <c r="D87" s="427">
        <f t="shared" si="7"/>
        <v>0</v>
      </c>
      <c r="E87" s="216" t="s">
        <v>64</v>
      </c>
      <c r="F87" s="97">
        <v>0</v>
      </c>
      <c r="G87" s="218">
        <v>0</v>
      </c>
      <c r="H87" s="210">
        <f t="shared" si="8"/>
        <v>0</v>
      </c>
    </row>
    <row r="88" spans="1:8" ht="15.75" thickBot="1" x14ac:dyDescent="0.3">
      <c r="A88" s="422" t="s">
        <v>967</v>
      </c>
      <c r="B88" s="186">
        <v>0</v>
      </c>
      <c r="C88" s="167">
        <v>0</v>
      </c>
      <c r="D88" s="427">
        <f t="shared" si="7"/>
        <v>0</v>
      </c>
      <c r="E88" s="216" t="s">
        <v>43</v>
      </c>
      <c r="F88" s="97">
        <v>0</v>
      </c>
      <c r="G88" s="218">
        <v>0</v>
      </c>
      <c r="H88" s="210">
        <f t="shared" si="8"/>
        <v>0</v>
      </c>
    </row>
    <row r="89" spans="1:8" ht="15.75" thickBot="1" x14ac:dyDescent="0.3">
      <c r="A89" s="422" t="s">
        <v>968</v>
      </c>
      <c r="B89" s="186">
        <v>0</v>
      </c>
      <c r="C89" s="167">
        <v>0</v>
      </c>
      <c r="D89" s="427">
        <f t="shared" si="7"/>
        <v>0</v>
      </c>
      <c r="E89" s="216" t="s">
        <v>967</v>
      </c>
      <c r="F89" s="97">
        <v>0</v>
      </c>
      <c r="G89" s="218">
        <v>0</v>
      </c>
      <c r="H89" s="210">
        <f t="shared" si="8"/>
        <v>0</v>
      </c>
    </row>
    <row r="90" spans="1:8" ht="15.75" thickBot="1" x14ac:dyDescent="0.3">
      <c r="A90" s="422" t="s">
        <v>126</v>
      </c>
      <c r="B90" s="186">
        <v>0</v>
      </c>
      <c r="C90" s="167">
        <v>0</v>
      </c>
      <c r="D90" s="427">
        <f t="shared" si="7"/>
        <v>0</v>
      </c>
      <c r="E90" s="216" t="s">
        <v>968</v>
      </c>
      <c r="F90" s="97">
        <v>0</v>
      </c>
      <c r="G90" s="218">
        <v>0</v>
      </c>
      <c r="H90" s="210">
        <f t="shared" si="8"/>
        <v>0</v>
      </c>
    </row>
    <row r="91" spans="1:8" ht="15" customHeight="1" thickBot="1" x14ac:dyDescent="0.3">
      <c r="A91" s="422" t="s">
        <v>55</v>
      </c>
      <c r="B91" s="186">
        <v>0</v>
      </c>
      <c r="C91" s="167">
        <v>0</v>
      </c>
      <c r="D91" s="427">
        <f t="shared" si="7"/>
        <v>0</v>
      </c>
      <c r="E91" s="216" t="s">
        <v>126</v>
      </c>
      <c r="F91" s="97">
        <v>0</v>
      </c>
      <c r="G91" s="218">
        <v>0</v>
      </c>
      <c r="H91" s="210">
        <f t="shared" si="8"/>
        <v>0</v>
      </c>
    </row>
    <row r="92" spans="1:8" ht="15.75" thickBot="1" x14ac:dyDescent="0.3">
      <c r="A92" s="422" t="s">
        <v>308</v>
      </c>
      <c r="B92" s="186">
        <v>0</v>
      </c>
      <c r="C92" s="167">
        <v>0</v>
      </c>
      <c r="D92" s="427">
        <f t="shared" si="7"/>
        <v>0</v>
      </c>
      <c r="E92" s="216" t="s">
        <v>308</v>
      </c>
      <c r="F92" s="97">
        <v>0</v>
      </c>
      <c r="G92" s="218">
        <v>0</v>
      </c>
      <c r="H92" s="210">
        <f t="shared" si="8"/>
        <v>0</v>
      </c>
    </row>
    <row r="93" spans="1:8" ht="15.75" thickBot="1" x14ac:dyDescent="0.3">
      <c r="A93" s="422" t="s">
        <v>113</v>
      </c>
      <c r="B93" s="186">
        <v>0</v>
      </c>
      <c r="C93" s="167">
        <v>0</v>
      </c>
      <c r="D93" s="427">
        <f t="shared" si="7"/>
        <v>0</v>
      </c>
      <c r="E93" s="216" t="s">
        <v>113</v>
      </c>
      <c r="F93" s="97">
        <v>0</v>
      </c>
      <c r="G93" s="218">
        <v>0</v>
      </c>
      <c r="H93" s="210">
        <f t="shared" si="8"/>
        <v>0</v>
      </c>
    </row>
    <row r="94" spans="1:8" ht="15" customHeight="1" thickBot="1" x14ac:dyDescent="0.3">
      <c r="A94" s="422" t="s">
        <v>7</v>
      </c>
      <c r="B94" s="186">
        <v>0</v>
      </c>
      <c r="C94" s="167">
        <v>0</v>
      </c>
      <c r="D94" s="427">
        <f t="shared" si="7"/>
        <v>0</v>
      </c>
      <c r="E94" s="216" t="s">
        <v>7</v>
      </c>
      <c r="F94" s="97">
        <v>0</v>
      </c>
      <c r="G94" s="218">
        <v>0</v>
      </c>
      <c r="H94" s="210">
        <f t="shared" si="8"/>
        <v>0</v>
      </c>
    </row>
    <row r="95" spans="1:8" ht="15.75" thickBot="1" x14ac:dyDescent="0.3">
      <c r="A95" s="422" t="s">
        <v>3</v>
      </c>
      <c r="B95" s="186">
        <f>SUM(B51:B94)</f>
        <v>39</v>
      </c>
      <c r="C95" s="167">
        <f>SUM(C51:C94)</f>
        <v>6</v>
      </c>
      <c r="D95" s="427">
        <f t="shared" ref="D95" si="9">SUM(B95:C95)</f>
        <v>45</v>
      </c>
      <c r="E95" s="216" t="s">
        <v>3</v>
      </c>
      <c r="F95" s="97">
        <f>SUM(F51:F94)</f>
        <v>326</v>
      </c>
      <c r="G95" s="218">
        <f>SUM(G51:G94)</f>
        <v>49</v>
      </c>
      <c r="H95" s="210">
        <f t="shared" ref="H95" si="10">SUM(F95:G95)</f>
        <v>375</v>
      </c>
    </row>
    <row r="96" spans="1:8" x14ac:dyDescent="0.25">
      <c r="A96" s="535" t="s">
        <v>95</v>
      </c>
      <c r="B96" s="536"/>
      <c r="C96" s="536"/>
      <c r="D96" s="536"/>
      <c r="E96" s="536"/>
      <c r="F96" s="536"/>
      <c r="G96" s="536"/>
    </row>
  </sheetData>
  <sortState xmlns:xlrd2="http://schemas.microsoft.com/office/spreadsheetml/2017/richdata2" ref="E51:H94">
    <sortCondition descending="1" ref="H51:H94"/>
  </sortState>
  <mergeCells count="26">
    <mergeCell ref="AG1:AI2"/>
    <mergeCell ref="S20:U21"/>
    <mergeCell ref="U1:W2"/>
    <mergeCell ref="P1:Q2"/>
    <mergeCell ref="P11:R12"/>
    <mergeCell ref="R1:T2"/>
    <mergeCell ref="AA1:AC2"/>
    <mergeCell ref="AA11:AC12"/>
    <mergeCell ref="AD11:AF12"/>
    <mergeCell ref="AA20:AC21"/>
    <mergeCell ref="A96:G96"/>
    <mergeCell ref="M20:O21"/>
    <mergeCell ref="M1:O2"/>
    <mergeCell ref="AD1:AF2"/>
    <mergeCell ref="S11:U12"/>
    <mergeCell ref="P20:R21"/>
    <mergeCell ref="M11:O12"/>
    <mergeCell ref="I27:AI27"/>
    <mergeCell ref="I26:AG26"/>
    <mergeCell ref="A1:H1"/>
    <mergeCell ref="I20:I21"/>
    <mergeCell ref="J20:L21"/>
    <mergeCell ref="I11:I12"/>
    <mergeCell ref="J11:L12"/>
    <mergeCell ref="I1:I2"/>
    <mergeCell ref="J1:L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O70"/>
  <sheetViews>
    <sheetView workbookViewId="0">
      <selection activeCell="D38" sqref="D38"/>
    </sheetView>
  </sheetViews>
  <sheetFormatPr defaultRowHeight="15" x14ac:dyDescent="0.25"/>
  <cols>
    <col min="1" max="1" width="15.7109375" customWidth="1"/>
    <col min="2" max="2" width="3.28515625" bestFit="1" customWidth="1"/>
    <col min="3" max="3" width="3.85546875" bestFit="1" customWidth="1"/>
    <col min="4" max="4" width="15.7109375" customWidth="1"/>
    <col min="5" max="6" width="5.7109375" customWidth="1"/>
    <col min="7" max="7" width="15.7109375" customWidth="1"/>
    <col min="8" max="15" width="5.7109375" customWidth="1"/>
  </cols>
  <sheetData>
    <row r="1" spans="1:15" ht="16.5" thickBot="1" x14ac:dyDescent="0.3">
      <c r="A1" s="620" t="s">
        <v>1105</v>
      </c>
      <c r="B1" s="621"/>
      <c r="C1" s="621"/>
      <c r="D1" s="621"/>
      <c r="E1" s="621"/>
      <c r="F1" s="622"/>
      <c r="G1" s="623" t="s">
        <v>1106</v>
      </c>
      <c r="H1" s="525" t="s">
        <v>33</v>
      </c>
      <c r="I1" s="526"/>
      <c r="J1" s="527"/>
      <c r="K1" s="525" t="s">
        <v>110</v>
      </c>
      <c r="L1" s="526"/>
      <c r="M1" s="527"/>
      <c r="N1" s="525" t="s">
        <v>657</v>
      </c>
      <c r="O1" s="527"/>
    </row>
    <row r="2" spans="1:15" ht="15" customHeight="1" thickBot="1" x14ac:dyDescent="0.3">
      <c r="A2" s="500" t="s">
        <v>0</v>
      </c>
      <c r="B2" s="141" t="s">
        <v>1104</v>
      </c>
      <c r="C2" s="502" t="s">
        <v>1</v>
      </c>
      <c r="D2" s="504" t="s">
        <v>2</v>
      </c>
      <c r="E2" s="505" t="s">
        <v>1104</v>
      </c>
      <c r="F2" s="506" t="s">
        <v>1</v>
      </c>
      <c r="G2" s="624"/>
      <c r="H2" s="528"/>
      <c r="I2" s="529"/>
      <c r="J2" s="530"/>
      <c r="K2" s="528"/>
      <c r="L2" s="529"/>
      <c r="M2" s="530"/>
      <c r="N2" s="528"/>
      <c r="O2" s="530"/>
    </row>
    <row r="3" spans="1:15" ht="15" customHeight="1" thickBot="1" x14ac:dyDescent="0.3">
      <c r="A3" s="501" t="s">
        <v>1115</v>
      </c>
      <c r="B3" s="5">
        <v>1</v>
      </c>
      <c r="C3" s="503">
        <f t="shared" ref="C3:C34" si="0">SUM(B3:B3)</f>
        <v>1</v>
      </c>
      <c r="D3" s="507" t="s">
        <v>1115</v>
      </c>
      <c r="E3" s="508">
        <v>5</v>
      </c>
      <c r="F3" s="509">
        <f t="shared" ref="F3:F34" si="1">SUM(E3:E3)</f>
        <v>5</v>
      </c>
      <c r="G3" s="33"/>
      <c r="H3" s="3" t="s">
        <v>129</v>
      </c>
      <c r="I3" s="3" t="s">
        <v>27</v>
      </c>
      <c r="J3" s="3" t="s">
        <v>28</v>
      </c>
      <c r="K3" s="3" t="s">
        <v>129</v>
      </c>
      <c r="L3" s="3" t="s">
        <v>27</v>
      </c>
      <c r="M3" s="3" t="s">
        <v>28</v>
      </c>
      <c r="N3" s="3" t="s">
        <v>1104</v>
      </c>
      <c r="O3" s="3" t="s">
        <v>166</v>
      </c>
    </row>
    <row r="4" spans="1:15" ht="15" customHeight="1" thickBot="1" x14ac:dyDescent="0.3">
      <c r="A4" s="501" t="s">
        <v>1116</v>
      </c>
      <c r="B4" s="5">
        <v>3</v>
      </c>
      <c r="C4" s="503">
        <f t="shared" si="0"/>
        <v>3</v>
      </c>
      <c r="D4" s="507" t="s">
        <v>1116</v>
      </c>
      <c r="E4" s="508">
        <v>15</v>
      </c>
      <c r="F4" s="509">
        <f t="shared" si="1"/>
        <v>15</v>
      </c>
      <c r="G4" s="501" t="s">
        <v>1123</v>
      </c>
      <c r="H4" s="503">
        <v>47</v>
      </c>
      <c r="I4" s="503">
        <v>56</v>
      </c>
      <c r="J4" s="511">
        <f>(H4/I4)*100</f>
        <v>83.928571428571431</v>
      </c>
      <c r="K4" s="503">
        <v>5</v>
      </c>
      <c r="L4" s="503">
        <v>5</v>
      </c>
      <c r="M4" s="511">
        <f>(K4/L4)*100</f>
        <v>100</v>
      </c>
      <c r="N4" s="503">
        <v>5</v>
      </c>
      <c r="O4" s="503">
        <v>5</v>
      </c>
    </row>
    <row r="5" spans="1:15" ht="15" customHeight="1" thickBot="1" x14ac:dyDescent="0.3">
      <c r="A5" s="501" t="s">
        <v>1128</v>
      </c>
      <c r="B5" s="5">
        <v>2</v>
      </c>
      <c r="C5" s="503">
        <f t="shared" si="0"/>
        <v>2</v>
      </c>
      <c r="D5" s="507" t="s">
        <v>1128</v>
      </c>
      <c r="E5" s="508">
        <v>10</v>
      </c>
      <c r="F5" s="509">
        <f t="shared" si="1"/>
        <v>10</v>
      </c>
      <c r="G5" s="501" t="s">
        <v>1129</v>
      </c>
      <c r="H5" s="503">
        <v>1</v>
      </c>
      <c r="I5" s="503">
        <v>4</v>
      </c>
      <c r="J5" s="511">
        <f>(H5/I5)*100</f>
        <v>25</v>
      </c>
      <c r="K5" s="503" t="s">
        <v>34</v>
      </c>
      <c r="L5" s="503" t="s">
        <v>34</v>
      </c>
      <c r="M5" s="511" t="s">
        <v>34</v>
      </c>
      <c r="N5" s="503">
        <v>-2</v>
      </c>
      <c r="O5" s="503">
        <v>-2</v>
      </c>
    </row>
    <row r="6" spans="1:15" ht="15" customHeight="1" thickBot="1" x14ac:dyDescent="0.3">
      <c r="A6" s="501" t="s">
        <v>1130</v>
      </c>
      <c r="B6" s="5">
        <v>4</v>
      </c>
      <c r="C6" s="503">
        <f t="shared" si="0"/>
        <v>4</v>
      </c>
      <c r="D6" s="507" t="s">
        <v>1130</v>
      </c>
      <c r="E6" s="508">
        <v>20</v>
      </c>
      <c r="F6" s="509">
        <f t="shared" si="1"/>
        <v>20</v>
      </c>
      <c r="G6" s="501" t="s">
        <v>1131</v>
      </c>
      <c r="H6" s="503">
        <v>19</v>
      </c>
      <c r="I6" s="503">
        <v>28</v>
      </c>
      <c r="J6" s="511">
        <f>(H6/I6)*100</f>
        <v>67.857142857142861</v>
      </c>
      <c r="K6" s="503">
        <v>2</v>
      </c>
      <c r="L6" s="503">
        <v>3</v>
      </c>
      <c r="M6" s="511">
        <f>(K6/L6)*100</f>
        <v>66.666666666666657</v>
      </c>
      <c r="N6" s="503">
        <v>2</v>
      </c>
      <c r="O6" s="503">
        <v>2</v>
      </c>
    </row>
    <row r="7" spans="1:15" ht="15" customHeight="1" thickBot="1" x14ac:dyDescent="0.3">
      <c r="A7" s="501" t="s">
        <v>1119</v>
      </c>
      <c r="B7" s="5">
        <v>5</v>
      </c>
      <c r="C7" s="503">
        <f t="shared" si="0"/>
        <v>5</v>
      </c>
      <c r="D7" s="507" t="s">
        <v>1119</v>
      </c>
      <c r="E7" s="508">
        <v>25</v>
      </c>
      <c r="F7" s="509">
        <f t="shared" si="1"/>
        <v>25</v>
      </c>
      <c r="G7" s="510"/>
      <c r="H7" s="498"/>
      <c r="I7" s="498"/>
      <c r="J7" s="498"/>
      <c r="K7" s="498"/>
      <c r="L7" s="498"/>
      <c r="M7" s="498"/>
      <c r="N7" s="498"/>
      <c r="O7" s="498"/>
    </row>
    <row r="8" spans="1:15" ht="15" customHeight="1" thickBot="1" x14ac:dyDescent="0.3">
      <c r="A8" s="501" t="s">
        <v>1123</v>
      </c>
      <c r="B8" s="5">
        <v>0</v>
      </c>
      <c r="C8" s="503">
        <f t="shared" si="0"/>
        <v>0</v>
      </c>
      <c r="D8" s="507" t="s">
        <v>1123</v>
      </c>
      <c r="E8" s="508">
        <v>102</v>
      </c>
      <c r="F8" s="509">
        <f t="shared" si="1"/>
        <v>102</v>
      </c>
      <c r="G8" s="498"/>
      <c r="H8" s="498"/>
      <c r="I8" s="498"/>
      <c r="J8" s="498"/>
      <c r="K8" s="498"/>
      <c r="L8" s="498"/>
      <c r="M8" s="498"/>
      <c r="N8" s="498"/>
      <c r="O8" s="498"/>
    </row>
    <row r="9" spans="1:15" ht="15" customHeight="1" thickBot="1" x14ac:dyDescent="0.3">
      <c r="A9" s="501" t="s">
        <v>1113</v>
      </c>
      <c r="B9" s="5">
        <v>5</v>
      </c>
      <c r="C9" s="503">
        <f t="shared" si="0"/>
        <v>5</v>
      </c>
      <c r="D9" s="507" t="s">
        <v>1113</v>
      </c>
      <c r="E9" s="508">
        <v>25</v>
      </c>
      <c r="F9" s="509">
        <f t="shared" si="1"/>
        <v>25</v>
      </c>
      <c r="G9" s="498"/>
      <c r="H9" s="498"/>
      <c r="I9" s="498"/>
      <c r="J9" s="498"/>
      <c r="K9" s="498"/>
      <c r="L9" s="498"/>
      <c r="M9" s="498"/>
      <c r="N9" s="498"/>
      <c r="O9" s="498"/>
    </row>
    <row r="10" spans="1:15" ht="15" customHeight="1" thickBot="1" x14ac:dyDescent="0.3">
      <c r="A10" s="501" t="s">
        <v>1129</v>
      </c>
      <c r="B10" s="5">
        <v>0</v>
      </c>
      <c r="C10" s="503">
        <f t="shared" si="0"/>
        <v>0</v>
      </c>
      <c r="D10" s="507" t="s">
        <v>1129</v>
      </c>
      <c r="E10" s="508">
        <v>2</v>
      </c>
      <c r="F10" s="509">
        <f t="shared" si="1"/>
        <v>2</v>
      </c>
      <c r="G10" s="498"/>
      <c r="H10" s="498"/>
      <c r="I10" s="498"/>
      <c r="J10" s="498"/>
      <c r="K10" s="498"/>
      <c r="L10" s="498"/>
      <c r="M10" s="498"/>
      <c r="N10" s="498"/>
      <c r="O10" s="498"/>
    </row>
    <row r="11" spans="1:15" ht="15" customHeight="1" thickBot="1" x14ac:dyDescent="0.3">
      <c r="A11" s="501" t="s">
        <v>1114</v>
      </c>
      <c r="B11" s="5">
        <v>1</v>
      </c>
      <c r="C11" s="503">
        <f t="shared" si="0"/>
        <v>1</v>
      </c>
      <c r="D11" s="507" t="s">
        <v>1114</v>
      </c>
      <c r="E11" s="508">
        <v>5</v>
      </c>
      <c r="F11" s="509">
        <f t="shared" si="1"/>
        <v>5</v>
      </c>
      <c r="G11" s="498"/>
      <c r="H11" s="498"/>
      <c r="I11" s="498"/>
      <c r="J11" s="498"/>
      <c r="K11" s="498"/>
      <c r="L11" s="498"/>
      <c r="M11" s="498"/>
      <c r="N11" s="498"/>
      <c r="O11" s="498"/>
    </row>
    <row r="12" spans="1:15" ht="15" customHeight="1" thickBot="1" x14ac:dyDescent="0.3">
      <c r="A12" s="501" t="s">
        <v>1117</v>
      </c>
      <c r="B12" s="5">
        <v>4</v>
      </c>
      <c r="C12" s="503">
        <f t="shared" si="0"/>
        <v>4</v>
      </c>
      <c r="D12" s="507" t="s">
        <v>1117</v>
      </c>
      <c r="E12" s="508">
        <v>20</v>
      </c>
      <c r="F12" s="509">
        <f t="shared" si="1"/>
        <v>20</v>
      </c>
      <c r="G12" s="498"/>
      <c r="H12" s="498"/>
      <c r="I12" s="498"/>
      <c r="J12" s="498"/>
      <c r="K12" s="498"/>
      <c r="L12" s="498"/>
      <c r="M12" s="498"/>
      <c r="N12" s="498"/>
      <c r="O12" s="498"/>
    </row>
    <row r="13" spans="1:15" ht="15" customHeight="1" thickBot="1" x14ac:dyDescent="0.3">
      <c r="A13" s="501" t="s">
        <v>1124</v>
      </c>
      <c r="B13" s="5">
        <v>3</v>
      </c>
      <c r="C13" s="503">
        <f t="shared" si="0"/>
        <v>3</v>
      </c>
      <c r="D13" s="507" t="s">
        <v>1124</v>
      </c>
      <c r="E13" s="508">
        <v>15</v>
      </c>
      <c r="F13" s="509">
        <f t="shared" si="1"/>
        <v>15</v>
      </c>
      <c r="G13" s="498"/>
      <c r="H13" s="498"/>
      <c r="I13" s="498"/>
      <c r="J13" s="498"/>
      <c r="K13" s="498"/>
      <c r="L13" s="498"/>
      <c r="M13" s="498"/>
      <c r="N13" s="498"/>
      <c r="O13" s="498"/>
    </row>
    <row r="14" spans="1:15" ht="15" customHeight="1" thickBot="1" x14ac:dyDescent="0.3">
      <c r="A14" s="501" t="s">
        <v>1109</v>
      </c>
      <c r="B14" s="5">
        <v>8</v>
      </c>
      <c r="C14" s="503">
        <f t="shared" si="0"/>
        <v>8</v>
      </c>
      <c r="D14" s="507" t="s">
        <v>1109</v>
      </c>
      <c r="E14" s="508">
        <v>40</v>
      </c>
      <c r="F14" s="509">
        <f t="shared" si="1"/>
        <v>40</v>
      </c>
      <c r="G14" s="498"/>
      <c r="H14" s="498"/>
      <c r="I14" s="498"/>
      <c r="J14" s="498"/>
      <c r="K14" s="498"/>
      <c r="L14" s="498"/>
      <c r="M14" s="498"/>
      <c r="N14" s="498"/>
      <c r="O14" s="498"/>
    </row>
    <row r="15" spans="1:15" ht="15" customHeight="1" thickBot="1" x14ac:dyDescent="0.3">
      <c r="A15" s="501" t="s">
        <v>1108</v>
      </c>
      <c r="B15" s="5">
        <v>7</v>
      </c>
      <c r="C15" s="503">
        <f t="shared" si="0"/>
        <v>7</v>
      </c>
      <c r="D15" s="507" t="s">
        <v>1108</v>
      </c>
      <c r="E15" s="508">
        <v>35</v>
      </c>
      <c r="F15" s="509">
        <f t="shared" si="1"/>
        <v>35</v>
      </c>
      <c r="G15" s="498"/>
      <c r="H15" s="498"/>
      <c r="I15" s="498"/>
      <c r="J15" s="498"/>
      <c r="K15" s="498"/>
      <c r="L15" s="498"/>
      <c r="M15" s="498"/>
      <c r="N15" s="498"/>
      <c r="O15" s="498"/>
    </row>
    <row r="16" spans="1:15" ht="15" customHeight="1" thickBot="1" x14ac:dyDescent="0.3">
      <c r="A16" s="501" t="s">
        <v>1126</v>
      </c>
      <c r="B16" s="5">
        <v>1</v>
      </c>
      <c r="C16" s="503">
        <f t="shared" si="0"/>
        <v>1</v>
      </c>
      <c r="D16" s="507" t="s">
        <v>1126</v>
      </c>
      <c r="E16" s="508">
        <v>5</v>
      </c>
      <c r="F16" s="509">
        <f t="shared" si="1"/>
        <v>5</v>
      </c>
      <c r="G16" s="498"/>
      <c r="H16" s="498"/>
      <c r="I16" s="498"/>
      <c r="J16" s="498"/>
      <c r="K16" s="498"/>
      <c r="L16" s="498"/>
      <c r="M16" s="498"/>
      <c r="N16" s="498"/>
      <c r="O16" s="498"/>
    </row>
    <row r="17" spans="1:15" ht="15" customHeight="1" thickBot="1" x14ac:dyDescent="0.3">
      <c r="A17" s="501" t="s">
        <v>61</v>
      </c>
      <c r="B17" s="5">
        <v>3</v>
      </c>
      <c r="C17" s="503">
        <f t="shared" si="0"/>
        <v>3</v>
      </c>
      <c r="D17" s="507" t="s">
        <v>61</v>
      </c>
      <c r="E17" s="508">
        <v>15</v>
      </c>
      <c r="F17" s="509">
        <f t="shared" si="1"/>
        <v>15</v>
      </c>
      <c r="G17" s="498"/>
      <c r="H17" s="498"/>
      <c r="I17" s="498"/>
      <c r="J17" s="498"/>
      <c r="K17" s="498"/>
      <c r="L17" s="498"/>
      <c r="M17" s="498"/>
      <c r="N17" s="498"/>
      <c r="O17" s="498"/>
    </row>
    <row r="18" spans="1:15" ht="15" customHeight="1" thickBot="1" x14ac:dyDescent="0.3">
      <c r="A18" s="501" t="s">
        <v>1110</v>
      </c>
      <c r="B18" s="5">
        <v>3</v>
      </c>
      <c r="C18" s="503">
        <f t="shared" si="0"/>
        <v>3</v>
      </c>
      <c r="D18" s="507" t="s">
        <v>1110</v>
      </c>
      <c r="E18" s="508">
        <v>15</v>
      </c>
      <c r="F18" s="509">
        <f t="shared" si="1"/>
        <v>15</v>
      </c>
      <c r="G18" s="498"/>
      <c r="H18" s="498"/>
      <c r="I18" s="498"/>
      <c r="J18" s="498"/>
      <c r="K18" s="498"/>
      <c r="L18" s="498"/>
      <c r="M18" s="498"/>
      <c r="N18" s="498"/>
      <c r="O18" s="498"/>
    </row>
    <row r="19" spans="1:15" ht="15" customHeight="1" thickBot="1" x14ac:dyDescent="0.3">
      <c r="A19" s="501" t="s">
        <v>6</v>
      </c>
      <c r="B19" s="5">
        <v>4</v>
      </c>
      <c r="C19" s="503">
        <f t="shared" si="0"/>
        <v>4</v>
      </c>
      <c r="D19" s="507" t="s">
        <v>6</v>
      </c>
      <c r="E19" s="508">
        <v>28</v>
      </c>
      <c r="F19" s="509">
        <f t="shared" si="1"/>
        <v>28</v>
      </c>
      <c r="G19" s="498"/>
      <c r="H19" s="498"/>
      <c r="I19" s="498"/>
      <c r="J19" s="498"/>
      <c r="K19" s="498"/>
      <c r="L19" s="498"/>
      <c r="M19" s="498"/>
      <c r="N19" s="498"/>
      <c r="O19" s="498"/>
    </row>
    <row r="20" spans="1:15" ht="15" customHeight="1" thickBot="1" x14ac:dyDescent="0.3">
      <c r="A20" s="501" t="s">
        <v>207</v>
      </c>
      <c r="B20" s="5">
        <v>2</v>
      </c>
      <c r="C20" s="503">
        <f t="shared" si="0"/>
        <v>2</v>
      </c>
      <c r="D20" s="507" t="s">
        <v>207</v>
      </c>
      <c r="E20" s="508">
        <v>10</v>
      </c>
      <c r="F20" s="509">
        <f t="shared" si="1"/>
        <v>10</v>
      </c>
      <c r="G20" s="498"/>
      <c r="H20" s="498"/>
      <c r="I20" s="498"/>
      <c r="J20" s="498"/>
      <c r="K20" s="498"/>
      <c r="L20" s="498"/>
      <c r="M20" s="498"/>
      <c r="N20" s="498"/>
      <c r="O20" s="498"/>
    </row>
    <row r="21" spans="1:15" ht="15" customHeight="1" thickBot="1" x14ac:dyDescent="0.3">
      <c r="A21" s="501" t="s">
        <v>1120</v>
      </c>
      <c r="B21" s="5">
        <v>1</v>
      </c>
      <c r="C21" s="503">
        <f t="shared" si="0"/>
        <v>1</v>
      </c>
      <c r="D21" s="507" t="s">
        <v>1120</v>
      </c>
      <c r="E21" s="508">
        <v>5</v>
      </c>
      <c r="F21" s="509">
        <f t="shared" si="1"/>
        <v>5</v>
      </c>
      <c r="G21" s="498"/>
      <c r="H21" s="498"/>
      <c r="I21" s="498"/>
      <c r="J21" s="498"/>
      <c r="K21" s="498"/>
      <c r="L21" s="498"/>
      <c r="M21" s="498"/>
      <c r="N21" s="498"/>
      <c r="O21" s="498"/>
    </row>
    <row r="22" spans="1:15" ht="15" customHeight="1" thickBot="1" x14ac:dyDescent="0.3">
      <c r="A22" s="501" t="s">
        <v>1112</v>
      </c>
      <c r="B22" s="5">
        <v>2</v>
      </c>
      <c r="C22" s="503">
        <f t="shared" si="0"/>
        <v>2</v>
      </c>
      <c r="D22" s="507" t="s">
        <v>1112</v>
      </c>
      <c r="E22" s="508">
        <v>10</v>
      </c>
      <c r="F22" s="509">
        <f t="shared" si="1"/>
        <v>10</v>
      </c>
      <c r="G22" s="498"/>
      <c r="H22" s="498"/>
      <c r="I22" s="498"/>
      <c r="J22" s="498"/>
      <c r="K22" s="498"/>
      <c r="L22" s="498"/>
      <c r="M22" s="498"/>
      <c r="N22" s="498"/>
      <c r="O22" s="498"/>
    </row>
    <row r="23" spans="1:15" ht="15" customHeight="1" thickBot="1" x14ac:dyDescent="0.3">
      <c r="A23" s="501" t="s">
        <v>1127</v>
      </c>
      <c r="B23" s="5">
        <v>1</v>
      </c>
      <c r="C23" s="503">
        <f t="shared" si="0"/>
        <v>1</v>
      </c>
      <c r="D23" s="507" t="s">
        <v>1127</v>
      </c>
      <c r="E23" s="508">
        <v>5</v>
      </c>
      <c r="F23" s="509">
        <f t="shared" si="1"/>
        <v>5</v>
      </c>
      <c r="G23" s="498"/>
      <c r="H23" s="498"/>
      <c r="I23" s="498"/>
      <c r="J23" s="498"/>
      <c r="K23" s="498"/>
      <c r="L23" s="498"/>
      <c r="M23" s="498"/>
      <c r="N23" s="498"/>
      <c r="O23" s="498"/>
    </row>
    <row r="24" spans="1:15" ht="15" customHeight="1" thickBot="1" x14ac:dyDescent="0.3">
      <c r="A24" s="501" t="s">
        <v>1107</v>
      </c>
      <c r="B24" s="5">
        <v>1</v>
      </c>
      <c r="C24" s="503">
        <f t="shared" si="0"/>
        <v>1</v>
      </c>
      <c r="D24" s="507" t="s">
        <v>1107</v>
      </c>
      <c r="E24" s="508">
        <v>5</v>
      </c>
      <c r="F24" s="509">
        <f t="shared" si="1"/>
        <v>5</v>
      </c>
      <c r="G24" s="498"/>
      <c r="H24" s="498"/>
      <c r="I24" s="498"/>
      <c r="J24" s="498"/>
      <c r="K24" s="498"/>
      <c r="L24" s="498"/>
      <c r="M24" s="498"/>
      <c r="N24" s="498"/>
      <c r="O24" s="498"/>
    </row>
    <row r="25" spans="1:15" ht="15" customHeight="1" thickBot="1" x14ac:dyDescent="0.3">
      <c r="A25" s="501" t="s">
        <v>144</v>
      </c>
      <c r="B25" s="5">
        <v>1</v>
      </c>
      <c r="C25" s="503">
        <f t="shared" si="0"/>
        <v>1</v>
      </c>
      <c r="D25" s="507" t="s">
        <v>144</v>
      </c>
      <c r="E25" s="508">
        <v>5</v>
      </c>
      <c r="F25" s="509">
        <f t="shared" si="1"/>
        <v>5</v>
      </c>
      <c r="G25" s="498"/>
      <c r="H25" s="498"/>
      <c r="I25" s="498"/>
      <c r="J25" s="498"/>
      <c r="K25" s="498"/>
      <c r="L25" s="498"/>
      <c r="M25" s="498"/>
      <c r="N25" s="498"/>
      <c r="O25" s="498"/>
    </row>
    <row r="26" spans="1:15" ht="15" customHeight="1" thickBot="1" x14ac:dyDescent="0.3">
      <c r="A26" s="501" t="s">
        <v>1125</v>
      </c>
      <c r="B26" s="5">
        <v>6</v>
      </c>
      <c r="C26" s="503">
        <f t="shared" si="0"/>
        <v>6</v>
      </c>
      <c r="D26" s="507" t="s">
        <v>1125</v>
      </c>
      <c r="E26" s="508">
        <v>30</v>
      </c>
      <c r="F26" s="509">
        <f t="shared" si="1"/>
        <v>30</v>
      </c>
      <c r="G26" s="498"/>
      <c r="H26" s="498"/>
      <c r="I26" s="498"/>
      <c r="J26" s="498"/>
      <c r="K26" s="498"/>
      <c r="L26" s="498"/>
      <c r="M26" s="498"/>
      <c r="N26" s="498"/>
      <c r="O26" s="498"/>
    </row>
    <row r="27" spans="1:15" ht="15" customHeight="1" thickBot="1" x14ac:dyDescent="0.3">
      <c r="A27" s="501" t="s">
        <v>309</v>
      </c>
      <c r="B27" s="5">
        <v>1</v>
      </c>
      <c r="C27" s="503">
        <f t="shared" si="0"/>
        <v>1</v>
      </c>
      <c r="D27" s="507" t="s">
        <v>309</v>
      </c>
      <c r="E27" s="508">
        <v>5</v>
      </c>
      <c r="F27" s="509">
        <f t="shared" si="1"/>
        <v>5</v>
      </c>
      <c r="G27" s="498"/>
      <c r="H27" s="498"/>
      <c r="I27" s="498"/>
      <c r="J27" s="498"/>
      <c r="K27" s="498"/>
      <c r="L27" s="498"/>
      <c r="M27" s="498"/>
      <c r="N27" s="498"/>
      <c r="O27" s="498"/>
    </row>
    <row r="28" spans="1:15" ht="15" customHeight="1" thickBot="1" x14ac:dyDescent="0.3">
      <c r="A28" s="501" t="s">
        <v>1118</v>
      </c>
      <c r="B28" s="5">
        <v>4</v>
      </c>
      <c r="C28" s="503">
        <f t="shared" si="0"/>
        <v>4</v>
      </c>
      <c r="D28" s="507" t="s">
        <v>1118</v>
      </c>
      <c r="E28" s="508">
        <v>20</v>
      </c>
      <c r="F28" s="509">
        <f t="shared" si="1"/>
        <v>20</v>
      </c>
    </row>
    <row r="29" spans="1:15" ht="15" customHeight="1" thickBot="1" x14ac:dyDescent="0.3">
      <c r="A29" s="501" t="s">
        <v>1132</v>
      </c>
      <c r="B29" s="5">
        <v>1</v>
      </c>
      <c r="C29" s="503">
        <f t="shared" si="0"/>
        <v>1</v>
      </c>
      <c r="D29" s="507" t="s">
        <v>1132</v>
      </c>
      <c r="E29" s="508">
        <v>5</v>
      </c>
      <c r="F29" s="509">
        <f t="shared" si="1"/>
        <v>5</v>
      </c>
    </row>
    <row r="30" spans="1:15" ht="15" customHeight="1" thickBot="1" x14ac:dyDescent="0.3">
      <c r="A30" s="501" t="s">
        <v>1131</v>
      </c>
      <c r="B30" s="5">
        <v>0</v>
      </c>
      <c r="C30" s="503">
        <f t="shared" si="0"/>
        <v>0</v>
      </c>
      <c r="D30" s="507" t="s">
        <v>1131</v>
      </c>
      <c r="E30" s="508">
        <v>39</v>
      </c>
      <c r="F30" s="509">
        <f t="shared" si="1"/>
        <v>39</v>
      </c>
    </row>
    <row r="31" spans="1:15" ht="15" customHeight="1" thickBot="1" x14ac:dyDescent="0.3">
      <c r="A31" s="501" t="s">
        <v>1121</v>
      </c>
      <c r="B31" s="5">
        <v>4</v>
      </c>
      <c r="C31" s="503">
        <f t="shared" si="0"/>
        <v>4</v>
      </c>
      <c r="D31" s="507" t="s">
        <v>1121</v>
      </c>
      <c r="E31" s="508">
        <v>20</v>
      </c>
      <c r="F31" s="509">
        <f t="shared" si="1"/>
        <v>20</v>
      </c>
    </row>
    <row r="32" spans="1:15" ht="15" customHeight="1" thickBot="1" x14ac:dyDescent="0.3">
      <c r="A32" s="501" t="s">
        <v>1122</v>
      </c>
      <c r="B32" s="5">
        <v>3</v>
      </c>
      <c r="C32" s="503">
        <f t="shared" si="0"/>
        <v>3</v>
      </c>
      <c r="D32" s="507" t="s">
        <v>1122</v>
      </c>
      <c r="E32" s="508">
        <v>15</v>
      </c>
      <c r="F32" s="509">
        <f t="shared" si="1"/>
        <v>15</v>
      </c>
    </row>
    <row r="33" spans="1:7" ht="15" customHeight="1" thickBot="1" x14ac:dyDescent="0.3">
      <c r="A33" s="501" t="s">
        <v>1111</v>
      </c>
      <c r="B33" s="5">
        <v>1</v>
      </c>
      <c r="C33" s="503">
        <f t="shared" si="0"/>
        <v>1</v>
      </c>
      <c r="D33" s="507" t="s">
        <v>1111</v>
      </c>
      <c r="E33" s="508">
        <v>5</v>
      </c>
      <c r="F33" s="509">
        <f t="shared" si="1"/>
        <v>5</v>
      </c>
    </row>
    <row r="34" spans="1:7" ht="15" customHeight="1" thickBot="1" x14ac:dyDescent="0.3">
      <c r="A34" s="501" t="s">
        <v>3</v>
      </c>
      <c r="B34" s="5">
        <f>SUM(B3:B33)</f>
        <v>82</v>
      </c>
      <c r="C34" s="503">
        <f t="shared" si="0"/>
        <v>82</v>
      </c>
      <c r="D34" s="507" t="s">
        <v>3</v>
      </c>
      <c r="E34" s="508">
        <f>SUM(E3:E33)</f>
        <v>561</v>
      </c>
      <c r="F34" s="509">
        <f t="shared" si="1"/>
        <v>561</v>
      </c>
    </row>
    <row r="35" spans="1:7" ht="15" customHeight="1" x14ac:dyDescent="0.25">
      <c r="A35" s="619" t="s">
        <v>95</v>
      </c>
      <c r="B35" s="541"/>
      <c r="C35" s="541"/>
      <c r="D35" s="541"/>
      <c r="E35" s="541"/>
      <c r="F35" s="541"/>
    </row>
    <row r="36" spans="1:7" ht="15" customHeight="1" thickBot="1" x14ac:dyDescent="0.3">
      <c r="A36" s="352" t="s">
        <v>30</v>
      </c>
      <c r="B36" s="499"/>
      <c r="C36" s="499"/>
      <c r="D36" s="499"/>
      <c r="E36" s="499"/>
      <c r="F36" s="499"/>
    </row>
    <row r="37" spans="1:7" ht="15" customHeight="1" thickBot="1" x14ac:dyDescent="0.3">
      <c r="A37" s="500" t="s">
        <v>0</v>
      </c>
      <c r="B37" s="141" t="s">
        <v>1104</v>
      </c>
      <c r="C37" s="502" t="s">
        <v>1</v>
      </c>
      <c r="D37" s="504" t="s">
        <v>2</v>
      </c>
      <c r="E37" s="505" t="s">
        <v>1104</v>
      </c>
      <c r="F37" s="506" t="s">
        <v>1</v>
      </c>
    </row>
    <row r="38" spans="1:7" ht="15" customHeight="1" thickBot="1" x14ac:dyDescent="0.3">
      <c r="A38" s="501" t="s">
        <v>1109</v>
      </c>
      <c r="B38" s="5">
        <v>8</v>
      </c>
      <c r="C38" s="503">
        <f t="shared" ref="C38:C68" si="2">SUM(B38:B38)</f>
        <v>8</v>
      </c>
      <c r="D38" s="507" t="s">
        <v>1123</v>
      </c>
      <c r="E38" s="508">
        <v>102</v>
      </c>
      <c r="F38" s="509">
        <f t="shared" ref="F38:F68" si="3">SUM(E38:E38)</f>
        <v>102</v>
      </c>
    </row>
    <row r="39" spans="1:7" ht="15" customHeight="1" thickBot="1" x14ac:dyDescent="0.3">
      <c r="A39" s="501" t="s">
        <v>1108</v>
      </c>
      <c r="B39" s="5">
        <v>7</v>
      </c>
      <c r="C39" s="503">
        <f t="shared" si="2"/>
        <v>7</v>
      </c>
      <c r="D39" s="507" t="s">
        <v>1109</v>
      </c>
      <c r="E39" s="508">
        <v>40</v>
      </c>
      <c r="F39" s="509">
        <f t="shared" si="3"/>
        <v>40</v>
      </c>
    </row>
    <row r="40" spans="1:7" ht="15" customHeight="1" thickBot="1" x14ac:dyDescent="0.3">
      <c r="A40" s="501" t="s">
        <v>1125</v>
      </c>
      <c r="B40" s="5">
        <v>6</v>
      </c>
      <c r="C40" s="503">
        <f t="shared" si="2"/>
        <v>6</v>
      </c>
      <c r="D40" s="507" t="s">
        <v>1131</v>
      </c>
      <c r="E40" s="508">
        <v>39</v>
      </c>
      <c r="F40" s="509">
        <f t="shared" si="3"/>
        <v>39</v>
      </c>
    </row>
    <row r="41" spans="1:7" ht="15" customHeight="1" thickBot="1" x14ac:dyDescent="0.3">
      <c r="A41" s="501" t="s">
        <v>1119</v>
      </c>
      <c r="B41" s="5">
        <v>5</v>
      </c>
      <c r="C41" s="503">
        <f t="shared" si="2"/>
        <v>5</v>
      </c>
      <c r="D41" s="507" t="s">
        <v>1108</v>
      </c>
      <c r="E41" s="508">
        <v>35</v>
      </c>
      <c r="F41" s="509">
        <f t="shared" si="3"/>
        <v>35</v>
      </c>
    </row>
    <row r="42" spans="1:7" ht="15" customHeight="1" thickBot="1" x14ac:dyDescent="0.3">
      <c r="A42" s="501" t="s">
        <v>1113</v>
      </c>
      <c r="B42" s="5">
        <v>5</v>
      </c>
      <c r="C42" s="503">
        <f t="shared" si="2"/>
        <v>5</v>
      </c>
      <c r="D42" s="507" t="s">
        <v>1125</v>
      </c>
      <c r="E42" s="508">
        <v>30</v>
      </c>
      <c r="F42" s="509">
        <f t="shared" si="3"/>
        <v>30</v>
      </c>
      <c r="G42" s="497"/>
    </row>
    <row r="43" spans="1:7" ht="15" customHeight="1" thickBot="1" x14ac:dyDescent="0.3">
      <c r="A43" s="501" t="s">
        <v>1130</v>
      </c>
      <c r="B43" s="5">
        <v>4</v>
      </c>
      <c r="C43" s="503">
        <f t="shared" si="2"/>
        <v>4</v>
      </c>
      <c r="D43" s="507" t="s">
        <v>6</v>
      </c>
      <c r="E43" s="508">
        <v>28</v>
      </c>
      <c r="F43" s="509">
        <f t="shared" si="3"/>
        <v>28</v>
      </c>
    </row>
    <row r="44" spans="1:7" ht="15" customHeight="1" thickBot="1" x14ac:dyDescent="0.3">
      <c r="A44" s="501" t="s">
        <v>1117</v>
      </c>
      <c r="B44" s="5">
        <v>4</v>
      </c>
      <c r="C44" s="503">
        <f t="shared" si="2"/>
        <v>4</v>
      </c>
      <c r="D44" s="507" t="s">
        <v>1119</v>
      </c>
      <c r="E44" s="508">
        <v>25</v>
      </c>
      <c r="F44" s="509">
        <f t="shared" si="3"/>
        <v>25</v>
      </c>
    </row>
    <row r="45" spans="1:7" ht="15" customHeight="1" thickBot="1" x14ac:dyDescent="0.3">
      <c r="A45" s="501" t="s">
        <v>6</v>
      </c>
      <c r="B45" s="5">
        <v>4</v>
      </c>
      <c r="C45" s="503">
        <f t="shared" si="2"/>
        <v>4</v>
      </c>
      <c r="D45" s="507" t="s">
        <v>1113</v>
      </c>
      <c r="E45" s="508">
        <v>25</v>
      </c>
      <c r="F45" s="509">
        <f t="shared" si="3"/>
        <v>25</v>
      </c>
    </row>
    <row r="46" spans="1:7" ht="15" customHeight="1" thickBot="1" x14ac:dyDescent="0.3">
      <c r="A46" s="501" t="s">
        <v>1118</v>
      </c>
      <c r="B46" s="5">
        <v>4</v>
      </c>
      <c r="C46" s="503">
        <f t="shared" si="2"/>
        <v>4</v>
      </c>
      <c r="D46" s="507" t="s">
        <v>1130</v>
      </c>
      <c r="E46" s="508">
        <v>20</v>
      </c>
      <c r="F46" s="509">
        <f t="shared" si="3"/>
        <v>20</v>
      </c>
    </row>
    <row r="47" spans="1:7" ht="15" customHeight="1" thickBot="1" x14ac:dyDescent="0.3">
      <c r="A47" s="501" t="s">
        <v>1121</v>
      </c>
      <c r="B47" s="5">
        <v>4</v>
      </c>
      <c r="C47" s="503">
        <f t="shared" si="2"/>
        <v>4</v>
      </c>
      <c r="D47" s="507" t="s">
        <v>1117</v>
      </c>
      <c r="E47" s="508">
        <v>20</v>
      </c>
      <c r="F47" s="509">
        <f t="shared" si="3"/>
        <v>20</v>
      </c>
    </row>
    <row r="48" spans="1:7" ht="15.75" thickBot="1" x14ac:dyDescent="0.3">
      <c r="A48" s="501" t="s">
        <v>1116</v>
      </c>
      <c r="B48" s="5">
        <v>3</v>
      </c>
      <c r="C48" s="503">
        <f t="shared" si="2"/>
        <v>3</v>
      </c>
      <c r="D48" s="507" t="s">
        <v>1118</v>
      </c>
      <c r="E48" s="508">
        <v>20</v>
      </c>
      <c r="F48" s="509">
        <f t="shared" si="3"/>
        <v>20</v>
      </c>
    </row>
    <row r="49" spans="1:6" ht="15.75" thickBot="1" x14ac:dyDescent="0.3">
      <c r="A49" s="501" t="s">
        <v>1124</v>
      </c>
      <c r="B49" s="5">
        <v>3</v>
      </c>
      <c r="C49" s="503">
        <f t="shared" si="2"/>
        <v>3</v>
      </c>
      <c r="D49" s="507" t="s">
        <v>1121</v>
      </c>
      <c r="E49" s="508">
        <v>20</v>
      </c>
      <c r="F49" s="509">
        <f t="shared" si="3"/>
        <v>20</v>
      </c>
    </row>
    <row r="50" spans="1:6" ht="15.75" thickBot="1" x14ac:dyDescent="0.3">
      <c r="A50" s="501" t="s">
        <v>61</v>
      </c>
      <c r="B50" s="5">
        <v>3</v>
      </c>
      <c r="C50" s="503">
        <f t="shared" si="2"/>
        <v>3</v>
      </c>
      <c r="D50" s="507" t="s">
        <v>1116</v>
      </c>
      <c r="E50" s="508">
        <v>15</v>
      </c>
      <c r="F50" s="509">
        <f t="shared" si="3"/>
        <v>15</v>
      </c>
    </row>
    <row r="51" spans="1:6" ht="15.75" thickBot="1" x14ac:dyDescent="0.3">
      <c r="A51" s="501" t="s">
        <v>1110</v>
      </c>
      <c r="B51" s="5">
        <v>3</v>
      </c>
      <c r="C51" s="503">
        <f t="shared" si="2"/>
        <v>3</v>
      </c>
      <c r="D51" s="507" t="s">
        <v>1124</v>
      </c>
      <c r="E51" s="508">
        <v>15</v>
      </c>
      <c r="F51" s="509">
        <f t="shared" si="3"/>
        <v>15</v>
      </c>
    </row>
    <row r="52" spans="1:6" ht="15.75" thickBot="1" x14ac:dyDescent="0.3">
      <c r="A52" s="501" t="s">
        <v>1122</v>
      </c>
      <c r="B52" s="5">
        <v>3</v>
      </c>
      <c r="C52" s="503">
        <f t="shared" si="2"/>
        <v>3</v>
      </c>
      <c r="D52" s="507" t="s">
        <v>61</v>
      </c>
      <c r="E52" s="508">
        <v>15</v>
      </c>
      <c r="F52" s="509">
        <f t="shared" si="3"/>
        <v>15</v>
      </c>
    </row>
    <row r="53" spans="1:6" ht="15.75" thickBot="1" x14ac:dyDescent="0.3">
      <c r="A53" s="501" t="s">
        <v>1128</v>
      </c>
      <c r="B53" s="5">
        <v>2</v>
      </c>
      <c r="C53" s="503">
        <f t="shared" si="2"/>
        <v>2</v>
      </c>
      <c r="D53" s="507" t="s">
        <v>1110</v>
      </c>
      <c r="E53" s="508">
        <v>15</v>
      </c>
      <c r="F53" s="509">
        <f t="shared" si="3"/>
        <v>15</v>
      </c>
    </row>
    <row r="54" spans="1:6" ht="15.75" thickBot="1" x14ac:dyDescent="0.3">
      <c r="A54" s="501" t="s">
        <v>207</v>
      </c>
      <c r="B54" s="5">
        <v>2</v>
      </c>
      <c r="C54" s="503">
        <f t="shared" si="2"/>
        <v>2</v>
      </c>
      <c r="D54" s="507" t="s">
        <v>1122</v>
      </c>
      <c r="E54" s="508">
        <v>15</v>
      </c>
      <c r="F54" s="509">
        <f t="shared" si="3"/>
        <v>15</v>
      </c>
    </row>
    <row r="55" spans="1:6" ht="15.75" thickBot="1" x14ac:dyDescent="0.3">
      <c r="A55" s="501" t="s">
        <v>1112</v>
      </c>
      <c r="B55" s="5">
        <v>2</v>
      </c>
      <c r="C55" s="503">
        <f t="shared" si="2"/>
        <v>2</v>
      </c>
      <c r="D55" s="507" t="s">
        <v>1128</v>
      </c>
      <c r="E55" s="508">
        <v>10</v>
      </c>
      <c r="F55" s="509">
        <f t="shared" si="3"/>
        <v>10</v>
      </c>
    </row>
    <row r="56" spans="1:6" ht="15.75" thickBot="1" x14ac:dyDescent="0.3">
      <c r="A56" s="501" t="s">
        <v>1115</v>
      </c>
      <c r="B56" s="5">
        <v>1</v>
      </c>
      <c r="C56" s="503">
        <f t="shared" si="2"/>
        <v>1</v>
      </c>
      <c r="D56" s="507" t="s">
        <v>207</v>
      </c>
      <c r="E56" s="508">
        <v>10</v>
      </c>
      <c r="F56" s="509">
        <f t="shared" si="3"/>
        <v>10</v>
      </c>
    </row>
    <row r="57" spans="1:6" ht="15.75" thickBot="1" x14ac:dyDescent="0.3">
      <c r="A57" s="501" t="s">
        <v>1114</v>
      </c>
      <c r="B57" s="5">
        <v>1</v>
      </c>
      <c r="C57" s="503">
        <f t="shared" si="2"/>
        <v>1</v>
      </c>
      <c r="D57" s="507" t="s">
        <v>1112</v>
      </c>
      <c r="E57" s="508">
        <v>10</v>
      </c>
      <c r="F57" s="509">
        <f t="shared" si="3"/>
        <v>10</v>
      </c>
    </row>
    <row r="58" spans="1:6" ht="15.75" thickBot="1" x14ac:dyDescent="0.3">
      <c r="A58" s="501" t="s">
        <v>1126</v>
      </c>
      <c r="B58" s="5">
        <v>1</v>
      </c>
      <c r="C58" s="503">
        <f t="shared" si="2"/>
        <v>1</v>
      </c>
      <c r="D58" s="507" t="s">
        <v>1115</v>
      </c>
      <c r="E58" s="508">
        <v>5</v>
      </c>
      <c r="F58" s="509">
        <f t="shared" si="3"/>
        <v>5</v>
      </c>
    </row>
    <row r="59" spans="1:6" ht="15.75" thickBot="1" x14ac:dyDescent="0.3">
      <c r="A59" s="501" t="s">
        <v>1120</v>
      </c>
      <c r="B59" s="5">
        <v>1</v>
      </c>
      <c r="C59" s="503">
        <f t="shared" si="2"/>
        <v>1</v>
      </c>
      <c r="D59" s="507" t="s">
        <v>1114</v>
      </c>
      <c r="E59" s="508">
        <v>5</v>
      </c>
      <c r="F59" s="509">
        <f t="shared" si="3"/>
        <v>5</v>
      </c>
    </row>
    <row r="60" spans="1:6" ht="15.75" thickBot="1" x14ac:dyDescent="0.3">
      <c r="A60" s="501" t="s">
        <v>1127</v>
      </c>
      <c r="B60" s="5">
        <v>1</v>
      </c>
      <c r="C60" s="503">
        <f t="shared" si="2"/>
        <v>1</v>
      </c>
      <c r="D60" s="507" t="s">
        <v>1126</v>
      </c>
      <c r="E60" s="508">
        <v>5</v>
      </c>
      <c r="F60" s="509">
        <f t="shared" si="3"/>
        <v>5</v>
      </c>
    </row>
    <row r="61" spans="1:6" ht="15.75" thickBot="1" x14ac:dyDescent="0.3">
      <c r="A61" s="501" t="s">
        <v>1107</v>
      </c>
      <c r="B61" s="5">
        <v>1</v>
      </c>
      <c r="C61" s="503">
        <f t="shared" si="2"/>
        <v>1</v>
      </c>
      <c r="D61" s="507" t="s">
        <v>1120</v>
      </c>
      <c r="E61" s="508">
        <v>5</v>
      </c>
      <c r="F61" s="509">
        <f t="shared" si="3"/>
        <v>5</v>
      </c>
    </row>
    <row r="62" spans="1:6" ht="15.75" thickBot="1" x14ac:dyDescent="0.3">
      <c r="A62" s="501" t="s">
        <v>144</v>
      </c>
      <c r="B62" s="5">
        <v>1</v>
      </c>
      <c r="C62" s="503">
        <f t="shared" si="2"/>
        <v>1</v>
      </c>
      <c r="D62" s="507" t="s">
        <v>1127</v>
      </c>
      <c r="E62" s="508">
        <v>5</v>
      </c>
      <c r="F62" s="509">
        <f t="shared" si="3"/>
        <v>5</v>
      </c>
    </row>
    <row r="63" spans="1:6" ht="15.75" thickBot="1" x14ac:dyDescent="0.3">
      <c r="A63" s="501" t="s">
        <v>309</v>
      </c>
      <c r="B63" s="5">
        <v>1</v>
      </c>
      <c r="C63" s="503">
        <f t="shared" si="2"/>
        <v>1</v>
      </c>
      <c r="D63" s="507" t="s">
        <v>1107</v>
      </c>
      <c r="E63" s="508">
        <v>5</v>
      </c>
      <c r="F63" s="509">
        <f t="shared" si="3"/>
        <v>5</v>
      </c>
    </row>
    <row r="64" spans="1:6" ht="15.75" thickBot="1" x14ac:dyDescent="0.3">
      <c r="A64" s="501" t="s">
        <v>1132</v>
      </c>
      <c r="B64" s="5">
        <v>1</v>
      </c>
      <c r="C64" s="503">
        <f t="shared" si="2"/>
        <v>1</v>
      </c>
      <c r="D64" s="507" t="s">
        <v>144</v>
      </c>
      <c r="E64" s="508">
        <v>5</v>
      </c>
      <c r="F64" s="509">
        <f t="shared" si="3"/>
        <v>5</v>
      </c>
    </row>
    <row r="65" spans="1:6" ht="15.75" thickBot="1" x14ac:dyDescent="0.3">
      <c r="A65" s="501" t="s">
        <v>1111</v>
      </c>
      <c r="B65" s="5">
        <v>1</v>
      </c>
      <c r="C65" s="503">
        <f t="shared" si="2"/>
        <v>1</v>
      </c>
      <c r="D65" s="507" t="s">
        <v>309</v>
      </c>
      <c r="E65" s="508">
        <v>5</v>
      </c>
      <c r="F65" s="509">
        <f t="shared" si="3"/>
        <v>5</v>
      </c>
    </row>
    <row r="66" spans="1:6" ht="15.75" thickBot="1" x14ac:dyDescent="0.3">
      <c r="A66" s="501" t="s">
        <v>1123</v>
      </c>
      <c r="B66" s="5">
        <v>0</v>
      </c>
      <c r="C66" s="503">
        <f t="shared" si="2"/>
        <v>0</v>
      </c>
      <c r="D66" s="507" t="s">
        <v>1132</v>
      </c>
      <c r="E66" s="508">
        <v>5</v>
      </c>
      <c r="F66" s="509">
        <f t="shared" si="3"/>
        <v>5</v>
      </c>
    </row>
    <row r="67" spans="1:6" ht="15.75" thickBot="1" x14ac:dyDescent="0.3">
      <c r="A67" s="501" t="s">
        <v>1129</v>
      </c>
      <c r="B67" s="5">
        <v>0</v>
      </c>
      <c r="C67" s="503">
        <f t="shared" si="2"/>
        <v>0</v>
      </c>
      <c r="D67" s="507" t="s">
        <v>1111</v>
      </c>
      <c r="E67" s="508">
        <v>5</v>
      </c>
      <c r="F67" s="509">
        <f t="shared" si="3"/>
        <v>5</v>
      </c>
    </row>
    <row r="68" spans="1:6" ht="15.75" thickBot="1" x14ac:dyDescent="0.3">
      <c r="A68" s="501" t="s">
        <v>1131</v>
      </c>
      <c r="B68" s="5">
        <v>0</v>
      </c>
      <c r="C68" s="503">
        <f t="shared" si="2"/>
        <v>0</v>
      </c>
      <c r="D68" s="507" t="s">
        <v>1129</v>
      </c>
      <c r="E68" s="508">
        <v>2</v>
      </c>
      <c r="F68" s="509">
        <f t="shared" si="3"/>
        <v>2</v>
      </c>
    </row>
    <row r="69" spans="1:6" ht="15.75" thickBot="1" x14ac:dyDescent="0.3">
      <c r="A69" s="501" t="s">
        <v>3</v>
      </c>
      <c r="B69" s="5">
        <f>SUM(B38:B68)</f>
        <v>82</v>
      </c>
      <c r="C69" s="503">
        <f t="shared" ref="C69" si="4">SUM(B69:B69)</f>
        <v>82</v>
      </c>
      <c r="D69" s="507" t="s">
        <v>3</v>
      </c>
      <c r="E69" s="508">
        <f>SUM(E38:E68)</f>
        <v>561</v>
      </c>
      <c r="F69" s="509">
        <f t="shared" ref="F69" si="5">SUM(E69:E69)</f>
        <v>561</v>
      </c>
    </row>
    <row r="70" spans="1:6" x14ac:dyDescent="0.25">
      <c r="A70" s="619" t="s">
        <v>95</v>
      </c>
      <c r="B70" s="541"/>
      <c r="C70" s="541"/>
      <c r="D70" s="541"/>
      <c r="E70" s="541"/>
      <c r="F70" s="541"/>
    </row>
  </sheetData>
  <sortState xmlns:xlrd2="http://schemas.microsoft.com/office/spreadsheetml/2017/richdata2" ref="D38:F68">
    <sortCondition descending="1" ref="F38:F68"/>
  </sortState>
  <mergeCells count="7">
    <mergeCell ref="N1:O2"/>
    <mergeCell ref="A70:F70"/>
    <mergeCell ref="A35:F35"/>
    <mergeCell ref="A1:F1"/>
    <mergeCell ref="G1:G2"/>
    <mergeCell ref="H1:J2"/>
    <mergeCell ref="K1:M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644"/>
  <sheetViews>
    <sheetView workbookViewId="0">
      <selection activeCell="O24" sqref="O24"/>
    </sheetView>
  </sheetViews>
  <sheetFormatPr defaultColWidth="8.85546875" defaultRowHeight="15" x14ac:dyDescent="0.25"/>
  <cols>
    <col min="1" max="1" width="20" bestFit="1" customWidth="1"/>
    <col min="2" max="2" width="5.28515625" bestFit="1" customWidth="1"/>
    <col min="3" max="3" width="7.7109375" customWidth="1"/>
    <col min="4" max="4" width="20" bestFit="1" customWidth="1"/>
    <col min="5" max="5" width="5.5703125" bestFit="1" customWidth="1"/>
    <col min="6" max="6" width="8.5703125" bestFit="1" customWidth="1"/>
    <col min="7" max="7" width="17.7109375" customWidth="1"/>
    <col min="8" max="8" width="5.42578125" bestFit="1" customWidth="1"/>
    <col min="9" max="9" width="5.7109375" customWidth="1"/>
    <col min="10" max="11" width="5.28515625" customWidth="1"/>
    <col min="12" max="12" width="16.7109375" customWidth="1"/>
    <col min="13" max="13" width="5.42578125" bestFit="1" customWidth="1"/>
    <col min="14" max="14" width="3.7109375" customWidth="1"/>
    <col min="15" max="15" width="14.42578125" customWidth="1"/>
    <col min="16" max="16" width="5.42578125" bestFit="1" customWidth="1"/>
    <col min="17" max="17" width="4.85546875" customWidth="1"/>
  </cols>
  <sheetData>
    <row r="1" spans="1:23" ht="15" customHeight="1" thickBot="1" x14ac:dyDescent="0.3">
      <c r="A1" s="32" t="s">
        <v>66</v>
      </c>
      <c r="B1" s="156"/>
      <c r="C1" s="11"/>
      <c r="D1" s="27" t="s">
        <v>18</v>
      </c>
      <c r="E1" s="27"/>
      <c r="F1" s="24"/>
      <c r="G1" s="115" t="s">
        <v>96</v>
      </c>
      <c r="H1" s="157"/>
      <c r="I1" s="28" t="s">
        <v>129</v>
      </c>
      <c r="J1" s="28" t="s">
        <v>27</v>
      </c>
      <c r="K1" s="29" t="s">
        <v>28</v>
      </c>
      <c r="L1" s="626" t="s">
        <v>564</v>
      </c>
      <c r="M1" s="626"/>
      <c r="N1" s="627"/>
      <c r="O1" s="625" t="s">
        <v>569</v>
      </c>
      <c r="P1" s="626"/>
      <c r="Q1" s="627"/>
    </row>
    <row r="2" spans="1:23" ht="15" customHeight="1" thickBot="1" x14ac:dyDescent="0.3">
      <c r="A2" s="74" t="s">
        <v>248</v>
      </c>
      <c r="B2" s="74" t="s">
        <v>251</v>
      </c>
      <c r="C2" s="9">
        <f>Simmonds_Sexetries</f>
        <v>21</v>
      </c>
      <c r="D2" s="2" t="s">
        <v>512</v>
      </c>
      <c r="E2" s="2" t="s">
        <v>250</v>
      </c>
      <c r="F2" s="19">
        <f>Smithharpts</f>
        <v>286</v>
      </c>
      <c r="G2" s="30" t="s">
        <v>613</v>
      </c>
      <c r="H2" s="30" t="s">
        <v>220</v>
      </c>
      <c r="I2" s="413">
        <f>Bartonglogls</f>
        <v>16</v>
      </c>
      <c r="J2" s="415">
        <f>Bartongloatt</f>
        <v>17</v>
      </c>
      <c r="K2" s="31">
        <f t="shared" ref="K2:K45" si="0">SUM(I2/J2)*100</f>
        <v>94.117647058823522</v>
      </c>
      <c r="L2" s="74" t="s">
        <v>248</v>
      </c>
      <c r="M2" s="74" t="s">
        <v>251</v>
      </c>
      <c r="N2" s="9">
        <f>Simmonds_Sexetries</f>
        <v>21</v>
      </c>
      <c r="O2" s="2" t="s">
        <v>512</v>
      </c>
      <c r="P2" s="2" t="s">
        <v>250</v>
      </c>
      <c r="Q2" s="19">
        <v>230</v>
      </c>
    </row>
    <row r="3" spans="1:23" ht="15" customHeight="1" thickBot="1" x14ac:dyDescent="0.3">
      <c r="A3" s="74" t="s">
        <v>351</v>
      </c>
      <c r="B3" s="74" t="s">
        <v>250</v>
      </c>
      <c r="C3" s="6">
        <f>caretries</f>
        <v>12</v>
      </c>
      <c r="D3" s="2" t="s">
        <v>419</v>
      </c>
      <c r="E3" s="2" t="s">
        <v>222</v>
      </c>
      <c r="F3" s="19">
        <f>MacKenziephilpts</f>
        <v>188</v>
      </c>
      <c r="G3" s="30" t="s">
        <v>470</v>
      </c>
      <c r="H3" s="30" t="s">
        <v>252</v>
      </c>
      <c r="I3" s="413">
        <f>SopoagaGLSWAS</f>
        <v>18</v>
      </c>
      <c r="J3" s="415">
        <f>SOPOAGAWASATT</f>
        <v>20</v>
      </c>
      <c r="K3" s="31">
        <f t="shared" si="0"/>
        <v>90</v>
      </c>
      <c r="L3" s="74" t="s">
        <v>351</v>
      </c>
      <c r="M3" s="74" t="s">
        <v>250</v>
      </c>
      <c r="N3" s="6">
        <f>caretries</f>
        <v>12</v>
      </c>
      <c r="O3" s="2" t="s">
        <v>419</v>
      </c>
      <c r="P3" s="2" t="s">
        <v>222</v>
      </c>
      <c r="Q3" s="19">
        <v>178</v>
      </c>
      <c r="S3" s="252"/>
      <c r="T3" s="4"/>
      <c r="U3" s="4"/>
      <c r="V3" s="4"/>
      <c r="W3" s="4"/>
    </row>
    <row r="4" spans="1:23" ht="15" customHeight="1" thickBot="1" x14ac:dyDescent="0.3">
      <c r="A4" s="74" t="s">
        <v>366</v>
      </c>
      <c r="B4" s="74" t="s">
        <v>250</v>
      </c>
      <c r="C4" s="9">
        <f>Dombrandthartries</f>
        <v>11</v>
      </c>
      <c r="D4" s="2" t="s">
        <v>247</v>
      </c>
      <c r="E4" s="2" t="s">
        <v>251</v>
      </c>
      <c r="F4" s="19">
        <f>Simmondsexepts</f>
        <v>184</v>
      </c>
      <c r="G4" s="30" t="s">
        <v>443</v>
      </c>
      <c r="H4" s="30" t="s">
        <v>223</v>
      </c>
      <c r="I4" s="30">
        <f>Priestlandbthgoals</f>
        <v>55</v>
      </c>
      <c r="J4" s="58">
        <f>priestlandbthatt</f>
        <v>62</v>
      </c>
      <c r="K4" s="31">
        <f t="shared" si="0"/>
        <v>88.709677419354833</v>
      </c>
      <c r="L4" s="74" t="s">
        <v>339</v>
      </c>
      <c r="M4" s="74" t="s">
        <v>252</v>
      </c>
      <c r="N4" s="9">
        <f>Bassettwastries</f>
        <v>9</v>
      </c>
      <c r="O4" s="2" t="s">
        <v>599</v>
      </c>
      <c r="P4" s="2" t="s">
        <v>577</v>
      </c>
      <c r="Q4" s="20">
        <v>172</v>
      </c>
      <c r="S4" s="4"/>
      <c r="T4" s="252"/>
      <c r="U4" s="252"/>
      <c r="V4" s="252"/>
      <c r="W4" s="252"/>
    </row>
    <row r="5" spans="1:23" ht="15" customHeight="1" thickBot="1" x14ac:dyDescent="0.3">
      <c r="A5" s="74" t="s">
        <v>339</v>
      </c>
      <c r="B5" s="74" t="s">
        <v>252</v>
      </c>
      <c r="C5" s="9">
        <f>Bassettwastries</f>
        <v>9</v>
      </c>
      <c r="D5" s="2" t="s">
        <v>599</v>
      </c>
      <c r="E5" s="2" t="s">
        <v>577</v>
      </c>
      <c r="F5" s="20">
        <f>Jacksonlirpts</f>
        <v>177</v>
      </c>
      <c r="G5" s="30" t="s">
        <v>179</v>
      </c>
      <c r="H5" s="30" t="s">
        <v>253</v>
      </c>
      <c r="I5" s="413">
        <f>burnsleigoals</f>
        <v>27</v>
      </c>
      <c r="J5" s="415">
        <f>burnsleiatt</f>
        <v>32</v>
      </c>
      <c r="K5" s="31">
        <f t="shared" si="0"/>
        <v>84.375</v>
      </c>
      <c r="L5" s="74" t="s">
        <v>366</v>
      </c>
      <c r="M5" s="74" t="s">
        <v>250</v>
      </c>
      <c r="N5" s="9">
        <f>Dombrandthartries</f>
        <v>11</v>
      </c>
      <c r="O5" s="2" t="s">
        <v>247</v>
      </c>
      <c r="P5" s="2" t="s">
        <v>251</v>
      </c>
      <c r="Q5" s="19">
        <v>141</v>
      </c>
      <c r="S5" s="4"/>
      <c r="T5" s="252"/>
      <c r="U5" s="252"/>
      <c r="V5" s="252"/>
      <c r="W5" s="252"/>
    </row>
    <row r="6" spans="1:23" ht="15" customHeight="1" thickBot="1" x14ac:dyDescent="0.3">
      <c r="A6" s="74" t="s">
        <v>420</v>
      </c>
      <c r="B6" s="74" t="s">
        <v>260</v>
      </c>
      <c r="C6" s="9">
        <f>McLeanlirtries</f>
        <v>9</v>
      </c>
      <c r="D6" s="2" t="s">
        <v>443</v>
      </c>
      <c r="E6" s="2" t="s">
        <v>223</v>
      </c>
      <c r="F6" s="18">
        <f>Priestlandbthpts</f>
        <v>150</v>
      </c>
      <c r="G6" s="30" t="s">
        <v>732</v>
      </c>
      <c r="H6" s="30" t="s">
        <v>253</v>
      </c>
      <c r="I6" s="413">
        <f>Bellleigoals</f>
        <v>16</v>
      </c>
      <c r="J6" s="415">
        <f>bellleiatt</f>
        <v>19</v>
      </c>
      <c r="K6" s="31">
        <f t="shared" si="0"/>
        <v>84.210526315789465</v>
      </c>
      <c r="L6" s="74" t="s">
        <v>318</v>
      </c>
      <c r="M6" s="74" t="s">
        <v>222</v>
      </c>
      <c r="N6" s="9">
        <f>McGuigansaltries</f>
        <v>9</v>
      </c>
      <c r="O6" s="2" t="s">
        <v>443</v>
      </c>
      <c r="P6" s="2" t="s">
        <v>223</v>
      </c>
      <c r="Q6" s="18">
        <v>140</v>
      </c>
      <c r="S6" s="4"/>
      <c r="T6" s="252"/>
      <c r="U6" s="252"/>
      <c r="V6" s="252"/>
      <c r="W6" s="252"/>
    </row>
    <row r="7" spans="1:23" ht="15" customHeight="1" thickBot="1" x14ac:dyDescent="0.3">
      <c r="A7" s="74" t="s">
        <v>423</v>
      </c>
      <c r="B7" s="74" t="s">
        <v>250</v>
      </c>
      <c r="C7" s="6">
        <f>Marchanthartries</f>
        <v>9</v>
      </c>
      <c r="D7" s="2" t="s">
        <v>248</v>
      </c>
      <c r="E7" s="2" t="s">
        <v>251</v>
      </c>
      <c r="F7" s="19">
        <f>Simmonds_Sexepts</f>
        <v>105</v>
      </c>
      <c r="G7" s="35" t="s">
        <v>512</v>
      </c>
      <c r="H7" s="30" t="s">
        <v>250</v>
      </c>
      <c r="I7" s="58">
        <f>boticagoals</f>
        <v>104</v>
      </c>
      <c r="J7" s="398">
        <f>boticaatt</f>
        <v>127</v>
      </c>
      <c r="K7" s="31">
        <f t="shared" si="0"/>
        <v>81.889763779527556</v>
      </c>
      <c r="L7" s="74" t="s">
        <v>725</v>
      </c>
      <c r="M7" s="74" t="s">
        <v>577</v>
      </c>
      <c r="N7" s="9">
        <f>Nagusanewtries</f>
        <v>8</v>
      </c>
      <c r="O7" s="2" t="s">
        <v>479</v>
      </c>
      <c r="P7" s="2" t="s">
        <v>220</v>
      </c>
      <c r="Q7" s="19">
        <v>94</v>
      </c>
      <c r="S7" s="4"/>
      <c r="T7" s="252"/>
      <c r="U7" s="252"/>
      <c r="V7" s="252"/>
      <c r="W7" s="252"/>
    </row>
    <row r="8" spans="1:23" ht="15" customHeight="1" thickBot="1" x14ac:dyDescent="0.3">
      <c r="A8" s="74" t="s">
        <v>318</v>
      </c>
      <c r="B8" s="74" t="s">
        <v>222</v>
      </c>
      <c r="C8" s="9">
        <f>McGuigansaltries</f>
        <v>9</v>
      </c>
      <c r="D8" s="2" t="s">
        <v>479</v>
      </c>
      <c r="E8" s="2" t="s">
        <v>220</v>
      </c>
      <c r="F8" s="19">
        <f>Twelvetreesglopts</f>
        <v>104</v>
      </c>
      <c r="G8" s="30" t="s">
        <v>384</v>
      </c>
      <c r="H8" s="30" t="s">
        <v>252</v>
      </c>
      <c r="I8" s="30">
        <f>goodeandygoals</f>
        <v>27</v>
      </c>
      <c r="J8" s="398">
        <f>goodeandyatt</f>
        <v>33</v>
      </c>
      <c r="K8" s="31">
        <f t="shared" si="0"/>
        <v>81.818181818181827</v>
      </c>
      <c r="L8" s="74" t="s">
        <v>512</v>
      </c>
      <c r="M8" s="74" t="s">
        <v>250</v>
      </c>
      <c r="N8" s="9">
        <f>Smithhartries</f>
        <v>8</v>
      </c>
      <c r="O8" s="2" t="s">
        <v>744</v>
      </c>
      <c r="P8" s="2" t="s">
        <v>253</v>
      </c>
      <c r="Q8" s="19">
        <f>Henryleicpts</f>
        <v>98</v>
      </c>
      <c r="S8" s="4"/>
      <c r="T8" s="252"/>
      <c r="U8" s="252"/>
      <c r="V8" s="252"/>
      <c r="W8" s="252"/>
    </row>
    <row r="9" spans="1:23" ht="15" customHeight="1" thickBot="1" x14ac:dyDescent="0.3">
      <c r="A9" s="12" t="s">
        <v>1060</v>
      </c>
      <c r="B9" s="12" t="s">
        <v>250</v>
      </c>
      <c r="C9" s="6">
        <f>Greenhartries</f>
        <v>8</v>
      </c>
      <c r="D9" s="2" t="s">
        <v>744</v>
      </c>
      <c r="E9" s="2" t="s">
        <v>253</v>
      </c>
      <c r="F9" s="19">
        <f>Henryleicpts</f>
        <v>98</v>
      </c>
      <c r="G9" s="30" t="s">
        <v>419</v>
      </c>
      <c r="H9" s="30" t="s">
        <v>222</v>
      </c>
      <c r="I9" s="30">
        <f>ciprianigoals</f>
        <v>71</v>
      </c>
      <c r="J9" s="398">
        <f>ciprianiatt</f>
        <v>87</v>
      </c>
      <c r="K9" s="31">
        <f t="shared" si="0"/>
        <v>81.609195402298852</v>
      </c>
      <c r="L9" s="10" t="s">
        <v>302</v>
      </c>
      <c r="M9" s="10" t="s">
        <v>252</v>
      </c>
      <c r="N9" s="9">
        <f>Willis_Twastries</f>
        <v>8</v>
      </c>
      <c r="O9" s="2" t="s">
        <v>480</v>
      </c>
      <c r="P9" s="2" t="s">
        <v>252</v>
      </c>
      <c r="Q9" s="19">
        <v>93</v>
      </c>
      <c r="S9" s="4"/>
      <c r="T9" s="252"/>
      <c r="U9" s="252"/>
      <c r="V9" s="252"/>
      <c r="W9" s="252"/>
    </row>
    <row r="10" spans="1:23" ht="15" customHeight="1" thickBot="1" x14ac:dyDescent="0.3">
      <c r="A10" s="74" t="s">
        <v>439</v>
      </c>
      <c r="B10" s="74" t="s">
        <v>251</v>
      </c>
      <c r="C10" s="9">
        <f>Parlingexetries</f>
        <v>8</v>
      </c>
      <c r="D10" s="2" t="s">
        <v>480</v>
      </c>
      <c r="E10" s="2" t="s">
        <v>252</v>
      </c>
      <c r="F10" s="19">
        <f>Umagawaspts</f>
        <v>98</v>
      </c>
      <c r="G10" s="30" t="s">
        <v>480</v>
      </c>
      <c r="H10" s="30" t="s">
        <v>252</v>
      </c>
      <c r="I10" s="30">
        <f>umagawasgoals</f>
        <v>39</v>
      </c>
      <c r="J10" s="58">
        <f>umagawasatt</f>
        <v>49</v>
      </c>
      <c r="K10" s="31">
        <f t="shared" si="0"/>
        <v>79.591836734693871</v>
      </c>
      <c r="L10" s="74" t="s">
        <v>423</v>
      </c>
      <c r="M10" s="74" t="s">
        <v>250</v>
      </c>
      <c r="N10" s="6">
        <f>Marchanthartries</f>
        <v>9</v>
      </c>
      <c r="O10" s="628" t="s">
        <v>513</v>
      </c>
      <c r="P10" s="541"/>
      <c r="Q10" s="541"/>
      <c r="S10" s="4"/>
      <c r="T10" s="252"/>
      <c r="U10" s="252"/>
      <c r="V10" s="252"/>
      <c r="W10" s="252"/>
    </row>
    <row r="11" spans="1:23" ht="15" customHeight="1" thickBot="1" x14ac:dyDescent="0.3">
      <c r="A11" s="74" t="s">
        <v>725</v>
      </c>
      <c r="B11" s="74" t="s">
        <v>577</v>
      </c>
      <c r="C11" s="9">
        <f>Nagusanewtries</f>
        <v>8</v>
      </c>
      <c r="D11" s="2" t="s">
        <v>459</v>
      </c>
      <c r="E11" s="2" t="s">
        <v>260</v>
      </c>
      <c r="F11" s="19">
        <f>Paulolirpts</f>
        <v>91</v>
      </c>
      <c r="G11" s="30" t="s">
        <v>461</v>
      </c>
      <c r="H11" s="30" t="s">
        <v>221</v>
      </c>
      <c r="I11" s="413">
        <f>shilllcockworgoals</f>
        <v>19</v>
      </c>
      <c r="J11" s="415">
        <f>shilllcockworatt</f>
        <v>24</v>
      </c>
      <c r="K11" s="31">
        <f t="shared" si="0"/>
        <v>79.166666666666657</v>
      </c>
      <c r="L11" s="74" t="s">
        <v>912</v>
      </c>
      <c r="M11" s="74" t="s">
        <v>892</v>
      </c>
      <c r="N11" s="6">
        <f>Griffithssartries</f>
        <v>7</v>
      </c>
      <c r="O11" t="s">
        <v>51</v>
      </c>
      <c r="S11" s="4"/>
      <c r="T11" s="252"/>
      <c r="U11" s="252"/>
      <c r="V11" s="252"/>
      <c r="W11" s="252"/>
    </row>
    <row r="12" spans="1:23" ht="15" customHeight="1" thickBot="1" x14ac:dyDescent="0.3">
      <c r="A12" s="74" t="s">
        <v>512</v>
      </c>
      <c r="B12" s="74" t="s">
        <v>250</v>
      </c>
      <c r="C12" s="9">
        <f>Smithhartries</f>
        <v>8</v>
      </c>
      <c r="D12" s="2" t="s">
        <v>385</v>
      </c>
      <c r="E12" s="2" t="s">
        <v>224</v>
      </c>
      <c r="F12" s="19">
        <f>Graysonnorpts</f>
        <v>83</v>
      </c>
      <c r="G12" s="30" t="s">
        <v>938</v>
      </c>
      <c r="H12" s="30" t="s">
        <v>892</v>
      </c>
      <c r="I12" s="30">
        <f>goodealexgoals</f>
        <v>11</v>
      </c>
      <c r="J12" s="58">
        <f>goodealexatt</f>
        <v>14</v>
      </c>
      <c r="K12" s="31">
        <f t="shared" si="0"/>
        <v>78.571428571428569</v>
      </c>
      <c r="L12" s="74" t="s">
        <v>832</v>
      </c>
      <c r="M12" s="74" t="s">
        <v>223</v>
      </c>
      <c r="N12" s="9">
        <f>Muirbthtries</f>
        <v>7</v>
      </c>
      <c r="S12" s="4"/>
      <c r="T12" s="252"/>
      <c r="U12" s="252"/>
      <c r="V12" s="252"/>
      <c r="W12" s="252"/>
    </row>
    <row r="13" spans="1:23" ht="15" customHeight="1" thickBot="1" x14ac:dyDescent="0.3">
      <c r="A13" s="10" t="s">
        <v>302</v>
      </c>
      <c r="B13" s="10" t="s">
        <v>252</v>
      </c>
      <c r="C13" s="9">
        <f>Willis_Twastries</f>
        <v>8</v>
      </c>
      <c r="D13" s="2" t="s">
        <v>937</v>
      </c>
      <c r="E13" s="2" t="s">
        <v>892</v>
      </c>
      <c r="F13" s="19">
        <f>Connonnewptscorrectthisone</f>
        <v>81</v>
      </c>
      <c r="G13" s="30" t="s">
        <v>247</v>
      </c>
      <c r="H13" s="30" t="s">
        <v>251</v>
      </c>
      <c r="I13" s="30">
        <f>simmondsexegoals</f>
        <v>79</v>
      </c>
      <c r="J13" s="58">
        <f>simmondsexeatt</f>
        <v>105</v>
      </c>
      <c r="K13" s="31">
        <f t="shared" si="0"/>
        <v>75.238095238095241</v>
      </c>
      <c r="L13" s="74" t="s">
        <v>849</v>
      </c>
      <c r="M13" s="74" t="s">
        <v>260</v>
      </c>
      <c r="N13" s="9">
        <f>Muldowneybritries</f>
        <v>7</v>
      </c>
      <c r="S13" s="4"/>
      <c r="T13" s="252"/>
      <c r="U13" s="252"/>
      <c r="V13" s="252"/>
      <c r="W13" s="252"/>
    </row>
    <row r="14" spans="1:23" ht="15" customHeight="1" thickBot="1" x14ac:dyDescent="0.3">
      <c r="A14" s="74" t="s">
        <v>912</v>
      </c>
      <c r="B14" s="74" t="s">
        <v>892</v>
      </c>
      <c r="C14" s="6">
        <f>Griffithssartries</f>
        <v>7</v>
      </c>
      <c r="D14" s="2" t="s">
        <v>232</v>
      </c>
      <c r="E14" s="2" t="s">
        <v>253</v>
      </c>
      <c r="F14" s="19">
        <f>fordleicpts</f>
        <v>72</v>
      </c>
      <c r="G14" s="30" t="s">
        <v>744</v>
      </c>
      <c r="H14" s="30" t="s">
        <v>253</v>
      </c>
      <c r="I14" s="30">
        <f>Henryleicgls</f>
        <v>38</v>
      </c>
      <c r="J14" s="58">
        <f>henryleicatt</f>
        <v>51</v>
      </c>
      <c r="K14" s="31">
        <f t="shared" si="0"/>
        <v>74.509803921568633</v>
      </c>
      <c r="L14" s="74" t="s">
        <v>987</v>
      </c>
      <c r="M14" s="74" t="s">
        <v>252</v>
      </c>
      <c r="N14" s="9">
        <f>Odogwuwastries</f>
        <v>7</v>
      </c>
      <c r="S14" s="4"/>
      <c r="T14" s="252"/>
      <c r="U14" s="252"/>
      <c r="V14" s="252"/>
      <c r="W14" s="252"/>
    </row>
    <row r="15" spans="1:23" ht="15" customHeight="1" thickBot="1" x14ac:dyDescent="0.3">
      <c r="A15" s="74" t="s">
        <v>832</v>
      </c>
      <c r="B15" s="74" t="s">
        <v>223</v>
      </c>
      <c r="C15" s="9">
        <f>Muirbthtries</f>
        <v>7</v>
      </c>
      <c r="D15" s="2" t="s">
        <v>344</v>
      </c>
      <c r="E15" s="2" t="s">
        <v>224</v>
      </c>
      <c r="F15" s="19">
        <f>Biggarnorpts</f>
        <v>69</v>
      </c>
      <c r="G15" s="30" t="s">
        <v>599</v>
      </c>
      <c r="H15" s="30" t="s">
        <v>577</v>
      </c>
      <c r="I15" s="30">
        <f>connonnewgoals</f>
        <v>70</v>
      </c>
      <c r="J15" s="58">
        <f>connonnewatt</f>
        <v>94</v>
      </c>
      <c r="K15" s="31">
        <f t="shared" si="0"/>
        <v>74.468085106382972</v>
      </c>
      <c r="L15" s="74" t="s">
        <v>439</v>
      </c>
      <c r="M15" s="74" t="s">
        <v>251</v>
      </c>
      <c r="N15" s="9">
        <f>Parlingexetries</f>
        <v>8</v>
      </c>
      <c r="S15" s="4"/>
      <c r="T15" s="252"/>
      <c r="U15" s="252"/>
      <c r="V15" s="252"/>
      <c r="W15" s="252"/>
    </row>
    <row r="16" spans="1:23" ht="15" customHeight="1" thickBot="1" x14ac:dyDescent="0.3">
      <c r="A16" s="74" t="s">
        <v>849</v>
      </c>
      <c r="B16" s="74" t="s">
        <v>260</v>
      </c>
      <c r="C16" s="9">
        <f>Muldowneybritries</f>
        <v>7</v>
      </c>
      <c r="D16" s="2" t="s">
        <v>384</v>
      </c>
      <c r="E16" s="2" t="s">
        <v>252</v>
      </c>
      <c r="F16" s="19">
        <f>Goodewaspts</f>
        <v>66</v>
      </c>
      <c r="G16" s="30" t="s">
        <v>385</v>
      </c>
      <c r="H16" s="30" t="s">
        <v>224</v>
      </c>
      <c r="I16" s="30">
        <f>graysonnorgls</f>
        <v>32</v>
      </c>
      <c r="J16" s="58">
        <f>graysonnoratt</f>
        <v>43</v>
      </c>
      <c r="K16" s="31">
        <f t="shared" si="0"/>
        <v>74.418604651162795</v>
      </c>
      <c r="L16" s="10" t="s">
        <v>942</v>
      </c>
      <c r="M16" s="10" t="s">
        <v>892</v>
      </c>
      <c r="N16" s="9">
        <f>Radwannewtriescorrect</f>
        <v>7</v>
      </c>
      <c r="S16" s="252"/>
      <c r="T16" s="252"/>
      <c r="U16" s="252"/>
      <c r="V16" s="252"/>
      <c r="W16" s="252"/>
    </row>
    <row r="17" spans="1:22" ht="15" customHeight="1" thickBot="1" x14ac:dyDescent="0.3">
      <c r="A17" s="74" t="s">
        <v>987</v>
      </c>
      <c r="B17" s="74" t="s">
        <v>252</v>
      </c>
      <c r="C17" s="9">
        <f>Odogwuwastries</f>
        <v>7</v>
      </c>
      <c r="D17" s="2" t="s">
        <v>351</v>
      </c>
      <c r="E17" s="2" t="s">
        <v>250</v>
      </c>
      <c r="F17" s="19">
        <f>Carepts</f>
        <v>63</v>
      </c>
      <c r="G17" s="30" t="s">
        <v>653</v>
      </c>
      <c r="H17" s="30" t="s">
        <v>260</v>
      </c>
      <c r="I17" s="30">
        <f>LloydBriGls</f>
        <v>23</v>
      </c>
      <c r="J17" s="58">
        <f>LloydBriAtt</f>
        <v>31</v>
      </c>
      <c r="K17" s="31">
        <f t="shared" si="0"/>
        <v>74.193548387096769</v>
      </c>
      <c r="L17" s="74" t="s">
        <v>550</v>
      </c>
      <c r="M17" s="74" t="s">
        <v>224</v>
      </c>
      <c r="N17" s="9">
        <f>Sleightholmenortries</f>
        <v>7</v>
      </c>
    </row>
    <row r="18" spans="1:22" ht="15" customHeight="1" thickBot="1" x14ac:dyDescent="0.3">
      <c r="A18" s="10" t="s">
        <v>942</v>
      </c>
      <c r="B18" s="10" t="s">
        <v>892</v>
      </c>
      <c r="C18" s="9">
        <f>Radwannewtriescorrect</f>
        <v>7</v>
      </c>
      <c r="D18" s="2" t="s">
        <v>457</v>
      </c>
      <c r="E18" s="2" t="s">
        <v>221</v>
      </c>
      <c r="F18" s="19">
        <f>Searleworpts</f>
        <v>63</v>
      </c>
      <c r="G18" s="30" t="s">
        <v>457</v>
      </c>
      <c r="H18" s="30" t="s">
        <v>221</v>
      </c>
      <c r="I18" s="30">
        <f>Searleworgls</f>
        <v>23</v>
      </c>
      <c r="J18" s="58">
        <f>searleworatt</f>
        <v>31</v>
      </c>
      <c r="K18" s="31">
        <f t="shared" si="0"/>
        <v>74.193548387096769</v>
      </c>
      <c r="L18" s="74" t="s">
        <v>502</v>
      </c>
      <c r="M18" s="74" t="s">
        <v>222</v>
      </c>
      <c r="N18" s="9">
        <f>Yardesaltries</f>
        <v>7</v>
      </c>
    </row>
    <row r="19" spans="1:22" ht="15" customHeight="1" thickBot="1" x14ac:dyDescent="0.3">
      <c r="A19" s="74" t="s">
        <v>550</v>
      </c>
      <c r="B19" s="74" t="s">
        <v>224</v>
      </c>
      <c r="C19" s="9">
        <f>Sleightholmenortries</f>
        <v>7</v>
      </c>
      <c r="D19" s="2" t="s">
        <v>541</v>
      </c>
      <c r="E19" s="2" t="s">
        <v>222</v>
      </c>
      <c r="F19" s="19">
        <f>du_Preez_Rsalpts</f>
        <v>60</v>
      </c>
      <c r="G19" s="30" t="s">
        <v>459</v>
      </c>
      <c r="H19" s="30" t="s">
        <v>260</v>
      </c>
      <c r="I19" s="413">
        <f>atkinslirgls</f>
        <v>35</v>
      </c>
      <c r="J19" s="415">
        <f>atkinsliratt</f>
        <v>48</v>
      </c>
      <c r="K19" s="31">
        <f t="shared" si="0"/>
        <v>72.916666666666657</v>
      </c>
      <c r="L19" s="49" t="s">
        <v>513</v>
      </c>
    </row>
    <row r="20" spans="1:22" ht="15" customHeight="1" thickBot="1" x14ac:dyDescent="0.3">
      <c r="A20" s="74" t="s">
        <v>502</v>
      </c>
      <c r="B20" s="74" t="s">
        <v>222</v>
      </c>
      <c r="C20" s="9">
        <f>Yardesaltries</f>
        <v>7</v>
      </c>
      <c r="D20" s="2" t="s">
        <v>653</v>
      </c>
      <c r="E20" s="2" t="s">
        <v>260</v>
      </c>
      <c r="F20" s="19">
        <f>LloydBriPts</f>
        <v>60</v>
      </c>
      <c r="G20" s="35" t="s">
        <v>344</v>
      </c>
      <c r="H20" s="30" t="s">
        <v>224</v>
      </c>
      <c r="I20" s="413">
        <f>mylergoals</f>
        <v>24</v>
      </c>
      <c r="J20" s="415">
        <f>myleratt</f>
        <v>33</v>
      </c>
      <c r="K20" s="31">
        <f t="shared" si="0"/>
        <v>72.727272727272734</v>
      </c>
    </row>
    <row r="21" spans="1:22" ht="15" customHeight="1" thickBot="1" x14ac:dyDescent="0.3">
      <c r="A21" s="74" t="s">
        <v>348</v>
      </c>
      <c r="B21" s="74" t="s">
        <v>250</v>
      </c>
      <c r="C21" s="6">
        <f>Brownhartries</f>
        <v>6</v>
      </c>
      <c r="D21" s="2" t="s">
        <v>461</v>
      </c>
      <c r="E21" s="2" t="s">
        <v>221</v>
      </c>
      <c r="F21" s="20">
        <f>Shillcockworpts</f>
        <v>59</v>
      </c>
      <c r="G21" s="30" t="s">
        <v>541</v>
      </c>
      <c r="H21" s="30" t="s">
        <v>222</v>
      </c>
      <c r="I21" s="30">
        <f>dupreezsalgls</f>
        <v>21</v>
      </c>
      <c r="J21" s="58">
        <f>dupreezsalatt</f>
        <v>29</v>
      </c>
      <c r="K21" s="31">
        <f t="shared" si="0"/>
        <v>72.41379310344827</v>
      </c>
      <c r="V21" t="s">
        <v>51</v>
      </c>
    </row>
    <row r="22" spans="1:22" ht="15" customHeight="1" thickBot="1" x14ac:dyDescent="0.3">
      <c r="A22" s="74" t="s">
        <v>1051</v>
      </c>
      <c r="B22" s="74" t="s">
        <v>220</v>
      </c>
      <c r="C22" s="9">
        <f>Carrerasglotries</f>
        <v>6</v>
      </c>
      <c r="D22" s="2" t="s">
        <v>366</v>
      </c>
      <c r="E22" s="2" t="s">
        <v>250</v>
      </c>
      <c r="F22" s="19">
        <f>Dombrandtharpts</f>
        <v>55</v>
      </c>
      <c r="G22" s="30" t="s">
        <v>136</v>
      </c>
      <c r="H22" s="30" t="s">
        <v>220</v>
      </c>
      <c r="I22" s="413">
        <f>evanslglogoals</f>
        <v>13</v>
      </c>
      <c r="J22" s="415">
        <f>evanslgloatt</f>
        <v>18</v>
      </c>
      <c r="K22" s="31">
        <f t="shared" si="0"/>
        <v>72.222222222222214</v>
      </c>
    </row>
    <row r="23" spans="1:22" ht="15" customHeight="1" thickBot="1" x14ac:dyDescent="0.3">
      <c r="A23" s="74" t="s">
        <v>365</v>
      </c>
      <c r="B23" s="74" t="s">
        <v>251</v>
      </c>
      <c r="C23" s="9">
        <f>Devotoexetries</f>
        <v>6</v>
      </c>
      <c r="D23" s="2" t="s">
        <v>322</v>
      </c>
      <c r="E23" s="2" t="s">
        <v>223</v>
      </c>
      <c r="F23" s="19">
        <f>Spencer_Bbthpts</f>
        <v>54</v>
      </c>
      <c r="G23" s="30" t="s">
        <v>939</v>
      </c>
      <c r="H23" s="30" t="s">
        <v>892</v>
      </c>
      <c r="I23" s="30">
        <f>spencerbengoals</f>
        <v>10</v>
      </c>
      <c r="J23" s="58">
        <f>spencerbenatt</f>
        <v>14</v>
      </c>
      <c r="K23" s="31">
        <f t="shared" si="0"/>
        <v>71.428571428571431</v>
      </c>
    </row>
    <row r="24" spans="1:22" ht="15" customHeight="1" thickBot="1" x14ac:dyDescent="0.3">
      <c r="A24" s="10" t="s">
        <v>368</v>
      </c>
      <c r="B24" s="10" t="s">
        <v>223</v>
      </c>
      <c r="C24" s="9">
        <f>Dunnbattries</f>
        <v>6</v>
      </c>
      <c r="D24" s="2" t="s">
        <v>470</v>
      </c>
      <c r="E24" s="2" t="s">
        <v>252</v>
      </c>
      <c r="F24" s="19">
        <f>Sopoagawaspts</f>
        <v>48</v>
      </c>
      <c r="G24" s="30" t="s">
        <v>322</v>
      </c>
      <c r="H24" s="30" t="s">
        <v>223</v>
      </c>
      <c r="I24" s="30">
        <f>Homer_Tombthgoals</f>
        <v>18</v>
      </c>
      <c r="J24" s="58">
        <f>homertombthatt</f>
        <v>26</v>
      </c>
      <c r="K24" s="31">
        <f t="shared" si="0"/>
        <v>69.230769230769226</v>
      </c>
      <c r="L24" t="s">
        <v>51</v>
      </c>
    </row>
    <row r="25" spans="1:22" ht="15" customHeight="1" thickBot="1" x14ac:dyDescent="0.3">
      <c r="A25" s="74" t="s">
        <v>375</v>
      </c>
      <c r="B25" s="74" t="s">
        <v>251</v>
      </c>
      <c r="C25" s="9">
        <f>Ewersexetries</f>
        <v>6</v>
      </c>
      <c r="D25" s="2" t="s">
        <v>423</v>
      </c>
      <c r="E25" s="2" t="s">
        <v>250</v>
      </c>
      <c r="F25" s="19">
        <f>Marchantharpts</f>
        <v>47</v>
      </c>
      <c r="G25" s="35" t="s">
        <v>937</v>
      </c>
      <c r="H25" s="30" t="s">
        <v>892</v>
      </c>
      <c r="I25" s="58">
        <f>Hodgsoncharliegoals</f>
        <v>35</v>
      </c>
      <c r="J25" s="58">
        <f>hodgsoncharlieatt</f>
        <v>51</v>
      </c>
      <c r="K25" s="31">
        <f t="shared" si="0"/>
        <v>68.627450980392155</v>
      </c>
    </row>
    <row r="26" spans="1:22" ht="15" customHeight="1" thickBot="1" x14ac:dyDescent="0.3">
      <c r="A26" s="74" t="s">
        <v>655</v>
      </c>
      <c r="B26" s="74" t="s">
        <v>577</v>
      </c>
      <c r="C26" s="9">
        <f>Hassell_Collinslirtries</f>
        <v>6</v>
      </c>
      <c r="D26" s="2" t="s">
        <v>339</v>
      </c>
      <c r="E26" s="2" t="s">
        <v>252</v>
      </c>
      <c r="F26" s="19">
        <f>Bassettwaspts</f>
        <v>45</v>
      </c>
      <c r="G26" s="30" t="s">
        <v>479</v>
      </c>
      <c r="H26" s="30" t="s">
        <v>220</v>
      </c>
      <c r="I26" s="30">
        <f>twelvetreesgoals</f>
        <v>38</v>
      </c>
      <c r="J26" s="58">
        <f>twelvetreesatt</f>
        <v>57</v>
      </c>
      <c r="K26" s="31">
        <f t="shared" si="0"/>
        <v>66.666666666666657</v>
      </c>
    </row>
    <row r="27" spans="1:22" ht="15" customHeight="1" thickBot="1" x14ac:dyDescent="0.3">
      <c r="A27" s="74" t="s">
        <v>399</v>
      </c>
      <c r="B27" s="74" t="s">
        <v>224</v>
      </c>
      <c r="C27" s="9">
        <f>Hutchinsonnortries</f>
        <v>6</v>
      </c>
      <c r="D27" s="2" t="s">
        <v>420</v>
      </c>
      <c r="E27" s="2" t="s">
        <v>260</v>
      </c>
      <c r="F27" s="19">
        <f>McLeanlirpts</f>
        <v>45</v>
      </c>
      <c r="G27" s="35" t="s">
        <v>493</v>
      </c>
      <c r="H27" s="30" t="s">
        <v>221</v>
      </c>
      <c r="I27" s="30">
        <f>barkleywelgoals</f>
        <v>8</v>
      </c>
      <c r="J27" s="58">
        <f>barkleywelatt</f>
        <v>12</v>
      </c>
      <c r="K27" s="31">
        <f t="shared" si="0"/>
        <v>66.666666666666657</v>
      </c>
    </row>
    <row r="28" spans="1:22" ht="15" customHeight="1" thickBot="1" x14ac:dyDescent="0.3">
      <c r="A28" s="74" t="s">
        <v>801</v>
      </c>
      <c r="B28" s="74" t="s">
        <v>577</v>
      </c>
      <c r="C28" s="9">
        <f>Hammersleynewtries</f>
        <v>6</v>
      </c>
      <c r="D28" s="2" t="s">
        <v>318</v>
      </c>
      <c r="E28" s="2" t="s">
        <v>222</v>
      </c>
      <c r="F28" s="19">
        <f>McGuigansalpts</f>
        <v>45</v>
      </c>
      <c r="G28" s="30" t="s">
        <v>538</v>
      </c>
      <c r="H28" s="30" t="s">
        <v>260</v>
      </c>
      <c r="I28" s="30">
        <f>Edenbrigls</f>
        <v>10</v>
      </c>
      <c r="J28" s="58">
        <f>edenbriatt</f>
        <v>16</v>
      </c>
      <c r="K28" s="31">
        <f t="shared" si="0"/>
        <v>62.5</v>
      </c>
    </row>
    <row r="29" spans="1:22" ht="15" customHeight="1" thickBot="1" x14ac:dyDescent="0.3">
      <c r="A29" s="74" t="s">
        <v>1040</v>
      </c>
      <c r="B29" s="74" t="s">
        <v>250</v>
      </c>
      <c r="C29" s="9">
        <f>Lynaghhartries</f>
        <v>6</v>
      </c>
      <c r="D29" s="2" t="s">
        <v>1060</v>
      </c>
      <c r="E29" s="2" t="s">
        <v>250</v>
      </c>
      <c r="F29" s="19">
        <f>Greenharpts</f>
        <v>40</v>
      </c>
      <c r="G29" s="35" t="s">
        <v>1002</v>
      </c>
      <c r="H29" s="30" t="s">
        <v>252</v>
      </c>
      <c r="I29" s="413">
        <f>atkinsonwasgls</f>
        <v>2</v>
      </c>
      <c r="J29" s="414">
        <f>atkinsonwasatt</f>
        <v>2</v>
      </c>
      <c r="K29" s="31">
        <f t="shared" si="0"/>
        <v>100</v>
      </c>
    </row>
    <row r="30" spans="1:22" ht="15" customHeight="1" thickBot="1" x14ac:dyDescent="0.3">
      <c r="A30" s="74" t="s">
        <v>438</v>
      </c>
      <c r="B30" s="74" t="s">
        <v>260</v>
      </c>
      <c r="C30" s="9">
        <f>MulchronelirtriesCORRECT</f>
        <v>6</v>
      </c>
      <c r="D30" s="2" t="s">
        <v>439</v>
      </c>
      <c r="E30" s="2" t="s">
        <v>251</v>
      </c>
      <c r="F30" s="19">
        <f>Parlinggeoffexepts</f>
        <v>40</v>
      </c>
      <c r="G30" s="30" t="s">
        <v>645</v>
      </c>
      <c r="H30" s="30" t="s">
        <v>220</v>
      </c>
      <c r="I30" s="30">
        <f>Morrisjglogls</f>
        <v>2</v>
      </c>
      <c r="J30" s="253">
        <f>morrisjgloatt</f>
        <v>2</v>
      </c>
      <c r="K30" s="31">
        <f t="shared" si="0"/>
        <v>100</v>
      </c>
    </row>
    <row r="31" spans="1:22" ht="15" customHeight="1" thickBot="1" x14ac:dyDescent="0.3">
      <c r="A31" s="74" t="s">
        <v>466</v>
      </c>
      <c r="B31" s="74" t="s">
        <v>251</v>
      </c>
      <c r="C31" s="9">
        <f>Skinnerexetries</f>
        <v>6</v>
      </c>
      <c r="D31" s="2" t="s">
        <v>725</v>
      </c>
      <c r="E31" s="2" t="s">
        <v>577</v>
      </c>
      <c r="F31" s="18">
        <f>Nagusanewpts</f>
        <v>40</v>
      </c>
      <c r="G31" s="30" t="s">
        <v>536</v>
      </c>
      <c r="H31" s="30" t="s">
        <v>260</v>
      </c>
      <c r="I31" s="30">
        <f>Bedlowbrigls</f>
        <v>8</v>
      </c>
      <c r="J31" s="253">
        <f>bedlowbriatt</f>
        <v>9</v>
      </c>
      <c r="K31" s="31">
        <f t="shared" si="0"/>
        <v>88.888888888888886</v>
      </c>
    </row>
    <row r="32" spans="1:22" ht="15" customHeight="1" thickBot="1" x14ac:dyDescent="0.3">
      <c r="A32" s="74" t="s">
        <v>787</v>
      </c>
      <c r="B32" s="74" t="s">
        <v>260</v>
      </c>
      <c r="C32" s="9">
        <f>Byrnebritries</f>
        <v>5</v>
      </c>
      <c r="D32" s="17" t="s">
        <v>302</v>
      </c>
      <c r="E32" s="17" t="s">
        <v>252</v>
      </c>
      <c r="F32" s="19">
        <f>Willis_Twaspts</f>
        <v>40</v>
      </c>
      <c r="G32" s="35" t="s">
        <v>1072</v>
      </c>
      <c r="H32" s="30" t="s">
        <v>223</v>
      </c>
      <c r="I32" s="413">
        <f>Baileybthgls</f>
        <v>5</v>
      </c>
      <c r="J32" s="414">
        <f>baileybthatt</f>
        <v>6</v>
      </c>
      <c r="K32" s="31">
        <f t="shared" si="0"/>
        <v>83.333333333333343</v>
      </c>
    </row>
    <row r="33" spans="1:11" ht="15" customHeight="1" thickBot="1" x14ac:dyDescent="0.3">
      <c r="A33" s="10" t="s">
        <v>629</v>
      </c>
      <c r="B33" s="74" t="s">
        <v>222</v>
      </c>
      <c r="C33" s="9">
        <f>du_Preez_Dsaltries</f>
        <v>5</v>
      </c>
      <c r="D33" s="2" t="s">
        <v>614</v>
      </c>
      <c r="E33" s="2" t="s">
        <v>220</v>
      </c>
      <c r="F33" s="19">
        <f>Bartonglopts</f>
        <v>38</v>
      </c>
      <c r="G33" s="30" t="s">
        <v>621</v>
      </c>
      <c r="H33" s="30" t="s">
        <v>250</v>
      </c>
      <c r="I33" s="413">
        <f>Herronhargls</f>
        <v>4</v>
      </c>
      <c r="J33" s="414">
        <f>herronharatt</f>
        <v>5</v>
      </c>
      <c r="K33" s="31">
        <f t="shared" si="0"/>
        <v>80</v>
      </c>
    </row>
    <row r="34" spans="1:11" ht="15" customHeight="1" thickBot="1" x14ac:dyDescent="0.3">
      <c r="A34" s="74" t="s">
        <v>370</v>
      </c>
      <c r="B34" s="74" t="s">
        <v>260</v>
      </c>
      <c r="C34" s="9">
        <f>Cowanblairtries</f>
        <v>5</v>
      </c>
      <c r="D34" s="17" t="s">
        <v>229</v>
      </c>
      <c r="E34" s="17" t="s">
        <v>220</v>
      </c>
      <c r="F34" s="19">
        <f>Evans_Lglopts</f>
        <v>37</v>
      </c>
      <c r="G34" s="30" t="s">
        <v>505</v>
      </c>
      <c r="H34" s="30" t="s">
        <v>224</v>
      </c>
      <c r="I34" s="413">
        <f>Hanrahannorgoals</f>
        <v>6</v>
      </c>
      <c r="J34" s="414">
        <f>hanrahannoratt</f>
        <v>8</v>
      </c>
      <c r="K34" s="31">
        <f t="shared" si="0"/>
        <v>75</v>
      </c>
    </row>
    <row r="35" spans="1:11" ht="15" customHeight="1" thickBot="1" x14ac:dyDescent="0.3">
      <c r="A35" s="74" t="s">
        <v>391</v>
      </c>
      <c r="B35" s="74" t="s">
        <v>220</v>
      </c>
      <c r="C35" s="9">
        <f>Heinzglotries</f>
        <v>5</v>
      </c>
      <c r="D35" s="2" t="s">
        <v>732</v>
      </c>
      <c r="E35" s="2" t="s">
        <v>253</v>
      </c>
      <c r="F35" s="19">
        <f>Mayleicpts</f>
        <v>37</v>
      </c>
      <c r="G35" s="30" t="s">
        <v>979</v>
      </c>
      <c r="H35" s="30" t="s">
        <v>253</v>
      </c>
      <c r="I35" s="30">
        <f>Diaz_Bonillaleicgls</f>
        <v>5</v>
      </c>
      <c r="J35" s="253">
        <f>diazbonillaleicatt</f>
        <v>7</v>
      </c>
      <c r="K35" s="31">
        <f t="shared" si="0"/>
        <v>71.428571428571431</v>
      </c>
    </row>
    <row r="36" spans="1:11" ht="15" customHeight="1" thickBot="1" x14ac:dyDescent="0.3">
      <c r="A36" s="74" t="s">
        <v>679</v>
      </c>
      <c r="B36" s="74" t="s">
        <v>251</v>
      </c>
      <c r="C36" s="9">
        <f>Hoggexetries</f>
        <v>5</v>
      </c>
      <c r="D36" s="2" t="s">
        <v>399</v>
      </c>
      <c r="E36" s="2" t="s">
        <v>224</v>
      </c>
      <c r="F36" s="19">
        <f>Hutchinsonnorpts</f>
        <v>36</v>
      </c>
      <c r="G36" s="30" t="s">
        <v>407</v>
      </c>
      <c r="H36" s="30" t="s">
        <v>250</v>
      </c>
      <c r="I36" s="413">
        <f>Langhargls</f>
        <v>2</v>
      </c>
      <c r="J36" s="414">
        <f>langharatt</f>
        <v>3</v>
      </c>
      <c r="K36" s="31">
        <f t="shared" si="0"/>
        <v>66.666666666666657</v>
      </c>
    </row>
    <row r="37" spans="1:11" ht="15" customHeight="1" thickBot="1" x14ac:dyDescent="0.3">
      <c r="A37" s="74" t="s">
        <v>398</v>
      </c>
      <c r="B37" s="74" t="s">
        <v>221</v>
      </c>
      <c r="C37" s="57">
        <f>Humphreyswortries</f>
        <v>5</v>
      </c>
      <c r="D37" s="17" t="s">
        <v>236</v>
      </c>
      <c r="E37" s="2" t="s">
        <v>224</v>
      </c>
      <c r="F37" s="19">
        <f>Francisnorpts</f>
        <v>35</v>
      </c>
      <c r="G37" s="30" t="s">
        <v>862</v>
      </c>
      <c r="H37" s="30" t="s">
        <v>251</v>
      </c>
      <c r="I37" s="413">
        <f>Walshexegls</f>
        <v>2</v>
      </c>
      <c r="J37" s="414">
        <f>waslhexeatt</f>
        <v>3</v>
      </c>
      <c r="K37" s="31">
        <f t="shared" si="0"/>
        <v>66.666666666666657</v>
      </c>
    </row>
    <row r="38" spans="1:11" ht="15" customHeight="1" thickBot="1" x14ac:dyDescent="0.3">
      <c r="A38" s="10" t="s">
        <v>226</v>
      </c>
      <c r="B38" s="10" t="s">
        <v>223</v>
      </c>
      <c r="C38" s="9">
        <f>Mercerbattries</f>
        <v>5</v>
      </c>
      <c r="D38" s="2" t="s">
        <v>912</v>
      </c>
      <c r="E38" s="2" t="s">
        <v>892</v>
      </c>
      <c r="F38" s="19">
        <f>Griffithssarpts</f>
        <v>35</v>
      </c>
      <c r="G38" s="30" t="s">
        <v>534</v>
      </c>
      <c r="H38" s="30" t="s">
        <v>251</v>
      </c>
      <c r="I38" s="413">
        <f>Skinnerexegls</f>
        <v>5</v>
      </c>
      <c r="J38" s="414">
        <f>Skinnerexeatt</f>
        <v>8</v>
      </c>
      <c r="K38" s="31">
        <f t="shared" si="0"/>
        <v>62.5</v>
      </c>
    </row>
    <row r="39" spans="1:11" ht="15" customHeight="1" thickBot="1" x14ac:dyDescent="0.3">
      <c r="A39" s="10" t="s">
        <v>1047</v>
      </c>
      <c r="B39" s="74" t="s">
        <v>253</v>
      </c>
      <c r="C39" s="9">
        <f>Montoyaleictries</f>
        <v>5</v>
      </c>
      <c r="D39" s="2" t="s">
        <v>832</v>
      </c>
      <c r="E39" s="2" t="s">
        <v>223</v>
      </c>
      <c r="F39" s="19">
        <f>Muirbthpts</f>
        <v>35</v>
      </c>
      <c r="G39" s="30" t="s">
        <v>399</v>
      </c>
      <c r="H39" s="30" t="s">
        <v>224</v>
      </c>
      <c r="I39" s="413">
        <f>hutchinsonnorgls</f>
        <v>3</v>
      </c>
      <c r="J39" s="414">
        <f>hutchinsonnoratt</f>
        <v>5</v>
      </c>
      <c r="K39" s="31">
        <f t="shared" si="0"/>
        <v>60</v>
      </c>
    </row>
    <row r="40" spans="1:11" ht="15" customHeight="1" thickBot="1" x14ac:dyDescent="0.3">
      <c r="A40" s="74" t="s">
        <v>431</v>
      </c>
      <c r="B40" s="74" t="s">
        <v>260</v>
      </c>
      <c r="C40" s="9">
        <f>McNallylirtries</f>
        <v>5</v>
      </c>
      <c r="D40" s="2" t="s">
        <v>849</v>
      </c>
      <c r="E40" s="2" t="s">
        <v>260</v>
      </c>
      <c r="F40" s="19">
        <f>Muldowneybripts</f>
        <v>35</v>
      </c>
      <c r="G40" s="30" t="s">
        <v>421</v>
      </c>
      <c r="H40" s="30" t="s">
        <v>224</v>
      </c>
      <c r="I40" s="30">
        <f>Mallindernorgoals</f>
        <v>2</v>
      </c>
      <c r="J40" s="253">
        <f>mallindernoratt</f>
        <v>4</v>
      </c>
      <c r="K40" s="31">
        <f t="shared" si="0"/>
        <v>50</v>
      </c>
    </row>
    <row r="41" spans="1:11" ht="15" customHeight="1" thickBot="1" x14ac:dyDescent="0.3">
      <c r="A41" s="74" t="s">
        <v>714</v>
      </c>
      <c r="B41" s="74" t="s">
        <v>250</v>
      </c>
      <c r="C41" s="9">
        <f>Northmorehartries</f>
        <v>5</v>
      </c>
      <c r="D41" s="2" t="s">
        <v>987</v>
      </c>
      <c r="E41" s="2" t="s">
        <v>252</v>
      </c>
      <c r="F41" s="19">
        <f>Odogwuwaspts</f>
        <v>35</v>
      </c>
      <c r="G41" s="30" t="s">
        <v>1045</v>
      </c>
      <c r="H41" s="30" t="s">
        <v>223</v>
      </c>
      <c r="I41" s="413">
        <f>Schoemanbthgls</f>
        <v>2</v>
      </c>
      <c r="J41" s="414">
        <f>schoemanbthatt</f>
        <v>5</v>
      </c>
      <c r="K41" s="31">
        <f t="shared" si="0"/>
        <v>40</v>
      </c>
    </row>
    <row r="42" spans="1:11" ht="15" customHeight="1" thickBot="1" x14ac:dyDescent="0.3">
      <c r="A42" s="10" t="s">
        <v>738</v>
      </c>
      <c r="B42" s="10" t="s">
        <v>260</v>
      </c>
      <c r="C42" s="9">
        <f>Radradrabritries</f>
        <v>5</v>
      </c>
      <c r="D42" s="2" t="s">
        <v>942</v>
      </c>
      <c r="E42" s="2" t="s">
        <v>892</v>
      </c>
      <c r="F42" s="19">
        <f>Radwannewptscorrect</f>
        <v>35</v>
      </c>
      <c r="G42" s="30" t="s">
        <v>1076</v>
      </c>
      <c r="H42" s="30" t="s">
        <v>221</v>
      </c>
      <c r="I42" s="413">
        <f>Smithworgls</f>
        <v>2</v>
      </c>
      <c r="J42" s="414">
        <f>smithworatt</f>
        <v>5</v>
      </c>
      <c r="K42" s="31">
        <f t="shared" si="0"/>
        <v>40</v>
      </c>
    </row>
    <row r="43" spans="1:11" ht="15" customHeight="1" thickBot="1" x14ac:dyDescent="0.3">
      <c r="A43" s="74" t="s">
        <v>616</v>
      </c>
      <c r="B43" s="74" t="s">
        <v>617</v>
      </c>
      <c r="C43" s="9">
        <f>Rees_Zammitglotries</f>
        <v>5</v>
      </c>
      <c r="D43" s="2" t="s">
        <v>550</v>
      </c>
      <c r="E43" s="2" t="s">
        <v>224</v>
      </c>
      <c r="F43" s="19">
        <f>Sleightholmenorpts</f>
        <v>35</v>
      </c>
      <c r="G43" s="30" t="s">
        <v>423</v>
      </c>
      <c r="H43" s="30" t="s">
        <v>250</v>
      </c>
      <c r="I43" s="413">
        <f>Marchanthargls</f>
        <v>1</v>
      </c>
      <c r="J43" s="414">
        <f>marchantharatt</f>
        <v>3</v>
      </c>
      <c r="K43" s="31">
        <f t="shared" si="0"/>
        <v>33.333333333333329</v>
      </c>
    </row>
    <row r="44" spans="1:11" ht="15" customHeight="1" thickBot="1" x14ac:dyDescent="0.3">
      <c r="A44" s="74" t="s">
        <v>475</v>
      </c>
      <c r="B44" s="74" t="s">
        <v>251</v>
      </c>
      <c r="C44" s="9">
        <f>Townsendexetries</f>
        <v>5</v>
      </c>
      <c r="D44" s="2" t="s">
        <v>502</v>
      </c>
      <c r="E44" s="2" t="s">
        <v>222</v>
      </c>
      <c r="F44" s="18">
        <f>Yardesalpts</f>
        <v>35</v>
      </c>
      <c r="G44" s="30" t="s">
        <v>364</v>
      </c>
      <c r="H44" s="30" t="s">
        <v>222</v>
      </c>
      <c r="I44" s="413">
        <f>de_Klerksalgls</f>
        <v>0</v>
      </c>
      <c r="J44" s="414">
        <f>deklerksalatt</f>
        <v>1</v>
      </c>
      <c r="K44" s="31">
        <f t="shared" si="0"/>
        <v>0</v>
      </c>
    </row>
    <row r="45" spans="1:11" ht="15" customHeight="1" thickBot="1" x14ac:dyDescent="0.3">
      <c r="A45" s="74" t="s">
        <v>720</v>
      </c>
      <c r="B45" s="74" t="s">
        <v>577</v>
      </c>
      <c r="C45" s="9">
        <f>Robinsonnewtries</f>
        <v>5</v>
      </c>
      <c r="D45" s="2" t="s">
        <v>938</v>
      </c>
      <c r="E45" s="2" t="s">
        <v>892</v>
      </c>
      <c r="F45" s="19">
        <f>Floodnewptscorrect</f>
        <v>31</v>
      </c>
      <c r="G45" s="30" t="s">
        <v>420</v>
      </c>
      <c r="H45" s="30" t="s">
        <v>260</v>
      </c>
      <c r="I45" s="413">
        <f>Malinsbrigls</f>
        <v>0</v>
      </c>
      <c r="J45" s="414">
        <f>malinsbriatt</f>
        <v>1</v>
      </c>
      <c r="K45" s="31">
        <f t="shared" si="0"/>
        <v>0</v>
      </c>
    </row>
    <row r="46" spans="1:11" ht="15" customHeight="1" thickBot="1" x14ac:dyDescent="0.3">
      <c r="A46" s="74" t="s">
        <v>625</v>
      </c>
      <c r="B46" s="74" t="s">
        <v>251</v>
      </c>
      <c r="C46" s="9">
        <f>van_der_Sluysexetries</f>
        <v>5</v>
      </c>
      <c r="D46" s="2" t="s">
        <v>348</v>
      </c>
      <c r="E46" s="2" t="s">
        <v>250</v>
      </c>
      <c r="F46" s="19">
        <f>Brownharpts</f>
        <v>30</v>
      </c>
      <c r="G46" s="30" t="s">
        <v>539</v>
      </c>
      <c r="H46" s="30" t="s">
        <v>223</v>
      </c>
      <c r="I46" s="413" t="str">
        <f>Atkinsbthgls</f>
        <v>-</v>
      </c>
      <c r="J46" s="414" t="str">
        <f>Atkinsbthatt</f>
        <v>-</v>
      </c>
      <c r="K46" s="31">
        <v>0</v>
      </c>
    </row>
    <row r="47" spans="1:11" ht="15" customHeight="1" thickBot="1" x14ac:dyDescent="0.3">
      <c r="A47" s="74" t="s">
        <v>1037</v>
      </c>
      <c r="B47" s="74" t="s">
        <v>224</v>
      </c>
      <c r="C47" s="9">
        <f>Adendorffnortries</f>
        <v>4</v>
      </c>
      <c r="D47" s="2" t="s">
        <v>1051</v>
      </c>
      <c r="E47" s="2" t="s">
        <v>220</v>
      </c>
      <c r="F47" s="19">
        <f>Carrerasglopts</f>
        <v>30</v>
      </c>
      <c r="G47" s="35" t="s">
        <v>597</v>
      </c>
      <c r="H47" s="30" t="s">
        <v>577</v>
      </c>
      <c r="I47" s="413" t="str">
        <f>arscottnewgls</f>
        <v>-</v>
      </c>
      <c r="J47" s="414" t="str">
        <f>arscottnewatt</f>
        <v>-</v>
      </c>
      <c r="K47" s="31">
        <v>0</v>
      </c>
    </row>
    <row r="48" spans="1:11" ht="15" customHeight="1" thickBot="1" x14ac:dyDescent="0.3">
      <c r="A48" s="74" t="s">
        <v>341</v>
      </c>
      <c r="B48" s="74" t="s">
        <v>223</v>
      </c>
      <c r="C48" s="9">
        <f>Baylissbthtries</f>
        <v>4</v>
      </c>
      <c r="D48" s="2" t="s">
        <v>365</v>
      </c>
      <c r="E48" s="2" t="s">
        <v>251</v>
      </c>
      <c r="F48" s="19">
        <f>Devotoexepts</f>
        <v>30</v>
      </c>
      <c r="G48" s="30" t="s">
        <v>598</v>
      </c>
      <c r="H48" s="30" t="s">
        <v>577</v>
      </c>
      <c r="I48" s="413" t="str">
        <f>clegggoals</f>
        <v>-</v>
      </c>
      <c r="J48" s="414" t="str">
        <f>cleggatt</f>
        <v>-</v>
      </c>
      <c r="K48" s="31">
        <v>0</v>
      </c>
    </row>
    <row r="49" spans="1:11" ht="15" customHeight="1" thickBot="1" x14ac:dyDescent="0.3">
      <c r="A49" s="74" t="s">
        <v>361</v>
      </c>
      <c r="B49" s="74" t="s">
        <v>252</v>
      </c>
      <c r="C49" s="9">
        <f>Crusewastries</f>
        <v>4</v>
      </c>
      <c r="D49" s="17" t="s">
        <v>368</v>
      </c>
      <c r="E49" s="17" t="s">
        <v>223</v>
      </c>
      <c r="F49" s="19">
        <f>Dunntompts</f>
        <v>30</v>
      </c>
      <c r="G49" s="30" t="s">
        <v>531</v>
      </c>
      <c r="H49" s="30" t="s">
        <v>220</v>
      </c>
      <c r="I49" s="413" t="str">
        <f>chapmanglogls</f>
        <v>-</v>
      </c>
      <c r="J49" s="414" t="str">
        <f>chapmangloatt</f>
        <v>-</v>
      </c>
      <c r="K49" s="31">
        <v>0</v>
      </c>
    </row>
    <row r="50" spans="1:11" ht="15" customHeight="1" thickBot="1" x14ac:dyDescent="0.3">
      <c r="A50" s="12" t="s">
        <v>362</v>
      </c>
      <c r="B50" s="12" t="s">
        <v>251</v>
      </c>
      <c r="C50" s="6">
        <f>Daviesexetries</f>
        <v>4</v>
      </c>
      <c r="D50" s="2" t="s">
        <v>375</v>
      </c>
      <c r="E50" s="2" t="s">
        <v>251</v>
      </c>
      <c r="F50" s="19">
        <f>Ewersexepts</f>
        <v>30</v>
      </c>
      <c r="G50" s="30" t="s">
        <v>354</v>
      </c>
      <c r="H50" s="30" t="s">
        <v>222</v>
      </c>
      <c r="I50" s="413" t="str">
        <f>Cliffsalgls</f>
        <v>-</v>
      </c>
      <c r="J50" s="414" t="str">
        <f>cliffsalatt</f>
        <v>-</v>
      </c>
      <c r="K50" s="31">
        <v>0</v>
      </c>
    </row>
    <row r="51" spans="1:11" ht="15" customHeight="1" thickBot="1" x14ac:dyDescent="0.3">
      <c r="A51" s="74" t="s">
        <v>371</v>
      </c>
      <c r="B51" s="74" t="s">
        <v>250</v>
      </c>
      <c r="C51" s="9">
        <f>Earlehartries</f>
        <v>4</v>
      </c>
      <c r="D51" s="2" t="s">
        <v>655</v>
      </c>
      <c r="E51" s="2" t="s">
        <v>577</v>
      </c>
      <c r="F51" s="19">
        <f>Hassell_Collinslirpts</f>
        <v>30</v>
      </c>
      <c r="G51" s="30" t="s">
        <v>634</v>
      </c>
      <c r="H51" s="30" t="s">
        <v>222</v>
      </c>
      <c r="I51" s="413" t="str">
        <f>redpathsalegls</f>
        <v>-</v>
      </c>
      <c r="J51" s="414" t="str">
        <f>redpathsalatt</f>
        <v>-</v>
      </c>
      <c r="K51" s="31">
        <v>0</v>
      </c>
    </row>
    <row r="52" spans="1:11" ht="15" customHeight="1" thickBot="1" x14ac:dyDescent="0.3">
      <c r="A52" s="10" t="s">
        <v>236</v>
      </c>
      <c r="B52" s="74" t="s">
        <v>224</v>
      </c>
      <c r="C52" s="9">
        <f>Francisnortries</f>
        <v>4</v>
      </c>
      <c r="D52" s="2" t="s">
        <v>801</v>
      </c>
      <c r="E52" s="2" t="s">
        <v>577</v>
      </c>
      <c r="F52" s="19">
        <f>Hammersleynewpts</f>
        <v>30</v>
      </c>
      <c r="G52" s="30" t="s">
        <v>380</v>
      </c>
      <c r="H52" s="30" t="s">
        <v>224</v>
      </c>
      <c r="I52" s="413" t="str">
        <f>furbanknorgls</f>
        <v>-</v>
      </c>
      <c r="J52" s="414" t="str">
        <f>furbanknoratt</f>
        <v>-</v>
      </c>
      <c r="K52" s="31">
        <v>0</v>
      </c>
    </row>
    <row r="53" spans="1:11" ht="15" customHeight="1" thickBot="1" x14ac:dyDescent="0.3">
      <c r="A53" s="10" t="s">
        <v>381</v>
      </c>
      <c r="B53" s="74" t="s">
        <v>252</v>
      </c>
      <c r="C53" s="9">
        <f>Gaskellwastries</f>
        <v>4</v>
      </c>
      <c r="D53" s="2" t="s">
        <v>1040</v>
      </c>
      <c r="E53" s="2" t="s">
        <v>250</v>
      </c>
      <c r="F53" s="19">
        <f>Lynaghharpts</f>
        <v>30</v>
      </c>
      <c r="G53" s="30" t="s">
        <v>506</v>
      </c>
      <c r="H53" s="30" t="s">
        <v>253</v>
      </c>
      <c r="I53" s="413" t="str">
        <f>hardwickleicgls</f>
        <v>-</v>
      </c>
      <c r="J53" s="414" t="str">
        <f>hardwickleicatt</f>
        <v>-</v>
      </c>
      <c r="K53" s="31">
        <v>0</v>
      </c>
    </row>
    <row r="54" spans="1:11" ht="15" customHeight="1" thickBot="1" x14ac:dyDescent="0.3">
      <c r="A54" s="74" t="s">
        <v>382</v>
      </c>
      <c r="B54" s="74" t="s">
        <v>253</v>
      </c>
      <c r="C54" s="9">
        <f>Floodtobytries</f>
        <v>4</v>
      </c>
      <c r="D54" s="2" t="s">
        <v>438</v>
      </c>
      <c r="E54" s="2" t="s">
        <v>260</v>
      </c>
      <c r="F54" s="19">
        <f>Geraghtypts</f>
        <v>30</v>
      </c>
      <c r="G54" s="30" t="s">
        <v>782</v>
      </c>
      <c r="H54" s="30" t="s">
        <v>251</v>
      </c>
      <c r="I54" s="413" t="str">
        <f>Hodgeexegls</f>
        <v>-</v>
      </c>
      <c r="J54" s="414" t="str">
        <f>Hodgeexeatt</f>
        <v>-</v>
      </c>
      <c r="K54" s="31">
        <v>0</v>
      </c>
    </row>
    <row r="55" spans="1:11" ht="15" customHeight="1" thickBot="1" x14ac:dyDescent="0.3">
      <c r="A55" s="74" t="s">
        <v>771</v>
      </c>
      <c r="B55" s="74" t="s">
        <v>251</v>
      </c>
      <c r="C55" s="9">
        <f>Grayexetries</f>
        <v>4</v>
      </c>
      <c r="D55" s="2" t="s">
        <v>466</v>
      </c>
      <c r="E55" s="2" t="s">
        <v>251</v>
      </c>
      <c r="F55" s="19">
        <f>Skinnerexepts</f>
        <v>30</v>
      </c>
      <c r="G55" s="30" t="s">
        <v>679</v>
      </c>
      <c r="H55" s="30" t="s">
        <v>251</v>
      </c>
      <c r="I55" s="413" t="str">
        <f>hoggexegls</f>
        <v>-</v>
      </c>
      <c r="J55" s="414" t="str">
        <f>hoggexeatt</f>
        <v>-</v>
      </c>
      <c r="K55" s="31">
        <v>0</v>
      </c>
    </row>
    <row r="56" spans="1:11" ht="15" customHeight="1" thickBot="1" x14ac:dyDescent="0.3">
      <c r="A56" s="74" t="s">
        <v>609</v>
      </c>
      <c r="B56" s="74" t="s">
        <v>222</v>
      </c>
      <c r="C56" s="9">
        <f>Hammersleysaltries</f>
        <v>4</v>
      </c>
      <c r="D56" s="2" t="s">
        <v>227</v>
      </c>
      <c r="E56" s="2" t="s">
        <v>260</v>
      </c>
      <c r="F56" s="19">
        <f>Penalty_Triesbripts</f>
        <v>28</v>
      </c>
      <c r="G56" s="30" t="s">
        <v>240</v>
      </c>
      <c r="H56" s="30" t="s">
        <v>222</v>
      </c>
      <c r="I56" s="413" t="str">
        <f>Jamessalgls</f>
        <v>-</v>
      </c>
      <c r="J56" s="414" t="str">
        <f>Jamessalatt</f>
        <v>-</v>
      </c>
      <c r="K56" s="31">
        <v>0</v>
      </c>
    </row>
    <row r="57" spans="1:11" ht="15" customHeight="1" thickBot="1" x14ac:dyDescent="0.3">
      <c r="A57" s="74" t="s">
        <v>521</v>
      </c>
      <c r="B57" s="74" t="s">
        <v>222</v>
      </c>
      <c r="C57" s="57">
        <f>Jansevanrensburgsaltries</f>
        <v>4</v>
      </c>
      <c r="D57" s="2" t="s">
        <v>227</v>
      </c>
      <c r="E57" s="2" t="s">
        <v>250</v>
      </c>
      <c r="F57" s="19">
        <f>Penalty_Triesharpts</f>
        <v>28</v>
      </c>
      <c r="G57" s="30" t="s">
        <v>402</v>
      </c>
      <c r="H57" s="30" t="s">
        <v>223</v>
      </c>
      <c r="I57" s="413" t="str">
        <f>Josephbthgls</f>
        <v>-</v>
      </c>
      <c r="J57" s="414" t="str">
        <f>josephbthatt</f>
        <v>-</v>
      </c>
      <c r="K57" s="31">
        <v>0</v>
      </c>
    </row>
    <row r="58" spans="1:11" ht="15" customHeight="1" thickBot="1" x14ac:dyDescent="0.3">
      <c r="A58" s="74" t="s">
        <v>408</v>
      </c>
      <c r="B58" s="74" t="s">
        <v>222</v>
      </c>
      <c r="C58" s="9">
        <f>Langdonsaltries</f>
        <v>4</v>
      </c>
      <c r="D58" s="2" t="s">
        <v>939</v>
      </c>
      <c r="E58" s="2" t="s">
        <v>892</v>
      </c>
      <c r="F58" s="19">
        <f>Hodgsonnewptscorrect</f>
        <v>26</v>
      </c>
      <c r="G58" s="30" t="s">
        <v>754</v>
      </c>
      <c r="H58" s="30" t="s">
        <v>223</v>
      </c>
      <c r="I58" s="413" t="str">
        <f>Matavesibthgoals</f>
        <v>-</v>
      </c>
      <c r="J58" s="414" t="str">
        <f>matavesibthatt</f>
        <v>-</v>
      </c>
      <c r="K58" s="31">
        <v>0</v>
      </c>
    </row>
    <row r="59" spans="1:11" ht="15" customHeight="1" thickBot="1" x14ac:dyDescent="0.3">
      <c r="A59" s="74" t="s">
        <v>724</v>
      </c>
      <c r="B59" s="74" t="s">
        <v>223</v>
      </c>
      <c r="C59" s="9">
        <f>McNallybthtries</f>
        <v>4</v>
      </c>
      <c r="D59" s="17" t="s">
        <v>493</v>
      </c>
      <c r="E59" s="2" t="s">
        <v>221</v>
      </c>
      <c r="F59" s="19">
        <f>Weirworpts</f>
        <v>26</v>
      </c>
      <c r="G59" s="35" t="s">
        <v>319</v>
      </c>
      <c r="H59" s="30" t="s">
        <v>252</v>
      </c>
      <c r="I59" s="415" t="str">
        <f>millerwasgoals</f>
        <v>-</v>
      </c>
      <c r="J59" s="414" t="str">
        <f>millerwasatt</f>
        <v>-</v>
      </c>
      <c r="K59" s="31">
        <v>0</v>
      </c>
    </row>
    <row r="60" spans="1:11" ht="15" customHeight="1" thickBot="1" x14ac:dyDescent="0.3">
      <c r="A60" s="74" t="s">
        <v>429</v>
      </c>
      <c r="B60" s="74" t="s">
        <v>224</v>
      </c>
      <c r="C60" s="9">
        <f>Mitchellnortries</f>
        <v>4</v>
      </c>
      <c r="D60" s="2" t="s">
        <v>787</v>
      </c>
      <c r="E60" s="2" t="s">
        <v>260</v>
      </c>
      <c r="F60" s="19">
        <f>Byrnebripts</f>
        <v>25</v>
      </c>
      <c r="G60" s="30" t="s">
        <v>914</v>
      </c>
      <c r="H60" s="30" t="s">
        <v>892</v>
      </c>
      <c r="I60" s="413" t="str">
        <f>malinssargls</f>
        <v>-</v>
      </c>
      <c r="J60" s="414" t="str">
        <f>malinssaratt</f>
        <v>-</v>
      </c>
      <c r="K60" s="31">
        <v>0</v>
      </c>
    </row>
    <row r="61" spans="1:11" ht="15" customHeight="1" thickBot="1" x14ac:dyDescent="0.3">
      <c r="A61" s="74" t="s">
        <v>433</v>
      </c>
      <c r="B61" s="74" t="s">
        <v>224</v>
      </c>
      <c r="C61" s="9">
        <f>Naiyaravoronortries</f>
        <v>4</v>
      </c>
      <c r="D61" s="17" t="s">
        <v>629</v>
      </c>
      <c r="E61" s="2" t="s">
        <v>222</v>
      </c>
      <c r="F61" s="19">
        <f>du_Preez_Dsalpts</f>
        <v>25</v>
      </c>
      <c r="G61" s="30" t="s">
        <v>950</v>
      </c>
      <c r="H61" s="30" t="s">
        <v>892</v>
      </c>
      <c r="I61" s="413" t="str">
        <f>Whiteleysargls</f>
        <v>-</v>
      </c>
      <c r="J61" s="414" t="str">
        <f>whiteleysaratt</f>
        <v>-</v>
      </c>
      <c r="K61" s="31">
        <v>0</v>
      </c>
    </row>
    <row r="62" spans="1:11" ht="15" customHeight="1" thickBot="1" x14ac:dyDescent="0.3">
      <c r="A62" s="74" t="s">
        <v>796</v>
      </c>
      <c r="B62" s="74" t="s">
        <v>577</v>
      </c>
      <c r="C62" s="9">
        <f>McGuigannewtries</f>
        <v>4</v>
      </c>
      <c r="D62" s="2" t="s">
        <v>370</v>
      </c>
      <c r="E62" s="2" t="s">
        <v>260</v>
      </c>
      <c r="F62" s="18">
        <f>Cowanlipts</f>
        <v>25</v>
      </c>
      <c r="G62" s="30" t="s">
        <v>692</v>
      </c>
      <c r="H62" s="30" t="s">
        <v>253</v>
      </c>
      <c r="I62" s="413" t="str">
        <f>Stewardleicgls</f>
        <v>-</v>
      </c>
      <c r="J62" s="414" t="str">
        <f>stewardleicatt</f>
        <v>-</v>
      </c>
      <c r="K62" s="31">
        <v>0</v>
      </c>
    </row>
    <row r="63" spans="1:11" ht="15" customHeight="1" thickBot="1" x14ac:dyDescent="0.3">
      <c r="A63" s="74" t="s">
        <v>227</v>
      </c>
      <c r="B63" s="74" t="s">
        <v>260</v>
      </c>
      <c r="C63" s="9">
        <f>Penalty_Triesbritries</f>
        <v>4</v>
      </c>
      <c r="D63" s="2" t="s">
        <v>391</v>
      </c>
      <c r="E63" s="2" t="s">
        <v>220</v>
      </c>
      <c r="F63" s="19">
        <f>Heinzglopts</f>
        <v>25</v>
      </c>
      <c r="G63" s="30" t="s">
        <v>926</v>
      </c>
      <c r="H63" s="30" t="s">
        <v>892</v>
      </c>
      <c r="I63" s="413" t="str">
        <f>Vunipola_Msargls</f>
        <v>-</v>
      </c>
      <c r="J63" s="414" t="str">
        <f>Vunipola_Msaratt</f>
        <v>-</v>
      </c>
      <c r="K63" s="31">
        <v>0</v>
      </c>
    </row>
    <row r="64" spans="1:11" ht="15" customHeight="1" thickBot="1" x14ac:dyDescent="0.3">
      <c r="A64" s="74" t="s">
        <v>227</v>
      </c>
      <c r="B64" s="74" t="s">
        <v>250</v>
      </c>
      <c r="C64" s="9">
        <f>Penalty_Trieshartries</f>
        <v>4</v>
      </c>
      <c r="D64" s="17" t="s">
        <v>679</v>
      </c>
      <c r="E64" s="17" t="s">
        <v>251</v>
      </c>
      <c r="F64" s="19">
        <f>Hoggexepts</f>
        <v>25</v>
      </c>
      <c r="G64" s="30" t="s">
        <v>484</v>
      </c>
      <c r="H64" s="30" t="s">
        <v>221</v>
      </c>
      <c r="I64" s="413" t="str">
        <f>vanbredaworgls</f>
        <v>-</v>
      </c>
      <c r="J64" s="414" t="str">
        <f>vanbredaworatt</f>
        <v>-</v>
      </c>
      <c r="K64" s="31">
        <v>0</v>
      </c>
    </row>
    <row r="65" spans="1:9" ht="15" customHeight="1" thickBot="1" x14ac:dyDescent="0.3">
      <c r="A65" s="74" t="s">
        <v>269</v>
      </c>
      <c r="B65" s="74" t="s">
        <v>260</v>
      </c>
      <c r="C65" s="9">
        <f>Noakeslitries</f>
        <v>4</v>
      </c>
      <c r="D65" s="2" t="s">
        <v>398</v>
      </c>
      <c r="E65" s="2" t="s">
        <v>221</v>
      </c>
      <c r="F65" s="19">
        <f>Humphreysworpts</f>
        <v>25</v>
      </c>
      <c r="G65" s="136" t="s">
        <v>996</v>
      </c>
      <c r="H65" s="158"/>
      <c r="I65" s="41"/>
    </row>
    <row r="66" spans="1:9" ht="15" customHeight="1" thickBot="1" x14ac:dyDescent="0.3">
      <c r="A66" s="10" t="s">
        <v>445</v>
      </c>
      <c r="B66" s="10" t="s">
        <v>260</v>
      </c>
      <c r="C66" s="9">
        <f>Palamobristries</f>
        <v>4</v>
      </c>
      <c r="D66" s="17" t="s">
        <v>226</v>
      </c>
      <c r="E66" s="17" t="s">
        <v>223</v>
      </c>
      <c r="F66" s="19">
        <f>Mercerbatpts</f>
        <v>25</v>
      </c>
    </row>
    <row r="67" spans="1:9" ht="15" customHeight="1" thickBot="1" x14ac:dyDescent="0.3">
      <c r="A67" s="74" t="s">
        <v>449</v>
      </c>
      <c r="B67" s="74" t="s">
        <v>222</v>
      </c>
      <c r="C67" s="9">
        <f>Readsaltries</f>
        <v>4</v>
      </c>
      <c r="D67" s="2" t="s">
        <v>1047</v>
      </c>
      <c r="E67" s="2" t="s">
        <v>253</v>
      </c>
      <c r="F67" s="19">
        <f>Montoyaleicpts</f>
        <v>25</v>
      </c>
    </row>
    <row r="68" spans="1:9" ht="15" customHeight="1" thickBot="1" x14ac:dyDescent="0.3">
      <c r="A68" s="74" t="s">
        <v>918</v>
      </c>
      <c r="B68" s="74" t="s">
        <v>892</v>
      </c>
      <c r="C68" s="9">
        <f>Kpokusartries</f>
        <v>4</v>
      </c>
      <c r="D68" s="2" t="s">
        <v>431</v>
      </c>
      <c r="E68" s="2" t="s">
        <v>260</v>
      </c>
      <c r="F68" s="19">
        <f>McNallylirpts</f>
        <v>25</v>
      </c>
    </row>
    <row r="69" spans="1:9" ht="15" customHeight="1" thickBot="1" x14ac:dyDescent="0.3">
      <c r="A69" s="10" t="s">
        <v>460</v>
      </c>
      <c r="B69" s="74" t="s">
        <v>252</v>
      </c>
      <c r="C69" s="400">
        <f>Shieldswastries</f>
        <v>4</v>
      </c>
      <c r="D69" s="2" t="s">
        <v>714</v>
      </c>
      <c r="E69" s="2" t="s">
        <v>250</v>
      </c>
      <c r="F69" s="19">
        <f>Northmoreharpts</f>
        <v>25</v>
      </c>
    </row>
    <row r="70" spans="1:9" ht="15" customHeight="1" thickBot="1" x14ac:dyDescent="0.3">
      <c r="A70" s="74" t="s">
        <v>973</v>
      </c>
      <c r="B70" s="74" t="s">
        <v>892</v>
      </c>
      <c r="C70" s="9">
        <f>Kruisgeorgetries</f>
        <v>4</v>
      </c>
      <c r="D70" s="2" t="s">
        <v>738</v>
      </c>
      <c r="E70" s="2" t="s">
        <v>260</v>
      </c>
      <c r="F70" s="19">
        <f>Radradrabripts</f>
        <v>25</v>
      </c>
    </row>
    <row r="71" spans="1:9" ht="15" customHeight="1" thickBot="1" x14ac:dyDescent="0.3">
      <c r="A71" s="74" t="s">
        <v>482</v>
      </c>
      <c r="B71" s="74" t="s">
        <v>260</v>
      </c>
      <c r="C71" s="9">
        <f>UrenBRITRIES</f>
        <v>4</v>
      </c>
      <c r="D71" s="2" t="s">
        <v>616</v>
      </c>
      <c r="E71" s="2" t="s">
        <v>220</v>
      </c>
      <c r="F71" s="19">
        <f>Rees_Zammitglopts</f>
        <v>25</v>
      </c>
    </row>
    <row r="72" spans="1:9" ht="15" customHeight="1" thickBot="1" x14ac:dyDescent="0.3">
      <c r="A72" s="74" t="s">
        <v>656</v>
      </c>
      <c r="B72" s="74" t="s">
        <v>222</v>
      </c>
      <c r="C72" s="9">
        <f>Van_der_Merwe_Asaltries</f>
        <v>4</v>
      </c>
      <c r="D72" s="2" t="s">
        <v>475</v>
      </c>
      <c r="E72" s="2" t="s">
        <v>251</v>
      </c>
      <c r="F72" s="19">
        <f>Townsendexepts</f>
        <v>25</v>
      </c>
    </row>
    <row r="73" spans="1:9" ht="15" customHeight="1" thickBot="1" x14ac:dyDescent="0.3">
      <c r="A73" s="74" t="s">
        <v>235</v>
      </c>
      <c r="B73" s="74" t="s">
        <v>253</v>
      </c>
      <c r="C73" s="9">
        <f>youngstomtries</f>
        <v>4</v>
      </c>
      <c r="D73" s="2" t="s">
        <v>720</v>
      </c>
      <c r="E73" s="2" t="s">
        <v>577</v>
      </c>
      <c r="F73" s="19">
        <f>Robinsonnewpts</f>
        <v>25</v>
      </c>
    </row>
    <row r="74" spans="1:9" ht="15" customHeight="1" thickBot="1" x14ac:dyDescent="0.3">
      <c r="A74" s="74" t="s">
        <v>531</v>
      </c>
      <c r="B74" s="74" t="s">
        <v>220</v>
      </c>
      <c r="C74" s="9">
        <f>Chapmanglotries</f>
        <v>3</v>
      </c>
      <c r="D74" s="2" t="s">
        <v>625</v>
      </c>
      <c r="E74" s="2" t="s">
        <v>251</v>
      </c>
      <c r="F74" s="19">
        <f>van_der_Sluysexepts</f>
        <v>25</v>
      </c>
    </row>
    <row r="75" spans="1:9" ht="15" customHeight="1" thickBot="1" x14ac:dyDescent="0.3">
      <c r="A75" s="74" t="s">
        <v>898</v>
      </c>
      <c r="B75" s="74" t="s">
        <v>892</v>
      </c>
      <c r="C75" s="9">
        <f>Burgerjacquestries</f>
        <v>3</v>
      </c>
      <c r="D75" s="2" t="s">
        <v>538</v>
      </c>
      <c r="E75" s="2" t="s">
        <v>260</v>
      </c>
      <c r="F75" s="19">
        <f>Edenbripts</f>
        <v>24</v>
      </c>
    </row>
    <row r="76" spans="1:9" ht="15" customHeight="1" thickBot="1" x14ac:dyDescent="0.3">
      <c r="A76" s="74" t="s">
        <v>975</v>
      </c>
      <c r="B76" s="74" t="s">
        <v>253</v>
      </c>
      <c r="C76" s="9">
        <f>Blommetjiesleictries</f>
        <v>3</v>
      </c>
      <c r="D76" s="2" t="s">
        <v>534</v>
      </c>
      <c r="E76" s="2" t="s">
        <v>251</v>
      </c>
      <c r="F76" s="19">
        <f>Skinner_Hexepts</f>
        <v>22</v>
      </c>
    </row>
    <row r="77" spans="1:9" ht="15" customHeight="1" thickBot="1" x14ac:dyDescent="0.3">
      <c r="A77" s="74" t="s">
        <v>563</v>
      </c>
      <c r="B77" s="74" t="s">
        <v>221</v>
      </c>
      <c r="C77" s="9">
        <f>Davidwortries</f>
        <v>3</v>
      </c>
      <c r="D77" s="2" t="s">
        <v>227</v>
      </c>
      <c r="E77" s="2" t="s">
        <v>224</v>
      </c>
      <c r="F77" s="19">
        <f>Penalty_Triessaintspts</f>
        <v>21</v>
      </c>
    </row>
    <row r="78" spans="1:9" ht="15" customHeight="1" thickBot="1" x14ac:dyDescent="0.3">
      <c r="A78" s="74" t="s">
        <v>1066</v>
      </c>
      <c r="B78" s="74" t="s">
        <v>222</v>
      </c>
      <c r="C78" s="9">
        <f>de_Jagersaltries</f>
        <v>3</v>
      </c>
      <c r="D78" s="2" t="s">
        <v>1037</v>
      </c>
      <c r="E78" s="2" t="s">
        <v>224</v>
      </c>
      <c r="F78" s="19">
        <f>Adendorffnorpts</f>
        <v>20</v>
      </c>
    </row>
    <row r="79" spans="1:9" ht="15" customHeight="1" thickBot="1" x14ac:dyDescent="0.3">
      <c r="A79" s="74" t="s">
        <v>1053</v>
      </c>
      <c r="B79" s="74" t="s">
        <v>250</v>
      </c>
      <c r="C79" s="9">
        <f>Esterhuizenhartries</f>
        <v>3</v>
      </c>
      <c r="D79" s="2" t="s">
        <v>341</v>
      </c>
      <c r="E79" s="2" t="s">
        <v>223</v>
      </c>
      <c r="F79" s="19">
        <f>Baylissbthpts</f>
        <v>20</v>
      </c>
    </row>
    <row r="80" spans="1:9" ht="15" customHeight="1" thickBot="1" x14ac:dyDescent="0.3">
      <c r="A80" s="74" t="s">
        <v>1038</v>
      </c>
      <c r="B80" s="74" t="s">
        <v>250</v>
      </c>
      <c r="C80" s="9">
        <f>Evanshartries</f>
        <v>3</v>
      </c>
      <c r="D80" s="2" t="s">
        <v>361</v>
      </c>
      <c r="E80" s="2" t="s">
        <v>252</v>
      </c>
      <c r="F80" s="19">
        <f>Crusewaspts</f>
        <v>20</v>
      </c>
    </row>
    <row r="81" spans="1:6" ht="15" customHeight="1" thickBot="1" x14ac:dyDescent="0.3">
      <c r="A81" s="10" t="s">
        <v>988</v>
      </c>
      <c r="B81" s="10" t="s">
        <v>892</v>
      </c>
      <c r="C81" s="9">
        <f>Farrellowentries</f>
        <v>3</v>
      </c>
      <c r="D81" s="494" t="s">
        <v>362</v>
      </c>
      <c r="E81" s="494" t="s">
        <v>251</v>
      </c>
      <c r="F81" s="19">
        <f>Daviesexepts</f>
        <v>20</v>
      </c>
    </row>
    <row r="82" spans="1:6" ht="15" customHeight="1" thickBot="1" x14ac:dyDescent="0.3">
      <c r="A82" s="74" t="s">
        <v>387</v>
      </c>
      <c r="B82" s="74" t="s">
        <v>220</v>
      </c>
      <c r="C82" s="9">
        <f>Hansonglotries</f>
        <v>3</v>
      </c>
      <c r="D82" s="2" t="s">
        <v>371</v>
      </c>
      <c r="E82" s="2" t="s">
        <v>250</v>
      </c>
      <c r="F82" s="19">
        <f>Earleharpts</f>
        <v>20</v>
      </c>
    </row>
    <row r="83" spans="1:6" ht="15" customHeight="1" thickBot="1" x14ac:dyDescent="0.3">
      <c r="A83" s="74" t="s">
        <v>394</v>
      </c>
      <c r="B83" s="74" t="s">
        <v>221</v>
      </c>
      <c r="C83" s="9">
        <f>Hougaardwortries</f>
        <v>3</v>
      </c>
      <c r="D83" s="17" t="s">
        <v>381</v>
      </c>
      <c r="E83" s="2" t="s">
        <v>252</v>
      </c>
      <c r="F83" s="19">
        <f>Gaskellwaspts</f>
        <v>20</v>
      </c>
    </row>
    <row r="84" spans="1:6" ht="15" customHeight="1" thickBot="1" x14ac:dyDescent="0.3">
      <c r="A84" s="74" t="s">
        <v>397</v>
      </c>
      <c r="B84" s="74" t="s">
        <v>260</v>
      </c>
      <c r="C84" s="9">
        <f>Hughesbritries</f>
        <v>3</v>
      </c>
      <c r="D84" s="2" t="s">
        <v>382</v>
      </c>
      <c r="E84" s="2" t="s">
        <v>253</v>
      </c>
      <c r="F84" s="19">
        <f>Bowdendanpts</f>
        <v>20</v>
      </c>
    </row>
    <row r="85" spans="1:6" ht="15" customHeight="1" thickBot="1" x14ac:dyDescent="0.3">
      <c r="A85" s="74" t="s">
        <v>1004</v>
      </c>
      <c r="B85" s="74" t="s">
        <v>224</v>
      </c>
      <c r="C85" s="9">
        <f>Jamesnortries</f>
        <v>3</v>
      </c>
      <c r="D85" s="2" t="s">
        <v>771</v>
      </c>
      <c r="E85" s="2" t="s">
        <v>251</v>
      </c>
      <c r="F85" s="19">
        <f>Grayexepts</f>
        <v>20</v>
      </c>
    </row>
    <row r="86" spans="1:6" ht="15" customHeight="1" thickBot="1" x14ac:dyDescent="0.3">
      <c r="A86" s="10" t="s">
        <v>637</v>
      </c>
      <c r="B86" s="10" t="s">
        <v>250</v>
      </c>
      <c r="C86" s="9">
        <f>Landajohartries</f>
        <v>3</v>
      </c>
      <c r="D86" s="2" t="s">
        <v>609</v>
      </c>
      <c r="E86" s="2" t="s">
        <v>222</v>
      </c>
      <c r="F86" s="19">
        <f>Hammersleysalpts</f>
        <v>20</v>
      </c>
    </row>
    <row r="87" spans="1:6" ht="15" customHeight="1" thickBot="1" x14ac:dyDescent="0.3">
      <c r="A87" s="74" t="s">
        <v>705</v>
      </c>
      <c r="B87" s="74" t="s">
        <v>250</v>
      </c>
      <c r="C87" s="9">
        <f>Marfohartries</f>
        <v>3</v>
      </c>
      <c r="D87" s="2" t="s">
        <v>521</v>
      </c>
      <c r="E87" s="2" t="s">
        <v>222</v>
      </c>
      <c r="F87" s="19">
        <f>Jansevanrensburgsalpts</f>
        <v>20</v>
      </c>
    </row>
    <row r="88" spans="1:6" ht="15" customHeight="1" thickBot="1" x14ac:dyDescent="0.3">
      <c r="A88" s="10" t="s">
        <v>765</v>
      </c>
      <c r="B88" s="10" t="s">
        <v>253</v>
      </c>
      <c r="C88" s="9">
        <f>Liebenbergleictries</f>
        <v>3</v>
      </c>
      <c r="D88" s="2" t="s">
        <v>408</v>
      </c>
      <c r="E88" s="2" t="s">
        <v>222</v>
      </c>
      <c r="F88" s="19">
        <f>Langdonsalpts</f>
        <v>20</v>
      </c>
    </row>
    <row r="89" spans="1:6" ht="15" customHeight="1" thickBot="1" x14ac:dyDescent="0.3">
      <c r="A89" s="74" t="s">
        <v>1042</v>
      </c>
      <c r="B89" s="74" t="s">
        <v>224</v>
      </c>
      <c r="C89" s="9">
        <f>Matthewsnortries</f>
        <v>3</v>
      </c>
      <c r="D89" s="2" t="s">
        <v>724</v>
      </c>
      <c r="E89" s="2" t="s">
        <v>223</v>
      </c>
      <c r="F89" s="19">
        <f>McNallybthpts</f>
        <v>20</v>
      </c>
    </row>
    <row r="90" spans="1:6" ht="15" customHeight="1" thickBot="1" x14ac:dyDescent="0.3">
      <c r="A90" s="74" t="s">
        <v>800</v>
      </c>
      <c r="B90" s="74" t="s">
        <v>577</v>
      </c>
      <c r="C90" s="9">
        <f>Kibirigezachtries</f>
        <v>3</v>
      </c>
      <c r="D90" s="2" t="s">
        <v>429</v>
      </c>
      <c r="E90" s="2" t="s">
        <v>224</v>
      </c>
      <c r="F90" s="19">
        <f>Mitchellnorpts</f>
        <v>20</v>
      </c>
    </row>
    <row r="91" spans="1:6" ht="15" customHeight="1" thickBot="1" x14ac:dyDescent="0.3">
      <c r="A91" s="10" t="s">
        <v>785</v>
      </c>
      <c r="B91" s="10" t="s">
        <v>253</v>
      </c>
      <c r="C91" s="9">
        <f>Parlingleitries</f>
        <v>3</v>
      </c>
      <c r="D91" s="2" t="s">
        <v>433</v>
      </c>
      <c r="E91" s="2" t="s">
        <v>224</v>
      </c>
      <c r="F91" s="19">
        <f>Naiyaravoronorpts</f>
        <v>20</v>
      </c>
    </row>
    <row r="92" spans="1:6" ht="15" customHeight="1" thickBot="1" x14ac:dyDescent="0.3">
      <c r="A92" s="74" t="s">
        <v>227</v>
      </c>
      <c r="B92" s="74" t="s">
        <v>224</v>
      </c>
      <c r="C92" s="9">
        <f>Penalty_Triessaintstries</f>
        <v>3</v>
      </c>
      <c r="D92" s="2" t="s">
        <v>796</v>
      </c>
      <c r="E92" s="2" t="s">
        <v>577</v>
      </c>
      <c r="F92" s="19">
        <f>McGuigannewpts</f>
        <v>20</v>
      </c>
    </row>
    <row r="93" spans="1:6" ht="15" customHeight="1" thickBot="1" x14ac:dyDescent="0.3">
      <c r="A93" s="74" t="s">
        <v>668</v>
      </c>
      <c r="B93" s="74" t="s">
        <v>577</v>
      </c>
      <c r="C93" s="9">
        <f>Mulipolanewtries</f>
        <v>3</v>
      </c>
      <c r="D93" s="2" t="s">
        <v>269</v>
      </c>
      <c r="E93" s="2" t="s">
        <v>260</v>
      </c>
      <c r="F93" s="19">
        <f>Noakeslipts</f>
        <v>20</v>
      </c>
    </row>
    <row r="94" spans="1:6" ht="15" customHeight="1" thickBot="1" x14ac:dyDescent="0.3">
      <c r="A94" s="74" t="s">
        <v>448</v>
      </c>
      <c r="B94" s="74" t="s">
        <v>223</v>
      </c>
      <c r="C94" s="9">
        <f>Redpathbthtries</f>
        <v>3</v>
      </c>
      <c r="D94" s="17" t="s">
        <v>445</v>
      </c>
      <c r="E94" s="17" t="s">
        <v>260</v>
      </c>
      <c r="F94" s="19">
        <f>Randallbripts</f>
        <v>20</v>
      </c>
    </row>
    <row r="95" spans="1:6" ht="15" customHeight="1" thickBot="1" x14ac:dyDescent="0.3">
      <c r="A95" s="74" t="s">
        <v>450</v>
      </c>
      <c r="B95" s="74" t="s">
        <v>224</v>
      </c>
      <c r="C95" s="57">
        <f>Ribbansnortries</f>
        <v>3</v>
      </c>
      <c r="D95" s="2" t="s">
        <v>449</v>
      </c>
      <c r="E95" s="2" t="s">
        <v>222</v>
      </c>
      <c r="F95" s="19">
        <f>Readsalpts</f>
        <v>20</v>
      </c>
    </row>
    <row r="96" spans="1:6" ht="15" customHeight="1" thickBot="1" x14ac:dyDescent="0.3">
      <c r="A96" s="74" t="s">
        <v>789</v>
      </c>
      <c r="B96" s="74" t="s">
        <v>253</v>
      </c>
      <c r="C96" s="9">
        <f>Scottleictries</f>
        <v>3</v>
      </c>
      <c r="D96" s="2" t="s">
        <v>918</v>
      </c>
      <c r="E96" s="2" t="s">
        <v>892</v>
      </c>
      <c r="F96" s="19">
        <f>Kpokusarpts</f>
        <v>20</v>
      </c>
    </row>
    <row r="97" spans="1:6" ht="15" customHeight="1" thickBot="1" x14ac:dyDescent="0.3">
      <c r="A97" s="74" t="s">
        <v>461</v>
      </c>
      <c r="B97" s="74" t="s">
        <v>221</v>
      </c>
      <c r="C97" s="9">
        <f>Shillcockwortries</f>
        <v>3</v>
      </c>
      <c r="D97" s="17" t="s">
        <v>460</v>
      </c>
      <c r="E97" s="2" t="s">
        <v>252</v>
      </c>
      <c r="F97" s="20">
        <f>Shieldswaspts</f>
        <v>20</v>
      </c>
    </row>
    <row r="98" spans="1:6" ht="15" customHeight="1" thickBot="1" x14ac:dyDescent="0.3">
      <c r="A98" s="74" t="s">
        <v>247</v>
      </c>
      <c r="B98" s="74" t="s">
        <v>251</v>
      </c>
      <c r="C98" s="9">
        <f>Simmondsexetries</f>
        <v>3</v>
      </c>
      <c r="D98" s="2" t="s">
        <v>973</v>
      </c>
      <c r="E98" s="2" t="s">
        <v>892</v>
      </c>
      <c r="F98" s="19">
        <f>Kruisgeorgepts</f>
        <v>20</v>
      </c>
    </row>
    <row r="99" spans="1:6" ht="15" customHeight="1" thickBot="1" x14ac:dyDescent="0.3">
      <c r="A99" s="74" t="s">
        <v>467</v>
      </c>
      <c r="B99" s="74" t="s">
        <v>251</v>
      </c>
      <c r="C99" s="9">
        <f>Sladeexetries</f>
        <v>3</v>
      </c>
      <c r="D99" s="2" t="s">
        <v>482</v>
      </c>
      <c r="E99" s="2" t="s">
        <v>260</v>
      </c>
      <c r="F99" s="19">
        <f>Sinclairjebbpts</f>
        <v>20</v>
      </c>
    </row>
    <row r="100" spans="1:6" ht="15" customHeight="1" thickBot="1" x14ac:dyDescent="0.3">
      <c r="A100" s="74" t="s">
        <v>468</v>
      </c>
      <c r="B100" s="74" t="s">
        <v>220</v>
      </c>
      <c r="C100" s="9">
        <f>Slaterglotries</f>
        <v>3</v>
      </c>
      <c r="D100" s="2" t="s">
        <v>656</v>
      </c>
      <c r="E100" s="2" t="s">
        <v>222</v>
      </c>
      <c r="F100" s="19">
        <f>Van_der_Merwe_Asalpts</f>
        <v>20</v>
      </c>
    </row>
    <row r="101" spans="1:6" ht="15" customHeight="1" thickBot="1" x14ac:dyDescent="0.3">
      <c r="A101" s="74" t="s">
        <v>322</v>
      </c>
      <c r="B101" s="74" t="s">
        <v>223</v>
      </c>
      <c r="C101" s="9">
        <f>Spencer_Bbthtries</f>
        <v>3</v>
      </c>
      <c r="D101" s="2" t="s">
        <v>235</v>
      </c>
      <c r="E101" s="2" t="s">
        <v>253</v>
      </c>
      <c r="F101" s="19">
        <f>youngstompts</f>
        <v>20</v>
      </c>
    </row>
    <row r="102" spans="1:6" ht="15" customHeight="1" thickBot="1" x14ac:dyDescent="0.3">
      <c r="A102" s="74" t="s">
        <v>481</v>
      </c>
      <c r="B102" s="74" t="s">
        <v>223</v>
      </c>
      <c r="C102" s="9">
        <f>Underhillbthtries</f>
        <v>3</v>
      </c>
      <c r="D102" s="2" t="s">
        <v>536</v>
      </c>
      <c r="E102" s="2" t="s">
        <v>260</v>
      </c>
      <c r="F102" s="19">
        <f>Bedlowbripts</f>
        <v>19</v>
      </c>
    </row>
    <row r="103" spans="1:6" ht="15" customHeight="1" thickBot="1" x14ac:dyDescent="0.3">
      <c r="A103" s="74" t="s">
        <v>483</v>
      </c>
      <c r="B103" s="74" t="s">
        <v>252</v>
      </c>
      <c r="C103" s="9">
        <f>Vailanuwastries</f>
        <v>3</v>
      </c>
      <c r="D103" s="2" t="s">
        <v>531</v>
      </c>
      <c r="E103" s="2" t="s">
        <v>220</v>
      </c>
      <c r="F103" s="19">
        <f>Chapmanglopts</f>
        <v>15</v>
      </c>
    </row>
    <row r="104" spans="1:6" ht="15" customHeight="1" thickBot="1" x14ac:dyDescent="0.3">
      <c r="A104" s="74" t="s">
        <v>228</v>
      </c>
      <c r="B104" s="74" t="s">
        <v>223</v>
      </c>
      <c r="C104" s="9">
        <f>Watsonanthonytries</f>
        <v>3</v>
      </c>
      <c r="D104" s="17" t="s">
        <v>898</v>
      </c>
      <c r="E104" s="17" t="s">
        <v>892</v>
      </c>
      <c r="F104" s="18">
        <f>Burgerjacquespts</f>
        <v>15</v>
      </c>
    </row>
    <row r="105" spans="1:6" ht="15" customHeight="1" thickBot="1" x14ac:dyDescent="0.3">
      <c r="A105" s="74" t="s">
        <v>495</v>
      </c>
      <c r="B105" s="74" t="s">
        <v>251</v>
      </c>
      <c r="C105" s="9">
        <f>Whittentries</f>
        <v>3</v>
      </c>
      <c r="D105" s="2" t="s">
        <v>975</v>
      </c>
      <c r="E105" s="2" t="s">
        <v>253</v>
      </c>
      <c r="F105" s="19">
        <f>Blommetjiesleicpts</f>
        <v>15</v>
      </c>
    </row>
    <row r="106" spans="1:6" ht="15" customHeight="1" thickBot="1" x14ac:dyDescent="0.3">
      <c r="A106" s="74" t="s">
        <v>1048</v>
      </c>
      <c r="B106" s="74" t="s">
        <v>253</v>
      </c>
      <c r="C106" s="6">
        <f>Wieseleictries</f>
        <v>3</v>
      </c>
      <c r="D106" s="2" t="s">
        <v>563</v>
      </c>
      <c r="E106" s="2" t="s">
        <v>221</v>
      </c>
      <c r="F106" s="19">
        <f>Davidworpts</f>
        <v>15</v>
      </c>
    </row>
    <row r="107" spans="1:6" ht="15" customHeight="1" thickBot="1" x14ac:dyDescent="0.3">
      <c r="A107" s="74" t="s">
        <v>326</v>
      </c>
      <c r="B107" s="74" t="s">
        <v>252</v>
      </c>
      <c r="C107" s="57">
        <f>Youngwastries</f>
        <v>3</v>
      </c>
      <c r="D107" s="2" t="s">
        <v>1066</v>
      </c>
      <c r="E107" s="2" t="s">
        <v>222</v>
      </c>
      <c r="F107" s="19">
        <f>de_Jagersalpts</f>
        <v>15</v>
      </c>
    </row>
    <row r="108" spans="1:6" ht="15" customHeight="1" thickBot="1" x14ac:dyDescent="0.3">
      <c r="A108" s="74" t="s">
        <v>838</v>
      </c>
      <c r="B108" s="74" t="s">
        <v>260</v>
      </c>
      <c r="C108" s="9">
        <f>Adeolokunbritries</f>
        <v>2</v>
      </c>
      <c r="D108" s="2" t="s">
        <v>1053</v>
      </c>
      <c r="E108" s="2" t="s">
        <v>250</v>
      </c>
      <c r="F108" s="19">
        <f>Esterhuizenharpts</f>
        <v>15</v>
      </c>
    </row>
    <row r="109" spans="1:6" ht="15" customHeight="1" thickBot="1" x14ac:dyDescent="0.3">
      <c r="A109" s="74" t="s">
        <v>794</v>
      </c>
      <c r="B109" s="74" t="s">
        <v>220</v>
      </c>
      <c r="C109" s="57">
        <f>Alemannoglotries</f>
        <v>2</v>
      </c>
      <c r="D109" s="2" t="s">
        <v>1038</v>
      </c>
      <c r="E109" s="2" t="s">
        <v>250</v>
      </c>
      <c r="F109" s="19">
        <f>Evanswharpts</f>
        <v>15</v>
      </c>
    </row>
    <row r="110" spans="1:6" ht="15" customHeight="1" thickBot="1" x14ac:dyDescent="0.3">
      <c r="A110" s="74" t="s">
        <v>332</v>
      </c>
      <c r="B110" s="74" t="s">
        <v>221</v>
      </c>
      <c r="C110" s="9">
        <f>Aholeleiwelshtries</f>
        <v>2</v>
      </c>
      <c r="D110" s="17" t="s">
        <v>988</v>
      </c>
      <c r="E110" s="17" t="s">
        <v>892</v>
      </c>
      <c r="F110" s="19">
        <f>Farrellsarpts</f>
        <v>15</v>
      </c>
    </row>
    <row r="111" spans="1:6" ht="15" customHeight="1" thickBot="1" x14ac:dyDescent="0.3">
      <c r="A111" s="74" t="s">
        <v>1075</v>
      </c>
      <c r="B111" s="74" t="s">
        <v>221</v>
      </c>
      <c r="C111" s="9">
        <f>Batleywortries</f>
        <v>2</v>
      </c>
      <c r="D111" s="2" t="s">
        <v>387</v>
      </c>
      <c r="E111" s="2" t="s">
        <v>220</v>
      </c>
      <c r="F111" s="19">
        <f>Hansonglopts</f>
        <v>15</v>
      </c>
    </row>
    <row r="112" spans="1:6" ht="15" customHeight="1" thickBot="1" x14ac:dyDescent="0.3">
      <c r="A112" s="74" t="s">
        <v>342</v>
      </c>
      <c r="B112" s="74" t="s">
        <v>222</v>
      </c>
      <c r="C112" s="6">
        <f>Beaumontsaltries</f>
        <v>2</v>
      </c>
      <c r="D112" s="2" t="s">
        <v>394</v>
      </c>
      <c r="E112" s="2" t="s">
        <v>221</v>
      </c>
      <c r="F112" s="19">
        <f>Hougaardworpts</f>
        <v>15</v>
      </c>
    </row>
    <row r="113" spans="1:6" ht="15" customHeight="1" thickBot="1" x14ac:dyDescent="0.3">
      <c r="A113" s="74" t="s">
        <v>230</v>
      </c>
      <c r="B113" s="74" t="s">
        <v>250</v>
      </c>
      <c r="C113" s="57">
        <f>Chisholmjameshartries</f>
        <v>2</v>
      </c>
      <c r="D113" s="2" t="s">
        <v>397</v>
      </c>
      <c r="E113" s="2" t="s">
        <v>260</v>
      </c>
      <c r="F113" s="19">
        <f>Hughesbripts</f>
        <v>15</v>
      </c>
    </row>
    <row r="114" spans="1:6" ht="15" customHeight="1" thickBot="1" x14ac:dyDescent="0.3">
      <c r="A114" s="74" t="s">
        <v>358</v>
      </c>
      <c r="B114" s="74" t="s">
        <v>224</v>
      </c>
      <c r="C114" s="9">
        <f>Collinstomtries</f>
        <v>2</v>
      </c>
      <c r="D114" s="2" t="s">
        <v>1004</v>
      </c>
      <c r="E114" s="2" t="s">
        <v>224</v>
      </c>
      <c r="F114" s="19">
        <f>Jamesnorpts</f>
        <v>15</v>
      </c>
    </row>
    <row r="115" spans="1:6" ht="15" customHeight="1" thickBot="1" x14ac:dyDescent="0.3">
      <c r="A115" s="74" t="s">
        <v>793</v>
      </c>
      <c r="B115" s="74" t="s">
        <v>251</v>
      </c>
      <c r="C115" s="9">
        <f>Carrick_Smithexetries</f>
        <v>2</v>
      </c>
      <c r="D115" s="17" t="s">
        <v>637</v>
      </c>
      <c r="E115" s="17" t="s">
        <v>250</v>
      </c>
      <c r="F115" s="19">
        <f>Landajoharpts</f>
        <v>15</v>
      </c>
    </row>
    <row r="116" spans="1:6" ht="15" customHeight="1" thickBot="1" x14ac:dyDescent="0.3">
      <c r="A116" s="10" t="s">
        <v>799</v>
      </c>
      <c r="B116" s="10" t="s">
        <v>577</v>
      </c>
      <c r="C116" s="9">
        <f>Chicknewtries</f>
        <v>2</v>
      </c>
      <c r="D116" s="17" t="s">
        <v>407</v>
      </c>
      <c r="E116" s="17" t="s">
        <v>250</v>
      </c>
      <c r="F116" s="19">
        <f>Langharpts</f>
        <v>15</v>
      </c>
    </row>
    <row r="117" spans="1:6" ht="15" customHeight="1" thickBot="1" x14ac:dyDescent="0.3">
      <c r="A117" s="74" t="s">
        <v>360</v>
      </c>
      <c r="B117" s="74" t="s">
        <v>251</v>
      </c>
      <c r="C117" s="9">
        <f>Cowan_Dickie_Luketries</f>
        <v>2</v>
      </c>
      <c r="D117" s="2" t="s">
        <v>705</v>
      </c>
      <c r="E117" s="2" t="s">
        <v>250</v>
      </c>
      <c r="F117" s="19">
        <f>Marfoharpts</f>
        <v>15</v>
      </c>
    </row>
    <row r="118" spans="1:6" ht="15" customHeight="1" thickBot="1" x14ac:dyDescent="0.3">
      <c r="A118" s="74" t="s">
        <v>865</v>
      </c>
      <c r="B118" s="74" t="s">
        <v>220</v>
      </c>
      <c r="C118" s="9">
        <f>Dentonglotries</f>
        <v>2</v>
      </c>
      <c r="D118" s="19" t="s">
        <v>765</v>
      </c>
      <c r="E118" s="19" t="s">
        <v>253</v>
      </c>
      <c r="F118" s="19">
        <f>Liebenbergleicpts</f>
        <v>15</v>
      </c>
    </row>
    <row r="119" spans="1:6" ht="15" customHeight="1" thickBot="1" x14ac:dyDescent="0.3">
      <c r="A119" s="74" t="s">
        <v>761</v>
      </c>
      <c r="B119" s="74" t="s">
        <v>577</v>
      </c>
      <c r="C119" s="9">
        <f>Collettnewtries</f>
        <v>2</v>
      </c>
      <c r="D119" s="21" t="s">
        <v>1042</v>
      </c>
      <c r="E119" s="21" t="s">
        <v>224</v>
      </c>
      <c r="F119" s="19">
        <f>Matthewsnorpts</f>
        <v>15</v>
      </c>
    </row>
    <row r="120" spans="1:6" ht="15" customHeight="1" thickBot="1" x14ac:dyDescent="0.3">
      <c r="A120" s="8" t="s">
        <v>747</v>
      </c>
      <c r="B120" s="8" t="s">
        <v>223</v>
      </c>
      <c r="C120" s="9">
        <f>Delmasbthtries</f>
        <v>2</v>
      </c>
      <c r="D120" s="21" t="s">
        <v>800</v>
      </c>
      <c r="E120" s="21" t="s">
        <v>577</v>
      </c>
      <c r="F120" s="18">
        <f>Kibirigezachpts</f>
        <v>15</v>
      </c>
    </row>
    <row r="121" spans="1:6" ht="15" customHeight="1" thickBot="1" x14ac:dyDescent="0.3">
      <c r="A121" s="8" t="s">
        <v>364</v>
      </c>
      <c r="B121" s="8" t="s">
        <v>222</v>
      </c>
      <c r="C121" s="9">
        <f>Fearnsaltries</f>
        <v>2</v>
      </c>
      <c r="D121" s="19" t="s">
        <v>785</v>
      </c>
      <c r="E121" s="19" t="s">
        <v>253</v>
      </c>
      <c r="F121" s="19">
        <f>Parlingleipts</f>
        <v>15</v>
      </c>
    </row>
    <row r="122" spans="1:6" ht="15" customHeight="1" thickBot="1" x14ac:dyDescent="0.3">
      <c r="A122" s="8" t="s">
        <v>775</v>
      </c>
      <c r="B122" s="8" t="s">
        <v>577</v>
      </c>
      <c r="C122" s="9">
        <f>Donnelllirtries</f>
        <v>2</v>
      </c>
      <c r="D122" s="21" t="s">
        <v>668</v>
      </c>
      <c r="E122" s="21" t="s">
        <v>577</v>
      </c>
      <c r="F122" s="19">
        <f>Mulipolanewpts</f>
        <v>15</v>
      </c>
    </row>
    <row r="123" spans="1:6" ht="15" customHeight="1" thickBot="1" x14ac:dyDescent="0.3">
      <c r="A123" s="9" t="s">
        <v>551</v>
      </c>
      <c r="B123" s="8" t="s">
        <v>222</v>
      </c>
      <c r="C123" s="9">
        <f>du_Preez_J_Lsaltries</f>
        <v>2</v>
      </c>
      <c r="D123" s="21" t="s">
        <v>448</v>
      </c>
      <c r="E123" s="21" t="s">
        <v>223</v>
      </c>
      <c r="F123" s="19">
        <f>Redpathbthpts</f>
        <v>15</v>
      </c>
    </row>
    <row r="124" spans="1:6" ht="15" customHeight="1" thickBot="1" x14ac:dyDescent="0.3">
      <c r="A124" s="8" t="s">
        <v>541</v>
      </c>
      <c r="B124" s="8" t="s">
        <v>222</v>
      </c>
      <c r="C124" s="9">
        <f>du_Preez_Rsaltries</f>
        <v>2</v>
      </c>
      <c r="D124" s="21" t="s">
        <v>450</v>
      </c>
      <c r="E124" s="21" t="s">
        <v>224</v>
      </c>
      <c r="F124" s="19">
        <f>Ribbansnorpts</f>
        <v>15</v>
      </c>
    </row>
    <row r="125" spans="1:6" ht="15" customHeight="1" thickBot="1" x14ac:dyDescent="0.3">
      <c r="A125" s="8" t="s">
        <v>261</v>
      </c>
      <c r="B125" s="8" t="s">
        <v>223</v>
      </c>
      <c r="C125" s="9">
        <f>Faletaubthtries</f>
        <v>2</v>
      </c>
      <c r="D125" s="21" t="s">
        <v>789</v>
      </c>
      <c r="E125" s="21" t="s">
        <v>253</v>
      </c>
      <c r="F125" s="19">
        <f>Scottleicpts</f>
        <v>15</v>
      </c>
    </row>
    <row r="126" spans="1:6" ht="15" customHeight="1" thickBot="1" x14ac:dyDescent="0.3">
      <c r="A126" s="8" t="s">
        <v>707</v>
      </c>
      <c r="B126" s="8" t="s">
        <v>252</v>
      </c>
      <c r="C126" s="9">
        <f>Eastgatewastries</f>
        <v>2</v>
      </c>
      <c r="D126" s="21" t="s">
        <v>467</v>
      </c>
      <c r="E126" s="21" t="s">
        <v>251</v>
      </c>
      <c r="F126" s="19">
        <f>Sladeexepts</f>
        <v>15</v>
      </c>
    </row>
    <row r="127" spans="1:6" ht="15" customHeight="1" thickBot="1" x14ac:dyDescent="0.3">
      <c r="A127" s="8" t="s">
        <v>380</v>
      </c>
      <c r="B127" s="8" t="s">
        <v>224</v>
      </c>
      <c r="C127" s="9">
        <f>Furbanknortriescorrect</f>
        <v>2</v>
      </c>
      <c r="D127" s="21" t="s">
        <v>468</v>
      </c>
      <c r="E127" s="21" t="s">
        <v>220</v>
      </c>
      <c r="F127" s="19">
        <f>Slaterglopts</f>
        <v>15</v>
      </c>
    </row>
    <row r="128" spans="1:6" ht="15" customHeight="1" thickBot="1" x14ac:dyDescent="0.3">
      <c r="A128" s="8" t="s">
        <v>994</v>
      </c>
      <c r="B128" s="8" t="s">
        <v>892</v>
      </c>
      <c r="C128" s="9">
        <f>Fusernewtries</f>
        <v>2</v>
      </c>
      <c r="D128" s="21" t="s">
        <v>481</v>
      </c>
      <c r="E128" s="21" t="s">
        <v>223</v>
      </c>
      <c r="F128" s="19">
        <f>Underhillbthpts</f>
        <v>15</v>
      </c>
    </row>
    <row r="129" spans="1:17" ht="15" customHeight="1" thickBot="1" x14ac:dyDescent="0.3">
      <c r="A129" s="8" t="s">
        <v>388</v>
      </c>
      <c r="B129" s="8" t="s">
        <v>224</v>
      </c>
      <c r="C129" s="9">
        <f>Haywoodmiketries</f>
        <v>2</v>
      </c>
      <c r="D129" s="21" t="s">
        <v>483</v>
      </c>
      <c r="E129" s="21" t="s">
        <v>252</v>
      </c>
      <c r="F129" s="19">
        <f>Vailanuwaspts</f>
        <v>15</v>
      </c>
    </row>
    <row r="130" spans="1:17" ht="15" customHeight="1" thickBot="1" x14ac:dyDescent="0.3">
      <c r="A130" s="8" t="s">
        <v>390</v>
      </c>
      <c r="B130" s="8" t="s">
        <v>260</v>
      </c>
      <c r="C130" s="9">
        <f>Fowlietomtries</f>
        <v>2</v>
      </c>
      <c r="D130" s="21" t="s">
        <v>228</v>
      </c>
      <c r="E130" s="21" t="s">
        <v>223</v>
      </c>
      <c r="F130" s="20">
        <f>Watsonanthonypts</f>
        <v>15</v>
      </c>
      <c r="O130" s="345"/>
      <c r="P130" s="345"/>
      <c r="Q130" s="345"/>
    </row>
    <row r="131" spans="1:17" ht="15" customHeight="1" thickBot="1" x14ac:dyDescent="0.3">
      <c r="A131" s="9" t="s">
        <v>757</v>
      </c>
      <c r="B131" s="9" t="s">
        <v>253</v>
      </c>
      <c r="C131" s="9">
        <f>Harrisonsamtries</f>
        <v>2</v>
      </c>
      <c r="D131" s="21" t="s">
        <v>495</v>
      </c>
      <c r="E131" s="21" t="s">
        <v>251</v>
      </c>
      <c r="F131" s="19">
        <f>Whittenpts</f>
        <v>15</v>
      </c>
    </row>
    <row r="132" spans="1:17" ht="15" customHeight="1" thickBot="1" x14ac:dyDescent="0.3">
      <c r="A132" s="8" t="s">
        <v>246</v>
      </c>
      <c r="B132" s="8" t="s">
        <v>251</v>
      </c>
      <c r="C132" s="9">
        <f>Hill_Jexetries</f>
        <v>2</v>
      </c>
      <c r="D132" s="21" t="s">
        <v>1048</v>
      </c>
      <c r="E132" s="21" t="s">
        <v>253</v>
      </c>
      <c r="F132" s="19">
        <f>Wieseleicpts</f>
        <v>15</v>
      </c>
    </row>
    <row r="133" spans="1:17" ht="15" customHeight="1" thickBot="1" x14ac:dyDescent="0.3">
      <c r="A133" s="9" t="s">
        <v>516</v>
      </c>
      <c r="B133" s="9" t="s">
        <v>221</v>
      </c>
      <c r="C133" s="9">
        <f>Hillwortries</f>
        <v>2</v>
      </c>
      <c r="D133" s="21" t="s">
        <v>326</v>
      </c>
      <c r="E133" s="21" t="s">
        <v>252</v>
      </c>
      <c r="F133" s="20">
        <f>Youngwaspts</f>
        <v>15</v>
      </c>
    </row>
    <row r="134" spans="1:17" ht="15" customHeight="1" thickBot="1" x14ac:dyDescent="0.3">
      <c r="A134" s="8" t="s">
        <v>395</v>
      </c>
      <c r="B134" s="8" t="s">
        <v>221</v>
      </c>
      <c r="C134" s="57">
        <f>Howewortries</f>
        <v>2</v>
      </c>
      <c r="D134" s="21" t="s">
        <v>979</v>
      </c>
      <c r="E134" s="21" t="s">
        <v>253</v>
      </c>
      <c r="F134" s="19">
        <f>Diaz_Bonilla_Jleicpts</f>
        <v>14</v>
      </c>
    </row>
    <row r="135" spans="1:17" ht="15" customHeight="1" thickBot="1" x14ac:dyDescent="0.3">
      <c r="A135" s="8" t="s">
        <v>983</v>
      </c>
      <c r="B135" s="8" t="s">
        <v>224</v>
      </c>
      <c r="C135" s="9">
        <f>Isiekwenortries</f>
        <v>2</v>
      </c>
      <c r="D135" s="21" t="s">
        <v>227</v>
      </c>
      <c r="E135" s="21" t="s">
        <v>221</v>
      </c>
      <c r="F135" s="19">
        <f>Penalty_Triesworpts</f>
        <v>14</v>
      </c>
    </row>
    <row r="136" spans="1:17" ht="15" customHeight="1" thickBot="1" x14ac:dyDescent="0.3">
      <c r="A136" s="8" t="s">
        <v>1091</v>
      </c>
      <c r="B136" s="8" t="s">
        <v>250</v>
      </c>
      <c r="C136" s="9">
        <f>Kenninghamhartries</f>
        <v>2</v>
      </c>
      <c r="D136" s="19" t="s">
        <v>621</v>
      </c>
      <c r="E136" s="19" t="s">
        <v>250</v>
      </c>
      <c r="F136" s="19">
        <f>Herronharpts</f>
        <v>13</v>
      </c>
    </row>
    <row r="137" spans="1:17" ht="15" customHeight="1" thickBot="1" x14ac:dyDescent="0.3">
      <c r="A137" s="9" t="s">
        <v>407</v>
      </c>
      <c r="B137" s="9" t="s">
        <v>250</v>
      </c>
      <c r="C137" s="9">
        <f>Langhartries</f>
        <v>2</v>
      </c>
      <c r="D137" s="21" t="s">
        <v>1072</v>
      </c>
      <c r="E137" s="21" t="s">
        <v>223</v>
      </c>
      <c r="F137" s="19">
        <f>Baileybthpts</f>
        <v>11</v>
      </c>
    </row>
    <row r="138" spans="1:17" ht="15" customHeight="1" thickBot="1" x14ac:dyDescent="0.3">
      <c r="A138" s="8" t="s">
        <v>1078</v>
      </c>
      <c r="B138" s="8" t="s">
        <v>253</v>
      </c>
      <c r="C138" s="9">
        <f>Lavaninileictries</f>
        <v>2</v>
      </c>
      <c r="D138" s="21" t="s">
        <v>838</v>
      </c>
      <c r="E138" s="21" t="s">
        <v>260</v>
      </c>
      <c r="F138" s="19">
        <f>Adeolokunbripts</f>
        <v>10</v>
      </c>
    </row>
    <row r="139" spans="1:17" ht="15" customHeight="1" thickBot="1" x14ac:dyDescent="0.3">
      <c r="A139" s="8" t="s">
        <v>414</v>
      </c>
      <c r="B139" s="8" t="s">
        <v>252</v>
      </c>
      <c r="C139" s="9">
        <f>Le_Bourgeoiswastries</f>
        <v>2</v>
      </c>
      <c r="D139" s="21" t="s">
        <v>794</v>
      </c>
      <c r="E139" s="21" t="s">
        <v>220</v>
      </c>
      <c r="F139" s="19">
        <f>Alemannoglopts</f>
        <v>10</v>
      </c>
    </row>
    <row r="140" spans="1:17" ht="15" customHeight="1" thickBot="1" x14ac:dyDescent="0.3">
      <c r="A140" s="8" t="s">
        <v>879</v>
      </c>
      <c r="B140" s="8" t="s">
        <v>250</v>
      </c>
      <c r="C140" s="9">
        <f>McNultyhartries</f>
        <v>2</v>
      </c>
      <c r="D140" s="21" t="s">
        <v>332</v>
      </c>
      <c r="E140" s="21" t="s">
        <v>221</v>
      </c>
      <c r="F140" s="19">
        <f>Aholeleiwelshpts</f>
        <v>10</v>
      </c>
    </row>
    <row r="141" spans="1:17" ht="15" customHeight="1" thickBot="1" x14ac:dyDescent="0.3">
      <c r="A141" s="8" t="s">
        <v>417</v>
      </c>
      <c r="B141" s="8" t="s">
        <v>224</v>
      </c>
      <c r="C141" s="9">
        <f>Ludlamnortries</f>
        <v>2</v>
      </c>
      <c r="D141" s="21" t="s">
        <v>1002</v>
      </c>
      <c r="E141" s="21" t="s">
        <v>252</v>
      </c>
      <c r="F141" s="19">
        <f>Atkinsonwaspts</f>
        <v>10</v>
      </c>
    </row>
    <row r="142" spans="1:17" ht="15" customHeight="1" thickBot="1" x14ac:dyDescent="0.3">
      <c r="A142" s="8" t="s">
        <v>419</v>
      </c>
      <c r="B142" s="8" t="s">
        <v>222</v>
      </c>
      <c r="C142" s="9">
        <f>MacKenziephiltries</f>
        <v>2</v>
      </c>
      <c r="D142" s="19" t="s">
        <v>1075</v>
      </c>
      <c r="E142" s="19" t="s">
        <v>221</v>
      </c>
      <c r="F142" s="19">
        <f>Batleyworpts</f>
        <v>10</v>
      </c>
    </row>
    <row r="143" spans="1:17" ht="15" customHeight="1" thickBot="1" x14ac:dyDescent="0.3">
      <c r="A143" s="8" t="s">
        <v>696</v>
      </c>
      <c r="B143" s="8" t="s">
        <v>577</v>
      </c>
      <c r="C143" s="9">
        <f>Mafilirtries</f>
        <v>2</v>
      </c>
      <c r="D143" s="21" t="s">
        <v>342</v>
      </c>
      <c r="E143" s="21" t="s">
        <v>222</v>
      </c>
      <c r="F143" s="19">
        <f>Beaumontsalpts</f>
        <v>10</v>
      </c>
    </row>
    <row r="144" spans="1:17" ht="15" customHeight="1" thickBot="1" x14ac:dyDescent="0.3">
      <c r="A144" s="8" t="s">
        <v>426</v>
      </c>
      <c r="B144" s="8" t="s">
        <v>220</v>
      </c>
      <c r="C144" s="9">
        <f>Maraisglotries</f>
        <v>2</v>
      </c>
      <c r="D144" s="21" t="s">
        <v>230</v>
      </c>
      <c r="E144" s="21" t="s">
        <v>250</v>
      </c>
      <c r="F144" s="19">
        <f>Chisholmjamesharpts</f>
        <v>10</v>
      </c>
    </row>
    <row r="145" spans="1:14" ht="15" customHeight="1" thickBot="1" x14ac:dyDescent="0.3">
      <c r="A145" s="8" t="s">
        <v>428</v>
      </c>
      <c r="B145" s="8" t="s">
        <v>252</v>
      </c>
      <c r="C145" s="9">
        <f>McIntyrewastries</f>
        <v>2</v>
      </c>
      <c r="D145" s="21" t="s">
        <v>358</v>
      </c>
      <c r="E145" s="21" t="s">
        <v>224</v>
      </c>
      <c r="F145" s="19">
        <f>Collinstompts</f>
        <v>10</v>
      </c>
    </row>
    <row r="146" spans="1:14" ht="15" customHeight="1" thickBot="1" x14ac:dyDescent="0.3">
      <c r="A146" s="8" t="s">
        <v>319</v>
      </c>
      <c r="B146" s="8" t="s">
        <v>252</v>
      </c>
      <c r="C146" s="9">
        <f>Millerwastries</f>
        <v>2</v>
      </c>
      <c r="D146" s="21" t="s">
        <v>793</v>
      </c>
      <c r="E146" s="21" t="s">
        <v>251</v>
      </c>
      <c r="F146" s="19">
        <f>Carrick_Smithexepts</f>
        <v>10</v>
      </c>
    </row>
    <row r="147" spans="1:14" ht="15" customHeight="1" thickBot="1" x14ac:dyDescent="0.3">
      <c r="A147" s="8" t="s">
        <v>645</v>
      </c>
      <c r="B147" s="8" t="s">
        <v>221</v>
      </c>
      <c r="C147" s="9">
        <f>Mudarikiwortries</f>
        <v>2</v>
      </c>
      <c r="D147" s="19" t="s">
        <v>799</v>
      </c>
      <c r="E147" s="19" t="s">
        <v>577</v>
      </c>
      <c r="F147" s="19">
        <f>Chicknewpts</f>
        <v>10</v>
      </c>
    </row>
    <row r="148" spans="1:14" ht="15" customHeight="1" thickBot="1" x14ac:dyDescent="0.3">
      <c r="A148" s="8" t="s">
        <v>555</v>
      </c>
      <c r="B148" s="8" t="s">
        <v>250</v>
      </c>
      <c r="C148" s="9">
        <f>Murleyhartries</f>
        <v>2</v>
      </c>
      <c r="D148" s="21" t="s">
        <v>360</v>
      </c>
      <c r="E148" s="21" t="s">
        <v>251</v>
      </c>
      <c r="F148" s="19">
        <f>Cowan_Dickie_Lukepts</f>
        <v>10</v>
      </c>
    </row>
    <row r="149" spans="1:14" ht="15" customHeight="1" thickBot="1" x14ac:dyDescent="0.3">
      <c r="A149" s="8" t="s">
        <v>434</v>
      </c>
      <c r="B149" s="8" t="s">
        <v>222</v>
      </c>
      <c r="C149" s="9">
        <f>Neildsaltries</f>
        <v>2</v>
      </c>
      <c r="D149" s="21" t="s">
        <v>865</v>
      </c>
      <c r="E149" s="21" t="s">
        <v>220</v>
      </c>
      <c r="F149" s="19">
        <f>Dentonglopts</f>
        <v>10</v>
      </c>
    </row>
    <row r="150" spans="1:14" ht="15" customHeight="1" thickBot="1" x14ac:dyDescent="0.3">
      <c r="A150" s="8" t="s">
        <v>436</v>
      </c>
      <c r="B150" s="8" t="s">
        <v>251</v>
      </c>
      <c r="C150" s="9">
        <f>Nowellexetries</f>
        <v>2</v>
      </c>
      <c r="D150" s="21" t="s">
        <v>761</v>
      </c>
      <c r="E150" s="21" t="s">
        <v>577</v>
      </c>
      <c r="F150" s="19">
        <f>Collettnewpts</f>
        <v>10</v>
      </c>
    </row>
    <row r="151" spans="1:14" ht="15" customHeight="1" thickBot="1" x14ac:dyDescent="0.3">
      <c r="A151" s="9" t="s">
        <v>437</v>
      </c>
      <c r="B151" s="9" t="s">
        <v>223</v>
      </c>
      <c r="C151" s="6">
        <f>Obanobthtries</f>
        <v>2</v>
      </c>
      <c r="D151" s="21" t="s">
        <v>747</v>
      </c>
      <c r="E151" s="21" t="s">
        <v>223</v>
      </c>
      <c r="F151" s="19">
        <f>Delmasbthpts</f>
        <v>10</v>
      </c>
      <c r="G151" s="345"/>
      <c r="H151" s="345"/>
      <c r="I151" s="345"/>
      <c r="J151" s="345"/>
      <c r="K151" s="345"/>
    </row>
    <row r="152" spans="1:14" ht="15" customHeight="1" thickBot="1" x14ac:dyDescent="0.3">
      <c r="A152" s="9" t="s">
        <v>687</v>
      </c>
      <c r="B152" s="9" t="s">
        <v>221</v>
      </c>
      <c r="C152" s="9">
        <f>Palframanwortries</f>
        <v>2</v>
      </c>
      <c r="D152" s="21" t="s">
        <v>364</v>
      </c>
      <c r="E152" s="21" t="s">
        <v>222</v>
      </c>
      <c r="F152" s="19">
        <f>Fearnsalpts</f>
        <v>10</v>
      </c>
    </row>
    <row r="153" spans="1:14" ht="15" customHeight="1" thickBot="1" x14ac:dyDescent="0.3">
      <c r="A153" s="8" t="s">
        <v>227</v>
      </c>
      <c r="B153" s="8" t="s">
        <v>221</v>
      </c>
      <c r="C153" s="57">
        <f>Penalty_Trieswortries</f>
        <v>2</v>
      </c>
      <c r="D153" s="21" t="s">
        <v>775</v>
      </c>
      <c r="E153" s="21" t="s">
        <v>577</v>
      </c>
      <c r="F153" s="19">
        <f>Donnelllirpts</f>
        <v>10</v>
      </c>
    </row>
    <row r="154" spans="1:14" ht="15" customHeight="1" thickBot="1" x14ac:dyDescent="0.3">
      <c r="A154" s="9" t="s">
        <v>950</v>
      </c>
      <c r="B154" s="9" t="s">
        <v>892</v>
      </c>
      <c r="C154" s="9">
        <f>Pennytnewtries</f>
        <v>2</v>
      </c>
      <c r="D154" s="19" t="s">
        <v>551</v>
      </c>
      <c r="E154" s="21" t="s">
        <v>222</v>
      </c>
      <c r="F154" s="19">
        <f>du_Preez_J_Lsalpts</f>
        <v>10</v>
      </c>
    </row>
    <row r="155" spans="1:14" ht="15" customHeight="1" thickBot="1" x14ac:dyDescent="0.3">
      <c r="A155" s="8" t="s">
        <v>270</v>
      </c>
      <c r="B155" s="8" t="s">
        <v>260</v>
      </c>
      <c r="C155" s="6">
        <f>Ojotopsytries</f>
        <v>2</v>
      </c>
      <c r="D155" s="21" t="s">
        <v>261</v>
      </c>
      <c r="E155" s="21" t="s">
        <v>223</v>
      </c>
      <c r="F155" s="19">
        <f>Faletaubthpts</f>
        <v>10</v>
      </c>
    </row>
    <row r="156" spans="1:14" ht="15" customHeight="1" thickBot="1" x14ac:dyDescent="0.3">
      <c r="A156" s="8" t="s">
        <v>443</v>
      </c>
      <c r="B156" s="8" t="s">
        <v>223</v>
      </c>
      <c r="C156" s="9">
        <f>Priestlandbthtries</f>
        <v>2</v>
      </c>
      <c r="D156" s="21" t="s">
        <v>707</v>
      </c>
      <c r="E156" s="21" t="s">
        <v>252</v>
      </c>
      <c r="F156" s="19">
        <f>Eastgatewaspts</f>
        <v>10</v>
      </c>
    </row>
    <row r="157" spans="1:14" ht="15" customHeight="1" thickBot="1" x14ac:dyDescent="0.3">
      <c r="A157" s="8" t="s">
        <v>444</v>
      </c>
      <c r="B157" s="8" t="s">
        <v>260</v>
      </c>
      <c r="C157" s="9">
        <f>Purdybritries</f>
        <v>2</v>
      </c>
      <c r="D157" s="21" t="s">
        <v>380</v>
      </c>
      <c r="E157" s="21" t="s">
        <v>224</v>
      </c>
      <c r="F157" s="18">
        <f>Furbanknorptscorrect</f>
        <v>10</v>
      </c>
    </row>
    <row r="158" spans="1:14" ht="15" customHeight="1" thickBot="1" x14ac:dyDescent="0.3">
      <c r="A158" s="8" t="s">
        <v>540</v>
      </c>
      <c r="B158" s="8" t="s">
        <v>253</v>
      </c>
      <c r="C158" s="9">
        <f>Salvijuliantries</f>
        <v>2</v>
      </c>
      <c r="D158" s="21" t="s">
        <v>994</v>
      </c>
      <c r="E158" s="21" t="s">
        <v>892</v>
      </c>
      <c r="F158" s="19">
        <f>Fusernewpts</f>
        <v>10</v>
      </c>
    </row>
    <row r="159" spans="1:14" ht="15" customHeight="1" thickBot="1" x14ac:dyDescent="0.3">
      <c r="A159" s="8" t="s">
        <v>830</v>
      </c>
      <c r="B159" s="8" t="s">
        <v>223</v>
      </c>
      <c r="C159" s="9">
        <f>Robertsbthtries</f>
        <v>2</v>
      </c>
      <c r="D159" s="21" t="s">
        <v>388</v>
      </c>
      <c r="E159" s="21" t="s">
        <v>224</v>
      </c>
      <c r="F159" s="19">
        <f>Haywoodmikepts</f>
        <v>10</v>
      </c>
    </row>
    <row r="160" spans="1:14" ht="15" customHeight="1" thickBot="1" x14ac:dyDescent="0.3">
      <c r="A160" s="8" t="s">
        <v>451</v>
      </c>
      <c r="B160" s="8" t="s">
        <v>252</v>
      </c>
      <c r="C160" s="9">
        <f>Robsonwastries</f>
        <v>2</v>
      </c>
      <c r="D160" s="2" t="s">
        <v>390</v>
      </c>
      <c r="E160" s="2" t="s">
        <v>260</v>
      </c>
      <c r="F160" s="19">
        <f>Fowlielipts</f>
        <v>10</v>
      </c>
      <c r="L160" s="345"/>
      <c r="M160" s="345"/>
      <c r="N160" s="345"/>
    </row>
    <row r="161" spans="1:17" ht="15" customHeight="1" thickBot="1" x14ac:dyDescent="0.3">
      <c r="A161" s="8" t="s">
        <v>1059</v>
      </c>
      <c r="B161" s="8" t="s">
        <v>222</v>
      </c>
      <c r="C161" s="9">
        <f>Roddsaltries</f>
        <v>2</v>
      </c>
      <c r="D161" s="17" t="s">
        <v>757</v>
      </c>
      <c r="E161" s="17" t="s">
        <v>253</v>
      </c>
      <c r="F161" s="19">
        <f>Harrisonsampts</f>
        <v>10</v>
      </c>
    </row>
    <row r="162" spans="1:17" ht="15" customHeight="1" thickBot="1" x14ac:dyDescent="0.3">
      <c r="A162" s="9" t="s">
        <v>453</v>
      </c>
      <c r="B162" s="9" t="s">
        <v>222</v>
      </c>
      <c r="C162" s="9">
        <f>Rosssaltries</f>
        <v>2</v>
      </c>
      <c r="D162" s="2" t="s">
        <v>246</v>
      </c>
      <c r="E162" s="2" t="s">
        <v>251</v>
      </c>
      <c r="F162" s="19">
        <f>Hill_Jexepts</f>
        <v>10</v>
      </c>
    </row>
    <row r="163" spans="1:17" ht="15" customHeight="1" thickBot="1" x14ac:dyDescent="0.3">
      <c r="A163" s="8" t="s">
        <v>464</v>
      </c>
      <c r="B163" s="8" t="s">
        <v>220</v>
      </c>
      <c r="C163" s="9">
        <f>Simpsonglotries</f>
        <v>2</v>
      </c>
      <c r="D163" s="2" t="s">
        <v>516</v>
      </c>
      <c r="E163" s="2" t="s">
        <v>221</v>
      </c>
      <c r="F163" s="17">
        <f>Hillworpts</f>
        <v>10</v>
      </c>
    </row>
    <row r="164" spans="1:17" s="345" customFormat="1" ht="15" customHeight="1" thickBot="1" x14ac:dyDescent="0.3">
      <c r="A164" s="10" t="s">
        <v>989</v>
      </c>
      <c r="B164" s="74" t="s">
        <v>220</v>
      </c>
      <c r="C164" s="9">
        <f>Terryglotries</f>
        <v>2</v>
      </c>
      <c r="D164" s="2" t="s">
        <v>395</v>
      </c>
      <c r="E164" s="2" t="s">
        <v>221</v>
      </c>
      <c r="F164" s="17">
        <f>Howeworpts</f>
        <v>10</v>
      </c>
      <c r="G164"/>
      <c r="H164"/>
      <c r="I164"/>
      <c r="J164"/>
      <c r="K164"/>
      <c r="L164"/>
      <c r="M164"/>
      <c r="N164"/>
      <c r="O164"/>
      <c r="P164"/>
      <c r="Q164"/>
    </row>
    <row r="165" spans="1:17" ht="15" customHeight="1" thickBot="1" x14ac:dyDescent="0.3">
      <c r="A165" s="74" t="s">
        <v>534</v>
      </c>
      <c r="B165" s="74" t="s">
        <v>251</v>
      </c>
      <c r="C165" s="9">
        <f>Skinner_Hexetries</f>
        <v>2</v>
      </c>
      <c r="D165" s="2" t="s">
        <v>983</v>
      </c>
      <c r="E165" s="2" t="s">
        <v>224</v>
      </c>
      <c r="F165" s="16">
        <f>isiekwenorpts</f>
        <v>10</v>
      </c>
    </row>
    <row r="166" spans="1:17" ht="15" customHeight="1" thickBot="1" x14ac:dyDescent="0.3">
      <c r="A166" s="74" t="s">
        <v>741</v>
      </c>
      <c r="B166" s="74" t="s">
        <v>250</v>
      </c>
      <c r="C166" s="9">
        <f>Swainstonhartries</f>
        <v>2</v>
      </c>
      <c r="D166" s="2" t="s">
        <v>1091</v>
      </c>
      <c r="E166" s="2" t="s">
        <v>250</v>
      </c>
      <c r="F166" s="16">
        <f>Kenninghamharpts</f>
        <v>10</v>
      </c>
    </row>
    <row r="167" spans="1:17" ht="15" customHeight="1" thickBot="1" x14ac:dyDescent="0.3">
      <c r="A167" s="74" t="s">
        <v>471</v>
      </c>
      <c r="B167" s="74" t="s">
        <v>223</v>
      </c>
      <c r="C167" s="9">
        <f>Spencerwilltries</f>
        <v>2</v>
      </c>
      <c r="D167" s="2" t="s">
        <v>1078</v>
      </c>
      <c r="E167" s="2" t="s">
        <v>253</v>
      </c>
      <c r="F167" s="16">
        <f>Lavaninileicpts</f>
        <v>10</v>
      </c>
    </row>
    <row r="168" spans="1:17" ht="15" customHeight="1" thickBot="1" x14ac:dyDescent="0.3">
      <c r="A168" s="10" t="s">
        <v>926</v>
      </c>
      <c r="B168" s="10" t="s">
        <v>892</v>
      </c>
      <c r="C168" s="9">
        <f>Lamositelesartries</f>
        <v>2</v>
      </c>
      <c r="D168" s="2" t="s">
        <v>414</v>
      </c>
      <c r="E168" s="2" t="s">
        <v>252</v>
      </c>
      <c r="F168" s="16">
        <f>Le_Bourgeoiswaspts</f>
        <v>10</v>
      </c>
    </row>
    <row r="169" spans="1:17" ht="14.25" customHeight="1" thickBot="1" x14ac:dyDescent="0.3">
      <c r="A169" s="74" t="s">
        <v>325</v>
      </c>
      <c r="B169" s="74" t="s">
        <v>252</v>
      </c>
      <c r="C169" s="9">
        <f>Taylortommywastries</f>
        <v>2</v>
      </c>
      <c r="D169" s="2" t="s">
        <v>879</v>
      </c>
      <c r="E169" s="2" t="s">
        <v>250</v>
      </c>
      <c r="F169" s="16">
        <f>McNultyharpts</f>
        <v>10</v>
      </c>
    </row>
    <row r="170" spans="1:17" ht="15" customHeight="1" thickBot="1" x14ac:dyDescent="0.3">
      <c r="A170" s="74" t="s">
        <v>479</v>
      </c>
      <c r="B170" s="74" t="s">
        <v>220</v>
      </c>
      <c r="C170" s="9">
        <f>Twelvetreesglotries</f>
        <v>2</v>
      </c>
      <c r="D170" s="2" t="s">
        <v>417</v>
      </c>
      <c r="E170" s="2" t="s">
        <v>224</v>
      </c>
      <c r="F170" s="16">
        <f>Ludlamnorpts</f>
        <v>10</v>
      </c>
    </row>
    <row r="171" spans="1:17" ht="15" customHeight="1" thickBot="1" x14ac:dyDescent="0.3">
      <c r="A171" s="10" t="s">
        <v>1056</v>
      </c>
      <c r="B171" s="10" t="s">
        <v>253</v>
      </c>
      <c r="C171" s="9">
        <f>van_Poortvlietleictries</f>
        <v>2</v>
      </c>
      <c r="D171" s="2" t="s">
        <v>696</v>
      </c>
      <c r="E171" s="2" t="s">
        <v>577</v>
      </c>
      <c r="F171" s="16">
        <f>Mafilirpts</f>
        <v>10</v>
      </c>
    </row>
    <row r="172" spans="1:17" ht="15" customHeight="1" thickBot="1" x14ac:dyDescent="0.3">
      <c r="A172" s="74" t="s">
        <v>976</v>
      </c>
      <c r="B172" s="74" t="s">
        <v>253</v>
      </c>
      <c r="C172" s="9">
        <f>van_Wykkobusleictries</f>
        <v>2</v>
      </c>
      <c r="D172" s="2" t="s">
        <v>426</v>
      </c>
      <c r="E172" s="2" t="s">
        <v>220</v>
      </c>
      <c r="F172" s="16">
        <f>Maraisglopts</f>
        <v>10</v>
      </c>
    </row>
    <row r="173" spans="1:17" ht="15" customHeight="1" thickBot="1" x14ac:dyDescent="0.3">
      <c r="A173" s="74" t="s">
        <v>1023</v>
      </c>
      <c r="B173" s="74" t="s">
        <v>220</v>
      </c>
      <c r="C173" s="9">
        <f>VennerGLOTRIES</f>
        <v>2</v>
      </c>
      <c r="D173" s="2" t="s">
        <v>428</v>
      </c>
      <c r="E173" s="2" t="s">
        <v>252</v>
      </c>
      <c r="F173" s="16">
        <f>McIntyresimonpts</f>
        <v>10</v>
      </c>
    </row>
    <row r="174" spans="1:17" ht="15" customHeight="1" thickBot="1" x14ac:dyDescent="0.3">
      <c r="A174" s="74" t="s">
        <v>489</v>
      </c>
      <c r="B174" s="74" t="s">
        <v>221</v>
      </c>
      <c r="C174" s="57">
        <f>Venterwortries</f>
        <v>2</v>
      </c>
      <c r="D174" s="2" t="s">
        <v>319</v>
      </c>
      <c r="E174" s="2" t="s">
        <v>252</v>
      </c>
      <c r="F174" s="16">
        <f>Millerwaspts</f>
        <v>10</v>
      </c>
    </row>
    <row r="175" spans="1:17" ht="15" customHeight="1" thickBot="1" x14ac:dyDescent="0.3">
      <c r="A175" s="10" t="s">
        <v>490</v>
      </c>
      <c r="B175" s="10" t="s">
        <v>260</v>
      </c>
      <c r="C175" s="9">
        <f>Vuibritries</f>
        <v>2</v>
      </c>
      <c r="D175" s="2" t="s">
        <v>645</v>
      </c>
      <c r="E175" s="2" t="s">
        <v>221</v>
      </c>
      <c r="F175" s="16">
        <f>Mudarikiworpts</f>
        <v>10</v>
      </c>
    </row>
    <row r="176" spans="1:17" ht="15" customHeight="1" thickBot="1" x14ac:dyDescent="0.3">
      <c r="A176" s="74" t="s">
        <v>998</v>
      </c>
      <c r="B176" s="74" t="s">
        <v>892</v>
      </c>
      <c r="C176" s="9">
        <f>Wacokecokenewtries</f>
        <v>2</v>
      </c>
      <c r="D176" s="2" t="s">
        <v>555</v>
      </c>
      <c r="E176" s="2" t="s">
        <v>250</v>
      </c>
      <c r="F176" s="22">
        <f>Murleyharpts</f>
        <v>10</v>
      </c>
    </row>
    <row r="177" spans="1:6" ht="15" customHeight="1" thickBot="1" x14ac:dyDescent="0.3">
      <c r="A177" s="74" t="s">
        <v>751</v>
      </c>
      <c r="B177" s="74" t="s">
        <v>220</v>
      </c>
      <c r="C177" s="9">
        <f>Visagieglotries</f>
        <v>2</v>
      </c>
      <c r="D177" s="2" t="s">
        <v>434</v>
      </c>
      <c r="E177" s="2" t="s">
        <v>222</v>
      </c>
      <c r="F177" s="22">
        <f>Neildsalpts</f>
        <v>10</v>
      </c>
    </row>
    <row r="178" spans="1:6" ht="15" customHeight="1" thickBot="1" x14ac:dyDescent="0.3">
      <c r="A178" s="10" t="s">
        <v>527</v>
      </c>
      <c r="B178" s="10" t="s">
        <v>223</v>
      </c>
      <c r="C178" s="9">
        <f>Walkerbthtries</f>
        <v>2</v>
      </c>
      <c r="D178" s="2" t="s">
        <v>436</v>
      </c>
      <c r="E178" s="2" t="s">
        <v>251</v>
      </c>
      <c r="F178" s="22">
        <f>Nowellexepts</f>
        <v>10</v>
      </c>
    </row>
    <row r="179" spans="1:6" ht="15" customHeight="1" thickBot="1" x14ac:dyDescent="0.3">
      <c r="A179" s="74" t="s">
        <v>524</v>
      </c>
      <c r="B179" s="74" t="s">
        <v>253</v>
      </c>
      <c r="C179" s="9">
        <f>Wellsleictries</f>
        <v>2</v>
      </c>
      <c r="D179" s="17" t="s">
        <v>437</v>
      </c>
      <c r="E179" s="17" t="s">
        <v>223</v>
      </c>
      <c r="F179" s="22">
        <f>Obanobthpts</f>
        <v>10</v>
      </c>
    </row>
    <row r="180" spans="1:6" ht="15" customHeight="1" thickBot="1" x14ac:dyDescent="0.3">
      <c r="A180" s="74" t="s">
        <v>494</v>
      </c>
      <c r="B180" s="74" t="s">
        <v>252</v>
      </c>
      <c r="C180" s="9">
        <f>Westwastries</f>
        <v>2</v>
      </c>
      <c r="D180" s="2" t="s">
        <v>687</v>
      </c>
      <c r="E180" s="2" t="s">
        <v>221</v>
      </c>
      <c r="F180" s="22">
        <f>Palframanworpts</f>
        <v>10</v>
      </c>
    </row>
    <row r="181" spans="1:6" ht="15" customHeight="1" thickBot="1" x14ac:dyDescent="0.3">
      <c r="A181" s="74" t="s">
        <v>954</v>
      </c>
      <c r="B181" s="74" t="s">
        <v>222</v>
      </c>
      <c r="C181" s="9">
        <f>Webbersaltries</f>
        <v>2</v>
      </c>
      <c r="D181" s="2" t="s">
        <v>950</v>
      </c>
      <c r="E181" s="2" t="s">
        <v>892</v>
      </c>
      <c r="F181" s="496">
        <f>Pennytnewpts</f>
        <v>10</v>
      </c>
    </row>
    <row r="182" spans="1:6" ht="15" customHeight="1" thickBot="1" x14ac:dyDescent="0.3">
      <c r="A182" s="10" t="s">
        <v>249</v>
      </c>
      <c r="B182" s="10" t="s">
        <v>251</v>
      </c>
      <c r="C182" s="9">
        <f>Williamsexetries</f>
        <v>2</v>
      </c>
      <c r="D182" s="2" t="s">
        <v>270</v>
      </c>
      <c r="E182" s="2" t="s">
        <v>260</v>
      </c>
      <c r="F182" s="23">
        <f>Ojotopsypts</f>
        <v>10</v>
      </c>
    </row>
    <row r="183" spans="1:6" ht="15" customHeight="1" thickBot="1" x14ac:dyDescent="0.3">
      <c r="A183" s="74" t="s">
        <v>503</v>
      </c>
      <c r="B183" s="74" t="s">
        <v>251</v>
      </c>
      <c r="C183" s="9">
        <f>Yeandlejacktries</f>
        <v>2</v>
      </c>
      <c r="D183" s="2" t="s">
        <v>444</v>
      </c>
      <c r="E183" s="2" t="s">
        <v>260</v>
      </c>
      <c r="F183" s="23">
        <f>Purdybripts</f>
        <v>10</v>
      </c>
    </row>
    <row r="184" spans="1:6" ht="15" customHeight="1" thickBot="1" x14ac:dyDescent="0.3">
      <c r="A184" s="74" t="s">
        <v>330</v>
      </c>
      <c r="B184" s="74" t="s">
        <v>220</v>
      </c>
      <c r="C184" s="9">
        <f>Ackermannglotries</f>
        <v>1</v>
      </c>
      <c r="D184" s="2" t="s">
        <v>540</v>
      </c>
      <c r="E184" s="2" t="s">
        <v>253</v>
      </c>
      <c r="F184" s="23">
        <f>Salvijulianpts</f>
        <v>10</v>
      </c>
    </row>
    <row r="185" spans="1:6" ht="15" customHeight="1" thickBot="1" x14ac:dyDescent="0.3">
      <c r="A185" s="74" t="s">
        <v>333</v>
      </c>
      <c r="B185" s="74" t="s">
        <v>251</v>
      </c>
      <c r="C185" s="9">
        <f>Armanddontries</f>
        <v>1</v>
      </c>
      <c r="D185" s="2" t="s">
        <v>830</v>
      </c>
      <c r="E185" s="2" t="s">
        <v>223</v>
      </c>
      <c r="F185" s="23">
        <f>Robertsbthpts</f>
        <v>10</v>
      </c>
    </row>
    <row r="186" spans="1:6" ht="15" customHeight="1" thickBot="1" x14ac:dyDescent="0.3">
      <c r="A186" s="74" t="s">
        <v>546</v>
      </c>
      <c r="B186" s="74" t="s">
        <v>221</v>
      </c>
      <c r="C186" s="9">
        <f>Ashtonwortries</f>
        <v>1</v>
      </c>
      <c r="D186" s="2" t="s">
        <v>451</v>
      </c>
      <c r="E186" s="2" t="s">
        <v>252</v>
      </c>
      <c r="F186" s="23">
        <f>Robsonwaspts</f>
        <v>10</v>
      </c>
    </row>
    <row r="187" spans="1:6" ht="15" customHeight="1" thickBot="1" x14ac:dyDescent="0.3">
      <c r="A187" s="74" t="s">
        <v>1002</v>
      </c>
      <c r="B187" s="74" t="s">
        <v>252</v>
      </c>
      <c r="C187" s="9">
        <f>Atkinsonwastries</f>
        <v>1</v>
      </c>
      <c r="D187" s="2" t="s">
        <v>1059</v>
      </c>
      <c r="E187" s="2" t="s">
        <v>222</v>
      </c>
      <c r="F187" s="23">
        <f>Roddsalpts</f>
        <v>10</v>
      </c>
    </row>
    <row r="188" spans="1:6" ht="15" customHeight="1" thickBot="1" x14ac:dyDescent="0.3">
      <c r="A188" s="74" t="s">
        <v>313</v>
      </c>
      <c r="B188" s="74" t="s">
        <v>220</v>
      </c>
      <c r="C188" s="9">
        <f>Atkinsonglotries</f>
        <v>1</v>
      </c>
      <c r="D188" s="17" t="s">
        <v>453</v>
      </c>
      <c r="E188" s="17" t="s">
        <v>222</v>
      </c>
      <c r="F188" s="495">
        <f>Rosssalpts</f>
        <v>10</v>
      </c>
    </row>
    <row r="189" spans="1:6" ht="15" customHeight="1" thickBot="1" x14ac:dyDescent="0.3">
      <c r="A189" s="74" t="s">
        <v>335</v>
      </c>
      <c r="B189" s="74" t="s">
        <v>260</v>
      </c>
      <c r="C189" s="57">
        <f>Armstrongbritries</f>
        <v>1</v>
      </c>
      <c r="D189" s="2" t="s">
        <v>464</v>
      </c>
      <c r="E189" s="2" t="s">
        <v>220</v>
      </c>
      <c r="F189" s="19">
        <f>Simpsonglopts</f>
        <v>10</v>
      </c>
    </row>
    <row r="190" spans="1:6" ht="15" customHeight="1" thickBot="1" x14ac:dyDescent="0.3">
      <c r="A190" s="74" t="s">
        <v>638</v>
      </c>
      <c r="B190" s="74" t="s">
        <v>250</v>
      </c>
      <c r="C190" s="9">
        <f>Baldwinhartries</f>
        <v>1</v>
      </c>
      <c r="D190" s="2" t="s">
        <v>989</v>
      </c>
      <c r="E190" s="2" t="s">
        <v>220</v>
      </c>
      <c r="F190" s="16">
        <f>Terryglopts</f>
        <v>10</v>
      </c>
    </row>
    <row r="191" spans="1:6" ht="15" customHeight="1" thickBot="1" x14ac:dyDescent="0.3">
      <c r="A191" s="74" t="s">
        <v>337</v>
      </c>
      <c r="B191" s="74" t="s">
        <v>220</v>
      </c>
      <c r="C191" s="9">
        <f>Balmainglotries</f>
        <v>1</v>
      </c>
      <c r="D191" s="2" t="s">
        <v>741</v>
      </c>
      <c r="E191" s="2" t="s">
        <v>250</v>
      </c>
      <c r="F191" s="16">
        <f>Swainstonharpts</f>
        <v>10</v>
      </c>
    </row>
    <row r="192" spans="1:6" ht="15" customHeight="1" thickBot="1" x14ac:dyDescent="0.3">
      <c r="A192" s="74" t="s">
        <v>533</v>
      </c>
      <c r="B192" s="74" t="s">
        <v>252</v>
      </c>
      <c r="C192" s="9">
        <f>Barbearywastrie</f>
        <v>1</v>
      </c>
      <c r="D192" s="2" t="s">
        <v>471</v>
      </c>
      <c r="E192" s="2" t="s">
        <v>223</v>
      </c>
      <c r="F192" s="16">
        <f>Spencerwillpts</f>
        <v>10</v>
      </c>
    </row>
    <row r="193" spans="1:6" ht="15" customHeight="1" thickBot="1" x14ac:dyDescent="0.3">
      <c r="A193" s="74" t="s">
        <v>344</v>
      </c>
      <c r="B193" s="74" t="s">
        <v>224</v>
      </c>
      <c r="C193" s="9">
        <f>Biggarnortries</f>
        <v>1</v>
      </c>
      <c r="D193" s="17" t="s">
        <v>926</v>
      </c>
      <c r="E193" s="17" t="s">
        <v>892</v>
      </c>
      <c r="F193" s="19">
        <f>Lamositelesarpts</f>
        <v>10</v>
      </c>
    </row>
    <row r="194" spans="1:6" ht="15" customHeight="1" thickBot="1" x14ac:dyDescent="0.3">
      <c r="A194" s="12" t="s">
        <v>894</v>
      </c>
      <c r="B194" s="12" t="s">
        <v>892</v>
      </c>
      <c r="C194" s="6">
        <f>Barrittbradtries</f>
        <v>1</v>
      </c>
      <c r="D194" s="2" t="s">
        <v>325</v>
      </c>
      <c r="E194" s="2" t="s">
        <v>252</v>
      </c>
      <c r="F194" s="19">
        <f>Taylortommywaspts</f>
        <v>10</v>
      </c>
    </row>
    <row r="195" spans="1:6" ht="15" customHeight="1" thickBot="1" x14ac:dyDescent="0.3">
      <c r="A195" s="10" t="s">
        <v>1008</v>
      </c>
      <c r="B195" s="10" t="s">
        <v>253</v>
      </c>
      <c r="C195" s="9">
        <f>Batemanleitries</f>
        <v>1</v>
      </c>
      <c r="D195" s="2" t="s">
        <v>1056</v>
      </c>
      <c r="E195" s="2" t="s">
        <v>253</v>
      </c>
      <c r="F195" s="19">
        <f>van_Poortvlietleicpts</f>
        <v>10</v>
      </c>
    </row>
    <row r="196" spans="1:6" ht="15" customHeight="1" thickBot="1" x14ac:dyDescent="0.3">
      <c r="A196" s="10" t="s">
        <v>598</v>
      </c>
      <c r="B196" s="10" t="s">
        <v>577</v>
      </c>
      <c r="C196" s="9">
        <f>Bashamnewtries</f>
        <v>1</v>
      </c>
      <c r="D196" s="2" t="s">
        <v>976</v>
      </c>
      <c r="E196" s="2" t="s">
        <v>253</v>
      </c>
      <c r="F196" s="19">
        <f>van_Wykkobusleicpts</f>
        <v>10</v>
      </c>
    </row>
    <row r="197" spans="1:6" ht="15" customHeight="1" thickBot="1" x14ac:dyDescent="0.3">
      <c r="A197" s="74" t="s">
        <v>651</v>
      </c>
      <c r="B197" s="74" t="s">
        <v>260</v>
      </c>
      <c r="C197" s="9">
        <f>Caponbritries</f>
        <v>1</v>
      </c>
      <c r="D197" s="2" t="s">
        <v>1023</v>
      </c>
      <c r="E197" s="2" t="s">
        <v>220</v>
      </c>
      <c r="F197" s="19">
        <f>VennerGLOPTS</f>
        <v>10</v>
      </c>
    </row>
    <row r="198" spans="1:6" ht="15" customHeight="1" thickBot="1" x14ac:dyDescent="0.3">
      <c r="A198" s="74" t="s">
        <v>543</v>
      </c>
      <c r="B198" s="74" t="s">
        <v>251</v>
      </c>
      <c r="C198" s="9">
        <f>Capstickexetries</f>
        <v>1</v>
      </c>
      <c r="D198" s="2" t="s">
        <v>489</v>
      </c>
      <c r="E198" s="2" t="s">
        <v>221</v>
      </c>
      <c r="F198" s="20">
        <f>Venterworpts</f>
        <v>10</v>
      </c>
    </row>
    <row r="199" spans="1:6" ht="15" customHeight="1" thickBot="1" x14ac:dyDescent="0.3">
      <c r="A199" s="12" t="s">
        <v>1064</v>
      </c>
      <c r="B199" s="12" t="s">
        <v>253</v>
      </c>
      <c r="C199" s="6">
        <f>Chessumleictries</f>
        <v>1</v>
      </c>
      <c r="D199" s="17" t="s">
        <v>490</v>
      </c>
      <c r="E199" s="17" t="s">
        <v>260</v>
      </c>
      <c r="F199" s="19">
        <f>Vuibripts</f>
        <v>10</v>
      </c>
    </row>
    <row r="200" spans="1:6" ht="15" customHeight="1" thickBot="1" x14ac:dyDescent="0.3">
      <c r="A200" s="74" t="s">
        <v>314</v>
      </c>
      <c r="B200" s="74" t="s">
        <v>223</v>
      </c>
      <c r="C200" s="9">
        <f>Clarkbattries</f>
        <v>1</v>
      </c>
      <c r="D200" s="2" t="s">
        <v>998</v>
      </c>
      <c r="E200" s="2" t="s">
        <v>892</v>
      </c>
      <c r="F200" s="19">
        <f>Wacokecokenewpts</f>
        <v>10</v>
      </c>
    </row>
    <row r="201" spans="1:6" ht="15" customHeight="1" thickBot="1" x14ac:dyDescent="0.3">
      <c r="A201" s="74" t="s">
        <v>353</v>
      </c>
      <c r="B201" s="74" t="s">
        <v>220</v>
      </c>
      <c r="C201" s="10">
        <f>Dawidiukglotries</f>
        <v>1</v>
      </c>
      <c r="D201" s="2" t="s">
        <v>751</v>
      </c>
      <c r="E201" s="2" t="s">
        <v>220</v>
      </c>
      <c r="F201" s="19">
        <f>Visagieglopts</f>
        <v>10</v>
      </c>
    </row>
    <row r="202" spans="1:6" ht="15" customHeight="1" thickBot="1" x14ac:dyDescent="0.3">
      <c r="A202" s="74" t="s">
        <v>511</v>
      </c>
      <c r="B202" s="74" t="s">
        <v>221</v>
      </c>
      <c r="C202" s="10">
        <f>Cleggwortries</f>
        <v>1</v>
      </c>
      <c r="D202" s="17" t="s">
        <v>527</v>
      </c>
      <c r="E202" s="17" t="s">
        <v>223</v>
      </c>
      <c r="F202" s="19">
        <f>Walkerbthpts</f>
        <v>10</v>
      </c>
    </row>
    <row r="203" spans="1:6" ht="15" customHeight="1" thickBot="1" x14ac:dyDescent="0.3">
      <c r="A203" s="74" t="s">
        <v>355</v>
      </c>
      <c r="B203" s="74" t="s">
        <v>223</v>
      </c>
      <c r="C203" s="10">
        <f>Cokanasigabthtries</f>
        <v>1</v>
      </c>
      <c r="D203" s="2" t="s">
        <v>524</v>
      </c>
      <c r="E203" s="2" t="s">
        <v>253</v>
      </c>
      <c r="F203" s="20">
        <f>Wellsleicpts</f>
        <v>10</v>
      </c>
    </row>
    <row r="204" spans="1:6" ht="15" customHeight="1" thickBot="1" x14ac:dyDescent="0.3">
      <c r="A204" s="74" t="s">
        <v>1018</v>
      </c>
      <c r="B204" s="74" t="s">
        <v>577</v>
      </c>
      <c r="C204" s="10">
        <f>Cokanasigaplirtries</f>
        <v>1</v>
      </c>
      <c r="D204" s="2" t="s">
        <v>494</v>
      </c>
      <c r="E204" s="2" t="s">
        <v>252</v>
      </c>
      <c r="F204" s="19">
        <f>Westwaspts</f>
        <v>10</v>
      </c>
    </row>
    <row r="205" spans="1:6" ht="15" customHeight="1" thickBot="1" x14ac:dyDescent="0.3">
      <c r="A205" s="8" t="s">
        <v>356</v>
      </c>
      <c r="B205" s="8" t="s">
        <v>253</v>
      </c>
      <c r="C205" s="10">
        <f>Coleleitries</f>
        <v>1</v>
      </c>
      <c r="D205" s="2" t="s">
        <v>954</v>
      </c>
      <c r="E205" s="2" t="s">
        <v>222</v>
      </c>
      <c r="F205" s="19">
        <f>Webbersalpts</f>
        <v>10</v>
      </c>
    </row>
    <row r="206" spans="1:6" ht="15" customHeight="1" thickBot="1" x14ac:dyDescent="0.3">
      <c r="A206" s="8" t="s">
        <v>902</v>
      </c>
      <c r="B206" s="8" t="s">
        <v>892</v>
      </c>
      <c r="C206" s="9">
        <f>Crossdalesartriescorrect</f>
        <v>1</v>
      </c>
      <c r="D206" s="17" t="s">
        <v>249</v>
      </c>
      <c r="E206" s="17" t="s">
        <v>251</v>
      </c>
      <c r="F206" s="20">
        <f>Williamsexepts</f>
        <v>10</v>
      </c>
    </row>
    <row r="207" spans="1:6" ht="15" customHeight="1" thickBot="1" x14ac:dyDescent="0.3">
      <c r="A207" s="8" t="s">
        <v>798</v>
      </c>
      <c r="B207" s="8" t="s">
        <v>577</v>
      </c>
      <c r="C207" s="9">
        <f>Cornishlirtries</f>
        <v>1</v>
      </c>
      <c r="D207" s="21" t="s">
        <v>503</v>
      </c>
      <c r="E207" s="21" t="s">
        <v>251</v>
      </c>
      <c r="F207" s="19">
        <f>Yeandlejackpts</f>
        <v>10</v>
      </c>
    </row>
    <row r="208" spans="1:6" ht="15" customHeight="1" thickBot="1" x14ac:dyDescent="0.3">
      <c r="A208" s="8" t="s">
        <v>1070</v>
      </c>
      <c r="B208" s="8" t="s">
        <v>892</v>
      </c>
      <c r="C208" s="9">
        <f>Crossdalesartries</f>
        <v>1</v>
      </c>
      <c r="D208" s="21" t="s">
        <v>1103</v>
      </c>
      <c r="E208" s="21" t="s">
        <v>250</v>
      </c>
      <c r="F208" s="19">
        <f>Edwardsharpts</f>
        <v>7</v>
      </c>
    </row>
    <row r="209" spans="1:6" ht="15" customHeight="1" thickBot="1" x14ac:dyDescent="0.3">
      <c r="A209" s="8" t="s">
        <v>548</v>
      </c>
      <c r="B209" s="8" t="s">
        <v>224</v>
      </c>
      <c r="C209" s="9">
        <f>Dingwallnortries</f>
        <v>1</v>
      </c>
      <c r="D209" s="19" t="s">
        <v>227</v>
      </c>
      <c r="E209" s="19" t="s">
        <v>251</v>
      </c>
      <c r="F209" s="19">
        <f>Penalty_Triesexepts</f>
        <v>7</v>
      </c>
    </row>
    <row r="210" spans="1:6" ht="15" customHeight="1" thickBot="1" x14ac:dyDescent="0.3">
      <c r="A210" s="8" t="s">
        <v>1094</v>
      </c>
      <c r="B210" s="8" t="s">
        <v>222</v>
      </c>
      <c r="C210" s="9">
        <f>Dohertysaltries</f>
        <v>1</v>
      </c>
      <c r="D210" s="21" t="s">
        <v>227</v>
      </c>
      <c r="E210" s="21" t="s">
        <v>577</v>
      </c>
      <c r="F210" s="19">
        <f>Penalty_Triesnewpts</f>
        <v>7</v>
      </c>
    </row>
    <row r="211" spans="1:6" ht="15" customHeight="1" thickBot="1" x14ac:dyDescent="0.3">
      <c r="A211" s="8" t="s">
        <v>992</v>
      </c>
      <c r="B211" s="8" t="s">
        <v>252</v>
      </c>
      <c r="C211" s="9">
        <f>Douglaswastries</f>
        <v>1</v>
      </c>
      <c r="D211" s="21" t="s">
        <v>227</v>
      </c>
      <c r="E211" s="21" t="s">
        <v>892</v>
      </c>
      <c r="F211" s="19">
        <f>Penalty_Triesnewptscorrect</f>
        <v>7</v>
      </c>
    </row>
    <row r="212" spans="1:6" ht="15" customHeight="1" thickBot="1" x14ac:dyDescent="0.3">
      <c r="A212" s="8" t="s">
        <v>1099</v>
      </c>
      <c r="B212" s="8" t="s">
        <v>222</v>
      </c>
      <c r="C212" s="9">
        <f>du_Preez__JPsaltries</f>
        <v>1</v>
      </c>
      <c r="D212" s="21" t="s">
        <v>227</v>
      </c>
      <c r="E212" s="21" t="s">
        <v>252</v>
      </c>
      <c r="F212" s="19">
        <f>Penalty_Trieswaspts</f>
        <v>7</v>
      </c>
    </row>
    <row r="213" spans="1:6" ht="15" customHeight="1" thickBot="1" x14ac:dyDescent="0.3">
      <c r="A213" s="8" t="s">
        <v>1086</v>
      </c>
      <c r="B213" s="8" t="s">
        <v>223</v>
      </c>
      <c r="C213" s="9">
        <f>du_Toitbthtries</f>
        <v>1</v>
      </c>
      <c r="D213" s="21" t="s">
        <v>227</v>
      </c>
      <c r="E213" s="21" t="s">
        <v>220</v>
      </c>
      <c r="F213" s="19">
        <f>Penalty_Triesglopts</f>
        <v>7</v>
      </c>
    </row>
    <row r="214" spans="1:6" ht="15" customHeight="1" thickBot="1" x14ac:dyDescent="0.3">
      <c r="A214" s="8" t="s">
        <v>1103</v>
      </c>
      <c r="B214" s="8" t="s">
        <v>250</v>
      </c>
      <c r="C214" s="9">
        <f>Edwardshartries</f>
        <v>1</v>
      </c>
      <c r="D214" s="21" t="s">
        <v>227</v>
      </c>
      <c r="E214" s="21" t="s">
        <v>253</v>
      </c>
      <c r="F214" s="18">
        <f>leicspentriespts</f>
        <v>7</v>
      </c>
    </row>
    <row r="215" spans="1:6" ht="15" customHeight="1" thickBot="1" x14ac:dyDescent="0.3">
      <c r="A215" s="9" t="s">
        <v>229</v>
      </c>
      <c r="B215" s="9" t="s">
        <v>220</v>
      </c>
      <c r="C215" s="9">
        <f>Evans_Lglotries</f>
        <v>1</v>
      </c>
      <c r="D215" s="21" t="s">
        <v>330</v>
      </c>
      <c r="E215" s="21" t="s">
        <v>220</v>
      </c>
      <c r="F215" s="19">
        <f>Ackermannglopts</f>
        <v>5</v>
      </c>
    </row>
    <row r="216" spans="1:6" ht="15" customHeight="1" thickBot="1" x14ac:dyDescent="0.3">
      <c r="A216" s="9" t="s">
        <v>938</v>
      </c>
      <c r="B216" s="9" t="s">
        <v>892</v>
      </c>
      <c r="C216" s="9">
        <f>Floodnewtriescorrect</f>
        <v>1</v>
      </c>
      <c r="D216" s="21" t="s">
        <v>333</v>
      </c>
      <c r="E216" s="21" t="s">
        <v>251</v>
      </c>
      <c r="F216" s="19">
        <f>Armanddonpts</f>
        <v>5</v>
      </c>
    </row>
    <row r="217" spans="1:6" ht="15" customHeight="1" thickBot="1" x14ac:dyDescent="0.3">
      <c r="A217" s="9" t="s">
        <v>245</v>
      </c>
      <c r="B217" s="9" t="s">
        <v>251</v>
      </c>
      <c r="C217" s="400">
        <f>Francisexetries</f>
        <v>1</v>
      </c>
      <c r="D217" s="21" t="s">
        <v>546</v>
      </c>
      <c r="E217" s="21" t="s">
        <v>221</v>
      </c>
      <c r="F217" s="19">
        <f>Ashtonworpts</f>
        <v>5</v>
      </c>
    </row>
    <row r="218" spans="1:6" ht="15" customHeight="1" thickBot="1" x14ac:dyDescent="0.3">
      <c r="A218" s="8" t="s">
        <v>1062</v>
      </c>
      <c r="B218" s="8" t="s">
        <v>224</v>
      </c>
      <c r="C218" s="9">
        <f>Freemannortries</f>
        <v>1</v>
      </c>
      <c r="D218" s="21" t="s">
        <v>313</v>
      </c>
      <c r="E218" s="21" t="s">
        <v>220</v>
      </c>
      <c r="F218" s="19">
        <f>Atkinsonglopts</f>
        <v>5</v>
      </c>
    </row>
    <row r="219" spans="1:6" ht="15" customHeight="1" thickBot="1" x14ac:dyDescent="0.3">
      <c r="A219" s="8" t="s">
        <v>985</v>
      </c>
      <c r="B219" s="8" t="s">
        <v>220</v>
      </c>
      <c r="C219" s="9">
        <f>Garveyglotries</f>
        <v>1</v>
      </c>
      <c r="D219" s="21" t="s">
        <v>335</v>
      </c>
      <c r="E219" s="21" t="s">
        <v>260</v>
      </c>
      <c r="F219" s="22">
        <f>Armstrongbripts</f>
        <v>5</v>
      </c>
    </row>
    <row r="220" spans="1:6" ht="15" customHeight="1" thickBot="1" x14ac:dyDescent="0.3">
      <c r="A220" s="8" t="s">
        <v>583</v>
      </c>
      <c r="B220" s="8" t="s">
        <v>577</v>
      </c>
      <c r="C220" s="57">
        <f>Davidsonnewtries</f>
        <v>1</v>
      </c>
      <c r="D220" s="21" t="s">
        <v>638</v>
      </c>
      <c r="E220" s="21" t="s">
        <v>250</v>
      </c>
      <c r="F220" s="19">
        <f>Baldwinharpts</f>
        <v>5</v>
      </c>
    </row>
    <row r="221" spans="1:6" ht="15" customHeight="1" thickBot="1" x14ac:dyDescent="0.3">
      <c r="A221" s="8" t="s">
        <v>771</v>
      </c>
      <c r="B221" s="8" t="s">
        <v>250</v>
      </c>
      <c r="C221" s="9">
        <f>Grayjoehartries</f>
        <v>1</v>
      </c>
      <c r="D221" s="21" t="s">
        <v>337</v>
      </c>
      <c r="E221" s="21" t="s">
        <v>220</v>
      </c>
      <c r="F221" s="19">
        <f>Balmainglopts</f>
        <v>5</v>
      </c>
    </row>
    <row r="222" spans="1:6" ht="15" customHeight="1" thickBot="1" x14ac:dyDescent="0.3">
      <c r="A222" s="8" t="s">
        <v>385</v>
      </c>
      <c r="B222" s="8" t="s">
        <v>224</v>
      </c>
      <c r="C222" s="9">
        <f>Graysonnortries</f>
        <v>1</v>
      </c>
      <c r="D222" s="21" t="s">
        <v>533</v>
      </c>
      <c r="E222" s="21" t="s">
        <v>252</v>
      </c>
      <c r="F222" s="19">
        <f>Barbearywaspts</f>
        <v>5</v>
      </c>
    </row>
    <row r="223" spans="1:6" ht="15" customHeight="1" thickBot="1" x14ac:dyDescent="0.3">
      <c r="A223" s="8" t="s">
        <v>990</v>
      </c>
      <c r="B223" s="8" t="s">
        <v>253</v>
      </c>
      <c r="C223" s="9">
        <f>Hardwickleitries</f>
        <v>1</v>
      </c>
      <c r="D223" s="401" t="s">
        <v>894</v>
      </c>
      <c r="E223" s="401" t="s">
        <v>892</v>
      </c>
      <c r="F223" s="19">
        <f>Barrittbradpts</f>
        <v>5</v>
      </c>
    </row>
    <row r="224" spans="1:6" ht="15" customHeight="1" thickBot="1" x14ac:dyDescent="0.3">
      <c r="A224" s="8" t="s">
        <v>1080</v>
      </c>
      <c r="B224" s="8" t="s">
        <v>260</v>
      </c>
      <c r="C224" s="9">
        <f>Hardingbritries</f>
        <v>1</v>
      </c>
      <c r="D224" s="19" t="s">
        <v>1008</v>
      </c>
      <c r="E224" s="19" t="s">
        <v>253</v>
      </c>
      <c r="F224" s="18">
        <f>Batemanleipts</f>
        <v>5</v>
      </c>
    </row>
    <row r="225" spans="1:6" ht="15" customHeight="1" thickBot="1" x14ac:dyDescent="0.3">
      <c r="A225" s="8" t="s">
        <v>697</v>
      </c>
      <c r="B225" s="8" t="s">
        <v>220</v>
      </c>
      <c r="C225" s="9">
        <f>Harrisglotries</f>
        <v>1</v>
      </c>
      <c r="D225" s="19" t="s">
        <v>598</v>
      </c>
      <c r="E225" s="19" t="s">
        <v>577</v>
      </c>
      <c r="F225" s="20">
        <f>Bashamnewpts</f>
        <v>5</v>
      </c>
    </row>
    <row r="226" spans="1:6" ht="15" customHeight="1" thickBot="1" x14ac:dyDescent="0.3">
      <c r="A226" s="9" t="s">
        <v>256</v>
      </c>
      <c r="B226" s="8" t="s">
        <v>224</v>
      </c>
      <c r="C226" s="9">
        <f>Harrisonnortries</f>
        <v>1</v>
      </c>
      <c r="D226" s="21" t="s">
        <v>651</v>
      </c>
      <c r="E226" s="21" t="s">
        <v>260</v>
      </c>
      <c r="F226" s="19">
        <f>Caponbripts</f>
        <v>5</v>
      </c>
    </row>
    <row r="227" spans="1:6" ht="15" customHeight="1" thickBot="1" x14ac:dyDescent="0.3">
      <c r="A227" s="8" t="s">
        <v>612</v>
      </c>
      <c r="B227" s="8" t="s">
        <v>221</v>
      </c>
      <c r="C227" s="9">
        <f>Hearlewortries</f>
        <v>1</v>
      </c>
      <c r="D227" s="21" t="s">
        <v>543</v>
      </c>
      <c r="E227" s="21" t="s">
        <v>251</v>
      </c>
      <c r="F227" s="18">
        <f>Capstickexepts</f>
        <v>5</v>
      </c>
    </row>
    <row r="228" spans="1:6" ht="15" customHeight="1" thickBot="1" x14ac:dyDescent="0.3">
      <c r="A228" s="8" t="s">
        <v>393</v>
      </c>
      <c r="B228" s="8" t="s">
        <v>251</v>
      </c>
      <c r="C228" s="9">
        <f>Hepburnexetries</f>
        <v>1</v>
      </c>
      <c r="D228" s="21" t="s">
        <v>1064</v>
      </c>
      <c r="E228" s="21" t="s">
        <v>253</v>
      </c>
      <c r="F228" s="19">
        <f>Chessumleicpts</f>
        <v>5</v>
      </c>
    </row>
    <row r="229" spans="1:6" ht="15" customHeight="1" thickBot="1" x14ac:dyDescent="0.3">
      <c r="A229" s="9" t="s">
        <v>621</v>
      </c>
      <c r="B229" s="9" t="s">
        <v>250</v>
      </c>
      <c r="C229" s="9">
        <f>Herronhartries</f>
        <v>1</v>
      </c>
      <c r="D229" s="21" t="s">
        <v>314</v>
      </c>
      <c r="E229" s="21" t="s">
        <v>223</v>
      </c>
      <c r="F229" s="19">
        <f>Clarkbatpts</f>
        <v>5</v>
      </c>
    </row>
    <row r="230" spans="1:6" ht="15" customHeight="1" thickBot="1" x14ac:dyDescent="0.3">
      <c r="A230" s="9" t="s">
        <v>573</v>
      </c>
      <c r="B230" s="9" t="s">
        <v>251</v>
      </c>
      <c r="C230" s="9">
        <f>Freemanexetries</f>
        <v>1</v>
      </c>
      <c r="D230" s="21" t="s">
        <v>353</v>
      </c>
      <c r="E230" s="21" t="s">
        <v>220</v>
      </c>
      <c r="F230" s="19">
        <f>Dawidiukglopts</f>
        <v>5</v>
      </c>
    </row>
    <row r="231" spans="1:6" ht="15" customHeight="1" thickBot="1" x14ac:dyDescent="0.3">
      <c r="A231" s="9" t="s">
        <v>315</v>
      </c>
      <c r="B231" s="8" t="s">
        <v>224</v>
      </c>
      <c r="C231" s="9">
        <f>Hodgsonnortries</f>
        <v>1</v>
      </c>
      <c r="D231" s="21" t="s">
        <v>511</v>
      </c>
      <c r="E231" s="21" t="s">
        <v>221</v>
      </c>
      <c r="F231" s="19">
        <f>Cleggworpts</f>
        <v>5</v>
      </c>
    </row>
    <row r="232" spans="1:6" ht="15" customHeight="1" thickBot="1" x14ac:dyDescent="0.3">
      <c r="A232" s="8" t="s">
        <v>782</v>
      </c>
      <c r="B232" s="8" t="s">
        <v>251</v>
      </c>
      <c r="C232" s="9">
        <f>Hodgeexetries</f>
        <v>1</v>
      </c>
      <c r="D232" s="21" t="s">
        <v>355</v>
      </c>
      <c r="E232" s="21" t="s">
        <v>223</v>
      </c>
      <c r="F232" s="19">
        <f>Cokanasigabthpts</f>
        <v>5</v>
      </c>
    </row>
    <row r="233" spans="1:6" ht="15" customHeight="1" thickBot="1" x14ac:dyDescent="0.3">
      <c r="A233" s="8" t="s">
        <v>795</v>
      </c>
      <c r="B233" s="8" t="s">
        <v>577</v>
      </c>
      <c r="C233" s="9">
        <f>Grahamnewtries</f>
        <v>1</v>
      </c>
      <c r="D233" s="21" t="s">
        <v>1018</v>
      </c>
      <c r="E233" s="21" t="s">
        <v>577</v>
      </c>
      <c r="F233" s="19">
        <f>Cokanasigaplirpts</f>
        <v>5</v>
      </c>
    </row>
    <row r="234" spans="1:6" ht="15" customHeight="1" thickBot="1" x14ac:dyDescent="0.3">
      <c r="A234" s="8" t="s">
        <v>587</v>
      </c>
      <c r="B234" s="8" t="s">
        <v>577</v>
      </c>
      <c r="C234" s="9">
        <f>Jacksonlirtries</f>
        <v>1</v>
      </c>
      <c r="D234" s="21" t="s">
        <v>356</v>
      </c>
      <c r="E234" s="21" t="s">
        <v>253</v>
      </c>
      <c r="F234" s="19">
        <f>Coleleipts</f>
        <v>5</v>
      </c>
    </row>
    <row r="235" spans="1:6" ht="15" customHeight="1" thickBot="1" x14ac:dyDescent="0.3">
      <c r="A235" s="8" t="s">
        <v>204</v>
      </c>
      <c r="B235" s="8" t="s">
        <v>222</v>
      </c>
      <c r="C235" s="9">
        <f>James_Lsaltries</f>
        <v>1</v>
      </c>
      <c r="D235" s="19" t="s">
        <v>902</v>
      </c>
      <c r="E235" s="19" t="s">
        <v>892</v>
      </c>
      <c r="F235" s="19">
        <f>Crossdalesarptscorrect</f>
        <v>5</v>
      </c>
    </row>
    <row r="236" spans="1:6" ht="15" customHeight="1" thickBot="1" x14ac:dyDescent="0.3">
      <c r="A236" s="8" t="s">
        <v>240</v>
      </c>
      <c r="B236" s="8" t="s">
        <v>222</v>
      </c>
      <c r="C236" s="9">
        <f>Jamessaltries</f>
        <v>1</v>
      </c>
      <c r="D236" s="405" t="s">
        <v>798</v>
      </c>
      <c r="E236" s="405" t="s">
        <v>577</v>
      </c>
      <c r="F236" s="19">
        <f>Cornishlirpts</f>
        <v>5</v>
      </c>
    </row>
    <row r="237" spans="1:6" ht="15" customHeight="1" thickBot="1" x14ac:dyDescent="0.3">
      <c r="A237" s="8" t="s">
        <v>403</v>
      </c>
      <c r="B237" s="8" t="s">
        <v>260</v>
      </c>
      <c r="C237" s="9">
        <f>Hearnlirtries</f>
        <v>1</v>
      </c>
      <c r="D237" s="21" t="s">
        <v>1070</v>
      </c>
      <c r="E237" s="21" t="s">
        <v>892</v>
      </c>
      <c r="F237" s="19">
        <f>Crossdalesarpts</f>
        <v>5</v>
      </c>
    </row>
    <row r="238" spans="1:6" ht="15" customHeight="1" thickBot="1" x14ac:dyDescent="0.3">
      <c r="A238" s="9" t="s">
        <v>1015</v>
      </c>
      <c r="B238" s="9" t="s">
        <v>253</v>
      </c>
      <c r="C238" s="9">
        <f>Kerrleictries</f>
        <v>1</v>
      </c>
      <c r="D238" s="21" t="s">
        <v>548</v>
      </c>
      <c r="E238" s="21" t="s">
        <v>224</v>
      </c>
      <c r="F238" s="19">
        <f>Dingwallnorpts</f>
        <v>5</v>
      </c>
    </row>
    <row r="239" spans="1:6" ht="15" customHeight="1" thickBot="1" x14ac:dyDescent="0.3">
      <c r="A239" s="8" t="s">
        <v>669</v>
      </c>
      <c r="B239" s="8" t="s">
        <v>252</v>
      </c>
      <c r="C239" s="9">
        <f>Kilbridgewastries</f>
        <v>1</v>
      </c>
      <c r="D239" s="21" t="s">
        <v>1094</v>
      </c>
      <c r="E239" s="21" t="s">
        <v>222</v>
      </c>
      <c r="F239" s="19">
        <f>Dohertysalpts</f>
        <v>5</v>
      </c>
    </row>
    <row r="240" spans="1:6" ht="15" customHeight="1" thickBot="1" x14ac:dyDescent="0.3">
      <c r="A240" s="8" t="s">
        <v>701</v>
      </c>
      <c r="B240" s="8" t="s">
        <v>251</v>
      </c>
      <c r="C240" s="9">
        <f>Kirstenexetries</f>
        <v>1</v>
      </c>
      <c r="D240" s="19" t="s">
        <v>992</v>
      </c>
      <c r="E240" s="21" t="s">
        <v>252</v>
      </c>
      <c r="F240" s="19">
        <f>Douglaswaspts</f>
        <v>5</v>
      </c>
    </row>
    <row r="241" spans="1:6" ht="15" customHeight="1" thickBot="1" x14ac:dyDescent="0.3">
      <c r="A241" s="8" t="s">
        <v>1029</v>
      </c>
      <c r="B241" s="8" t="s">
        <v>260</v>
      </c>
      <c r="C241" s="9">
        <f>Laybritries</f>
        <v>1</v>
      </c>
      <c r="D241" s="21" t="s">
        <v>1099</v>
      </c>
      <c r="E241" s="21" t="s">
        <v>222</v>
      </c>
      <c r="F241" s="19">
        <f>du_Preez__JPsalpts</f>
        <v>5</v>
      </c>
    </row>
    <row r="242" spans="1:6" ht="15" customHeight="1" thickBot="1" x14ac:dyDescent="0.3">
      <c r="A242" s="8" t="s">
        <v>243</v>
      </c>
      <c r="B242" s="8" t="s">
        <v>221</v>
      </c>
      <c r="C242" s="57">
        <f>Maytomtries</f>
        <v>1</v>
      </c>
      <c r="D242" s="21" t="s">
        <v>1086</v>
      </c>
      <c r="E242" s="21" t="s">
        <v>223</v>
      </c>
      <c r="F242" s="19">
        <f>du_Toitbthpts</f>
        <v>5</v>
      </c>
    </row>
    <row r="243" spans="1:6" ht="15" customHeight="1" thickBot="1" x14ac:dyDescent="0.3">
      <c r="A243" s="8" t="s">
        <v>653</v>
      </c>
      <c r="B243" s="8" t="s">
        <v>260</v>
      </c>
      <c r="C243" s="9">
        <f>LloydBriTries</f>
        <v>1</v>
      </c>
      <c r="D243" s="19" t="s">
        <v>245</v>
      </c>
      <c r="E243" s="19" t="s">
        <v>251</v>
      </c>
      <c r="F243" s="19">
        <f>Francisexepts</f>
        <v>5</v>
      </c>
    </row>
    <row r="244" spans="1:6" ht="15" customHeight="1" thickBot="1" x14ac:dyDescent="0.3">
      <c r="A244" s="8" t="s">
        <v>559</v>
      </c>
      <c r="B244" s="8" t="s">
        <v>251</v>
      </c>
      <c r="C244" s="9">
        <f>Lonsdaleexetries</f>
        <v>1</v>
      </c>
      <c r="D244" s="21" t="s">
        <v>1062</v>
      </c>
      <c r="E244" s="21" t="s">
        <v>224</v>
      </c>
      <c r="F244" s="19">
        <f>Freemannorpts</f>
        <v>5</v>
      </c>
    </row>
    <row r="245" spans="1:6" ht="15" customHeight="1" thickBot="1" x14ac:dyDescent="0.3">
      <c r="A245" s="8" t="s">
        <v>416</v>
      </c>
      <c r="B245" s="8" t="s">
        <v>260</v>
      </c>
      <c r="C245" s="9">
        <f>Marshalllirtries</f>
        <v>1</v>
      </c>
      <c r="D245" s="19" t="s">
        <v>985</v>
      </c>
      <c r="E245" s="19" t="s">
        <v>220</v>
      </c>
      <c r="F245" s="19">
        <f>Garveyglopts</f>
        <v>5</v>
      </c>
    </row>
    <row r="246" spans="1:6" ht="15" customHeight="1" thickBot="1" x14ac:dyDescent="0.3">
      <c r="A246" s="8" t="s">
        <v>418</v>
      </c>
      <c r="B246" s="8" t="s">
        <v>220</v>
      </c>
      <c r="C246" s="9">
        <f>Ludlowglotries</f>
        <v>1</v>
      </c>
      <c r="D246" s="21" t="s">
        <v>583</v>
      </c>
      <c r="E246" s="21" t="s">
        <v>577</v>
      </c>
      <c r="F246" s="19">
        <f>Davidsonnewpts</f>
        <v>5</v>
      </c>
    </row>
    <row r="247" spans="1:6" ht="15" customHeight="1" thickBot="1" x14ac:dyDescent="0.3">
      <c r="A247" s="9" t="s">
        <v>422</v>
      </c>
      <c r="B247" s="8" t="s">
        <v>221</v>
      </c>
      <c r="C247" s="9">
        <f>McCaffreywelshtries</f>
        <v>1</v>
      </c>
      <c r="D247" s="21" t="s">
        <v>771</v>
      </c>
      <c r="E247" s="21" t="s">
        <v>250</v>
      </c>
      <c r="F247" s="19">
        <f>Grayjoeharpts</f>
        <v>5</v>
      </c>
    </row>
    <row r="248" spans="1:6" ht="15" customHeight="1" thickBot="1" x14ac:dyDescent="0.3">
      <c r="A248" s="8" t="s">
        <v>1057</v>
      </c>
      <c r="B248" s="8" t="s">
        <v>253</v>
      </c>
      <c r="C248" s="9">
        <f>Martinleictries</f>
        <v>1</v>
      </c>
      <c r="D248" s="21" t="s">
        <v>990</v>
      </c>
      <c r="E248" s="21" t="s">
        <v>253</v>
      </c>
      <c r="F248" s="18">
        <f>Hardwickleipts</f>
        <v>5</v>
      </c>
    </row>
    <row r="249" spans="1:6" ht="15" customHeight="1" thickBot="1" x14ac:dyDescent="0.3">
      <c r="A249" s="8" t="s">
        <v>753</v>
      </c>
      <c r="B249" s="8" t="s">
        <v>223</v>
      </c>
      <c r="C249" s="9">
        <f>lahiffmaxbthtries</f>
        <v>1</v>
      </c>
      <c r="D249" s="21" t="s">
        <v>1080</v>
      </c>
      <c r="E249" s="21" t="s">
        <v>260</v>
      </c>
      <c r="F249" s="19">
        <f>Hardingbripts</f>
        <v>5</v>
      </c>
    </row>
    <row r="250" spans="1:6" ht="15" customHeight="1" thickBot="1" x14ac:dyDescent="0.3">
      <c r="A250" s="9" t="s">
        <v>940</v>
      </c>
      <c r="B250" s="9" t="s">
        <v>892</v>
      </c>
      <c r="C250" s="9">
        <f>Matavesinewtriescorrect</f>
        <v>1</v>
      </c>
      <c r="D250" s="21" t="s">
        <v>697</v>
      </c>
      <c r="E250" s="21" t="s">
        <v>220</v>
      </c>
      <c r="F250" s="19">
        <f>Harrisglopts</f>
        <v>5</v>
      </c>
    </row>
    <row r="251" spans="1:6" ht="15" customHeight="1" thickBot="1" x14ac:dyDescent="0.3">
      <c r="A251" s="8" t="s">
        <v>427</v>
      </c>
      <c r="B251" s="8" t="s">
        <v>223</v>
      </c>
      <c r="C251" s="9">
        <f>McConnochiebthtries</f>
        <v>1</v>
      </c>
      <c r="D251" s="19" t="s">
        <v>256</v>
      </c>
      <c r="E251" s="21" t="s">
        <v>224</v>
      </c>
      <c r="F251" s="20">
        <f>Harrisonnorpts</f>
        <v>5</v>
      </c>
    </row>
    <row r="252" spans="1:6" ht="15" customHeight="1" thickBot="1" x14ac:dyDescent="0.3">
      <c r="A252" s="8" t="s">
        <v>590</v>
      </c>
      <c r="B252" s="8" t="s">
        <v>577</v>
      </c>
      <c r="C252" s="9">
        <f>MacLeodnewtries</f>
        <v>1</v>
      </c>
      <c r="D252" s="21" t="s">
        <v>612</v>
      </c>
      <c r="E252" s="21" t="s">
        <v>221</v>
      </c>
      <c r="F252" s="19">
        <f>Hearleworpts</f>
        <v>5</v>
      </c>
    </row>
    <row r="253" spans="1:6" ht="15" customHeight="1" thickBot="1" x14ac:dyDescent="0.3">
      <c r="A253" s="8" t="s">
        <v>1089</v>
      </c>
      <c r="B253" s="8" t="s">
        <v>253</v>
      </c>
      <c r="C253" s="9">
        <f>Moronileictries</f>
        <v>1</v>
      </c>
      <c r="D253" s="21" t="s">
        <v>393</v>
      </c>
      <c r="E253" s="21" t="s">
        <v>251</v>
      </c>
      <c r="F253" s="19">
        <f>Hepburnexepts</f>
        <v>5</v>
      </c>
    </row>
    <row r="254" spans="1:6" ht="15" customHeight="1" thickBot="1" x14ac:dyDescent="0.3">
      <c r="A254" s="8" t="s">
        <v>320</v>
      </c>
      <c r="B254" s="8" t="s">
        <v>250</v>
      </c>
      <c r="C254" s="9">
        <f>Morrishartries</f>
        <v>1</v>
      </c>
      <c r="D254" s="19" t="s">
        <v>573</v>
      </c>
      <c r="E254" s="19" t="s">
        <v>251</v>
      </c>
      <c r="F254" s="19">
        <f>Freemanexepts</f>
        <v>5</v>
      </c>
    </row>
    <row r="255" spans="1:6" ht="15" customHeight="1" thickBot="1" x14ac:dyDescent="0.3">
      <c r="A255" s="8" t="s">
        <v>870</v>
      </c>
      <c r="B255" s="8" t="s">
        <v>220</v>
      </c>
      <c r="C255" s="9">
        <f>Morrisglotries</f>
        <v>1</v>
      </c>
      <c r="D255" s="19" t="s">
        <v>315</v>
      </c>
      <c r="E255" s="21" t="s">
        <v>224</v>
      </c>
      <c r="F255" s="19">
        <f>Hodgsonnorpts</f>
        <v>5</v>
      </c>
    </row>
    <row r="256" spans="1:6" ht="15" customHeight="1" thickBot="1" x14ac:dyDescent="0.3">
      <c r="A256" s="8" t="s">
        <v>914</v>
      </c>
      <c r="B256" s="8" t="s">
        <v>892</v>
      </c>
      <c r="C256" s="9">
        <f>Isiekwesartries</f>
        <v>1</v>
      </c>
      <c r="D256" s="21" t="s">
        <v>782</v>
      </c>
      <c r="E256" s="21" t="s">
        <v>251</v>
      </c>
      <c r="F256" s="20">
        <f>Hodgeexepts</f>
        <v>5</v>
      </c>
    </row>
    <row r="257" spans="1:6" ht="15" customHeight="1" thickBot="1" x14ac:dyDescent="0.3">
      <c r="A257" s="8" t="s">
        <v>1017</v>
      </c>
      <c r="B257" s="8" t="s">
        <v>253</v>
      </c>
      <c r="C257" s="57">
        <f>Mcphilipsleitries</f>
        <v>1</v>
      </c>
      <c r="D257" s="21" t="s">
        <v>795</v>
      </c>
      <c r="E257" s="21" t="s">
        <v>577</v>
      </c>
      <c r="F257" s="19">
        <f>Grahamnewpts</f>
        <v>5</v>
      </c>
    </row>
    <row r="258" spans="1:6" ht="15" customHeight="1" thickBot="1" x14ac:dyDescent="0.3">
      <c r="A258" s="8" t="s">
        <v>1101</v>
      </c>
      <c r="B258" s="8" t="s">
        <v>892</v>
      </c>
      <c r="C258" s="9">
        <f>Obonnanewtries</f>
        <v>1</v>
      </c>
      <c r="D258" s="21" t="s">
        <v>204</v>
      </c>
      <c r="E258" s="21" t="s">
        <v>222</v>
      </c>
      <c r="F258" s="19">
        <f>James_Lsalpts</f>
        <v>5</v>
      </c>
    </row>
    <row r="259" spans="1:6" ht="15" customHeight="1" thickBot="1" x14ac:dyDescent="0.3">
      <c r="A259" s="8" t="s">
        <v>673</v>
      </c>
      <c r="B259" s="8" t="s">
        <v>222</v>
      </c>
      <c r="C259" s="6">
        <f>Ostrikovandreitries</f>
        <v>1</v>
      </c>
      <c r="D259" s="21" t="s">
        <v>240</v>
      </c>
      <c r="E259" s="21" t="s">
        <v>222</v>
      </c>
      <c r="F259" s="19">
        <f>Jamessalpts</f>
        <v>5</v>
      </c>
    </row>
    <row r="260" spans="1:6" ht="15" customHeight="1" thickBot="1" x14ac:dyDescent="0.3">
      <c r="A260" s="8" t="s">
        <v>1034</v>
      </c>
      <c r="B260" s="8" t="s">
        <v>892</v>
      </c>
      <c r="C260" s="9">
        <f>Itojesartries</f>
        <v>1</v>
      </c>
      <c r="D260" s="21" t="s">
        <v>403</v>
      </c>
      <c r="E260" s="21" t="s">
        <v>260</v>
      </c>
      <c r="F260" s="19">
        <f>Hearnlirpts</f>
        <v>5</v>
      </c>
    </row>
    <row r="261" spans="1:6" ht="15" customHeight="1" thickBot="1" x14ac:dyDescent="0.3">
      <c r="A261" s="9" t="s">
        <v>227</v>
      </c>
      <c r="B261" s="9" t="s">
        <v>251</v>
      </c>
      <c r="C261" s="9">
        <f>Penalty_Triesexetries</f>
        <v>1</v>
      </c>
      <c r="D261" s="21" t="s">
        <v>1015</v>
      </c>
      <c r="E261" s="21" t="s">
        <v>253</v>
      </c>
      <c r="F261" s="19">
        <f>Kerrleicpts</f>
        <v>5</v>
      </c>
    </row>
    <row r="262" spans="1:6" ht="15" customHeight="1" thickBot="1" x14ac:dyDescent="0.3">
      <c r="A262" s="8" t="s">
        <v>227</v>
      </c>
      <c r="B262" s="8" t="s">
        <v>577</v>
      </c>
      <c r="C262" s="9">
        <f>Penalty_Triesnewtries</f>
        <v>1</v>
      </c>
      <c r="D262" s="21" t="s">
        <v>669</v>
      </c>
      <c r="E262" s="21" t="s">
        <v>252</v>
      </c>
      <c r="F262" s="19">
        <f>Kilbridgewaspts</f>
        <v>5</v>
      </c>
    </row>
    <row r="263" spans="1:6" ht="15" customHeight="1" thickBot="1" x14ac:dyDescent="0.3">
      <c r="A263" s="9" t="s">
        <v>227</v>
      </c>
      <c r="B263" s="9" t="s">
        <v>892</v>
      </c>
      <c r="C263" s="9">
        <f>Penalty_Triesnewtriescorrect</f>
        <v>1</v>
      </c>
      <c r="D263" s="21" t="s">
        <v>701</v>
      </c>
      <c r="E263" s="21" t="s">
        <v>251</v>
      </c>
      <c r="F263" s="19">
        <f>Kirstenexepts</f>
        <v>5</v>
      </c>
    </row>
    <row r="264" spans="1:6" ht="15" customHeight="1" thickBot="1" x14ac:dyDescent="0.3">
      <c r="A264" s="8" t="s">
        <v>227</v>
      </c>
      <c r="B264" s="8" t="s">
        <v>252</v>
      </c>
      <c r="C264" s="9">
        <f>Penalty_Trieswastries</f>
        <v>1</v>
      </c>
      <c r="D264" s="21" t="s">
        <v>1029</v>
      </c>
      <c r="E264" s="21" t="s">
        <v>260</v>
      </c>
      <c r="F264" s="19">
        <f>Laybripts</f>
        <v>5</v>
      </c>
    </row>
    <row r="265" spans="1:6" ht="15" customHeight="1" thickBot="1" x14ac:dyDescent="0.3">
      <c r="A265" s="8" t="s">
        <v>227</v>
      </c>
      <c r="B265" s="8" t="s">
        <v>220</v>
      </c>
      <c r="C265" s="9">
        <f>Penalty_Triesglotries</f>
        <v>1</v>
      </c>
      <c r="D265" s="21" t="s">
        <v>243</v>
      </c>
      <c r="E265" s="21" t="s">
        <v>221</v>
      </c>
      <c r="F265" s="19">
        <f>Maytompts</f>
        <v>5</v>
      </c>
    </row>
    <row r="266" spans="1:6" ht="15" customHeight="1" thickBot="1" x14ac:dyDescent="0.3">
      <c r="A266" s="8" t="s">
        <v>227</v>
      </c>
      <c r="B266" s="8" t="s">
        <v>253</v>
      </c>
      <c r="C266" s="9">
        <f>leicspentriestries</f>
        <v>1</v>
      </c>
      <c r="D266" s="21" t="s">
        <v>559</v>
      </c>
      <c r="E266" s="21" t="s">
        <v>251</v>
      </c>
      <c r="F266" s="19">
        <f>Lonsdaleexepts</f>
        <v>5</v>
      </c>
    </row>
    <row r="267" spans="1:6" ht="15" customHeight="1" thickBot="1" x14ac:dyDescent="0.3">
      <c r="A267" s="8" t="s">
        <v>440</v>
      </c>
      <c r="B267" s="8" t="s">
        <v>221</v>
      </c>
      <c r="C267" s="57">
        <f>Reynoldsnictries</f>
        <v>1</v>
      </c>
      <c r="D267" s="21" t="s">
        <v>416</v>
      </c>
      <c r="E267" s="21" t="s">
        <v>260</v>
      </c>
      <c r="F267" s="19">
        <f>Marshalllirpts</f>
        <v>5</v>
      </c>
    </row>
    <row r="268" spans="1:6" ht="15" customHeight="1" thickBot="1" x14ac:dyDescent="0.3">
      <c r="A268" s="8" t="s">
        <v>797</v>
      </c>
      <c r="B268" s="8" t="s">
        <v>577</v>
      </c>
      <c r="C268" s="9">
        <f>Mullennewtries</f>
        <v>1</v>
      </c>
      <c r="D268" s="21" t="s">
        <v>418</v>
      </c>
      <c r="E268" s="21" t="s">
        <v>220</v>
      </c>
      <c r="F268" s="19">
        <f>Ludlowglopts</f>
        <v>5</v>
      </c>
    </row>
    <row r="269" spans="1:6" ht="15" customHeight="1" thickBot="1" x14ac:dyDescent="0.3">
      <c r="A269" s="9" t="s">
        <v>452</v>
      </c>
      <c r="B269" s="9" t="s">
        <v>223</v>
      </c>
      <c r="C269" s="9">
        <f>Rokodugunibattries</f>
        <v>1</v>
      </c>
      <c r="D269" s="21" t="s">
        <v>421</v>
      </c>
      <c r="E269" s="21" t="s">
        <v>224</v>
      </c>
      <c r="F269" s="19">
        <f>Mallindernorpts</f>
        <v>5</v>
      </c>
    </row>
    <row r="270" spans="1:6" ht="15" customHeight="1" thickBot="1" x14ac:dyDescent="0.3">
      <c r="A270" s="8" t="s">
        <v>454</v>
      </c>
      <c r="B270" s="8" t="s">
        <v>252</v>
      </c>
      <c r="C270" s="9">
        <f>Rowlandswastries</f>
        <v>1</v>
      </c>
      <c r="D270" s="19" t="s">
        <v>422</v>
      </c>
      <c r="E270" s="21" t="s">
        <v>221</v>
      </c>
      <c r="F270" s="19">
        <f>McCaffreywelshpts</f>
        <v>5</v>
      </c>
    </row>
    <row r="271" spans="1:6" ht="15" customHeight="1" thickBot="1" x14ac:dyDescent="0.3">
      <c r="A271" s="8" t="s">
        <v>1097</v>
      </c>
      <c r="B271" s="8" t="s">
        <v>892</v>
      </c>
      <c r="C271" s="9">
        <f>Kpoku__Jonathansartries</f>
        <v>1</v>
      </c>
      <c r="D271" s="21" t="s">
        <v>1057</v>
      </c>
      <c r="E271" s="21" t="s">
        <v>253</v>
      </c>
      <c r="F271" s="19">
        <f>Martinleicpts</f>
        <v>5</v>
      </c>
    </row>
    <row r="272" spans="1:6" ht="15" customHeight="1" thickBot="1" x14ac:dyDescent="0.3">
      <c r="A272" s="8" t="s">
        <v>456</v>
      </c>
      <c r="B272" s="8" t="s">
        <v>220</v>
      </c>
      <c r="C272" s="9">
        <f>Seabrookglotries</f>
        <v>1</v>
      </c>
      <c r="D272" s="19" t="s">
        <v>753</v>
      </c>
      <c r="E272" s="19" t="s">
        <v>223</v>
      </c>
      <c r="F272" s="19">
        <f>Lahiffmaxbthpts</f>
        <v>5</v>
      </c>
    </row>
    <row r="273" spans="1:6" ht="15" customHeight="1" thickBot="1" x14ac:dyDescent="0.3">
      <c r="A273" s="9" t="s">
        <v>457</v>
      </c>
      <c r="B273" s="8" t="s">
        <v>221</v>
      </c>
      <c r="C273" s="9">
        <f>Searlewortris</f>
        <v>1</v>
      </c>
      <c r="D273" s="21" t="s">
        <v>940</v>
      </c>
      <c r="E273" s="21" t="s">
        <v>892</v>
      </c>
      <c r="F273" s="19">
        <f>Matavesinewptscorrect</f>
        <v>5</v>
      </c>
    </row>
    <row r="274" spans="1:6" ht="15" customHeight="1" thickBot="1" x14ac:dyDescent="0.3">
      <c r="A274" s="8" t="s">
        <v>465</v>
      </c>
      <c r="B274" s="8" t="s">
        <v>260</v>
      </c>
      <c r="C274" s="9">
        <f>Stirzakerbritries</f>
        <v>1</v>
      </c>
      <c r="D274" s="21" t="s">
        <v>427</v>
      </c>
      <c r="E274" s="21" t="s">
        <v>223</v>
      </c>
      <c r="F274" s="19">
        <f>McConnochiebthpts</f>
        <v>5</v>
      </c>
    </row>
    <row r="275" spans="1:6" ht="15" customHeight="1" thickBot="1" x14ac:dyDescent="0.3">
      <c r="A275" s="399" t="s">
        <v>1068</v>
      </c>
      <c r="B275" s="399" t="s">
        <v>220</v>
      </c>
      <c r="C275" s="6">
        <f>Socinoglotries</f>
        <v>1</v>
      </c>
      <c r="D275" s="21" t="s">
        <v>802</v>
      </c>
      <c r="E275" s="21" t="s">
        <v>577</v>
      </c>
      <c r="F275" s="19">
        <f>MacLeodnewpts</f>
        <v>5</v>
      </c>
    </row>
    <row r="276" spans="1:6" ht="15" customHeight="1" thickBot="1" x14ac:dyDescent="0.3">
      <c r="A276" s="8" t="s">
        <v>470</v>
      </c>
      <c r="B276" s="8" t="s">
        <v>252</v>
      </c>
      <c r="C276" s="9">
        <f>Sopoagawastries</f>
        <v>1</v>
      </c>
      <c r="D276" s="21" t="s">
        <v>1089</v>
      </c>
      <c r="E276" s="21" t="s">
        <v>253</v>
      </c>
      <c r="F276" s="19">
        <f>Moronileicpts</f>
        <v>5</v>
      </c>
    </row>
    <row r="277" spans="1:6" ht="15" customHeight="1" thickBot="1" x14ac:dyDescent="0.3">
      <c r="A277" s="8" t="s">
        <v>692</v>
      </c>
      <c r="B277" s="8" t="s">
        <v>253</v>
      </c>
      <c r="C277" s="6">
        <f>Stevensleictries</f>
        <v>1</v>
      </c>
      <c r="D277" s="21" t="s">
        <v>320</v>
      </c>
      <c r="E277" s="21" t="s">
        <v>250</v>
      </c>
      <c r="F277" s="18">
        <f>Morrisharpts</f>
        <v>5</v>
      </c>
    </row>
    <row r="278" spans="1:6" ht="15" customHeight="1" thickBot="1" x14ac:dyDescent="0.3">
      <c r="A278" s="8" t="s">
        <v>1020</v>
      </c>
      <c r="B278" s="8" t="s">
        <v>577</v>
      </c>
      <c r="C278" s="6">
        <f>Stokeslirtries</f>
        <v>1</v>
      </c>
      <c r="D278" s="21" t="s">
        <v>870</v>
      </c>
      <c r="E278" s="21" t="s">
        <v>220</v>
      </c>
      <c r="F278" s="19">
        <f>Morrisglopts</f>
        <v>5</v>
      </c>
    </row>
    <row r="279" spans="1:6" ht="15" customHeight="1" thickBot="1" x14ac:dyDescent="0.3">
      <c r="A279" s="8" t="s">
        <v>324</v>
      </c>
      <c r="B279" s="8" t="s">
        <v>224</v>
      </c>
      <c r="C279" s="6">
        <f>Taylornortries</f>
        <v>1</v>
      </c>
      <c r="D279" s="21" t="s">
        <v>914</v>
      </c>
      <c r="E279" s="21" t="s">
        <v>892</v>
      </c>
      <c r="F279" s="19">
        <f>Isiekwesarpts</f>
        <v>5</v>
      </c>
    </row>
    <row r="280" spans="1:6" ht="15" customHeight="1" thickBot="1" x14ac:dyDescent="0.3">
      <c r="A280" s="8" t="s">
        <v>274</v>
      </c>
      <c r="B280" s="8" t="s">
        <v>260</v>
      </c>
      <c r="C280" s="9">
        <f>Sheridaneamonntries</f>
        <v>1</v>
      </c>
      <c r="D280" s="21" t="s">
        <v>1017</v>
      </c>
      <c r="E280" s="21" t="s">
        <v>253</v>
      </c>
      <c r="F280" s="19">
        <f>Mcphilipsleipts</f>
        <v>5</v>
      </c>
    </row>
    <row r="281" spans="1:6" ht="15" customHeight="1" thickBot="1" x14ac:dyDescent="0.3">
      <c r="A281" s="8" t="s">
        <v>275</v>
      </c>
      <c r="B281" s="8" t="s">
        <v>223</v>
      </c>
      <c r="C281" s="57">
        <f>Thomashenrybattries</f>
        <v>1</v>
      </c>
      <c r="D281" s="19" t="s">
        <v>1101</v>
      </c>
      <c r="E281" s="21" t="s">
        <v>892</v>
      </c>
      <c r="F281" s="19">
        <f>Obonnanewpts</f>
        <v>5</v>
      </c>
    </row>
    <row r="282" spans="1:6" ht="15" customHeight="1" thickBot="1" x14ac:dyDescent="0.3">
      <c r="A282" s="8" t="s">
        <v>474</v>
      </c>
      <c r="B282" s="8" t="s">
        <v>220</v>
      </c>
      <c r="C282" s="9">
        <f>Thorleyglotriescorrect</f>
        <v>1</v>
      </c>
      <c r="D282" s="21" t="s">
        <v>673</v>
      </c>
      <c r="E282" s="21" t="s">
        <v>222</v>
      </c>
      <c r="F282" s="20">
        <f>OStrikovsalpts</f>
        <v>5</v>
      </c>
    </row>
    <row r="283" spans="1:6" ht="15" customHeight="1" thickBot="1" x14ac:dyDescent="0.3">
      <c r="A283" s="8" t="s">
        <v>476</v>
      </c>
      <c r="B283" s="8" t="s">
        <v>220</v>
      </c>
      <c r="C283" s="9">
        <f>Cowanjimmytries</f>
        <v>1</v>
      </c>
      <c r="D283" s="21" t="s">
        <v>1034</v>
      </c>
      <c r="E283" s="21" t="s">
        <v>892</v>
      </c>
      <c r="F283" s="19">
        <f>Itojesarpts</f>
        <v>5</v>
      </c>
    </row>
    <row r="284" spans="1:6" ht="15" customHeight="1" thickBot="1" x14ac:dyDescent="0.3">
      <c r="A284" s="8" t="s">
        <v>480</v>
      </c>
      <c r="B284" s="8" t="s">
        <v>252</v>
      </c>
      <c r="C284" s="9">
        <f>Umagawastries</f>
        <v>1</v>
      </c>
      <c r="D284" s="21" t="s">
        <v>440</v>
      </c>
      <c r="E284" s="21" t="s">
        <v>221</v>
      </c>
      <c r="F284" s="19">
        <f>Reynoldsnicpts</f>
        <v>5</v>
      </c>
    </row>
    <row r="285" spans="1:6" ht="15" customHeight="1" thickBot="1" x14ac:dyDescent="0.3">
      <c r="A285" s="8" t="s">
        <v>931</v>
      </c>
      <c r="B285" s="8" t="s">
        <v>892</v>
      </c>
      <c r="C285" s="9">
        <f>Malinssartries</f>
        <v>1</v>
      </c>
      <c r="D285" s="21" t="s">
        <v>797</v>
      </c>
      <c r="E285" s="21" t="s">
        <v>577</v>
      </c>
      <c r="F285" s="19">
        <f>Mullennewpts</f>
        <v>5</v>
      </c>
    </row>
    <row r="286" spans="1:6" ht="15" customHeight="1" thickBot="1" x14ac:dyDescent="0.3">
      <c r="A286" s="9" t="s">
        <v>244</v>
      </c>
      <c r="B286" s="8" t="s">
        <v>221</v>
      </c>
      <c r="C286" s="9">
        <f>Wallerwortries</f>
        <v>1</v>
      </c>
      <c r="D286" s="19" t="s">
        <v>452</v>
      </c>
      <c r="E286" s="19" t="s">
        <v>223</v>
      </c>
      <c r="F286" s="19">
        <f>Rokodugunibatpts</f>
        <v>5</v>
      </c>
    </row>
    <row r="287" spans="1:6" ht="15" customHeight="1" thickBot="1" x14ac:dyDescent="0.3">
      <c r="A287" s="8" t="s">
        <v>241</v>
      </c>
      <c r="B287" s="8" t="s">
        <v>252</v>
      </c>
      <c r="C287" s="9">
        <f>Watsonwastries</f>
        <v>1</v>
      </c>
      <c r="D287" s="21" t="s">
        <v>454</v>
      </c>
      <c r="E287" s="21" t="s">
        <v>252</v>
      </c>
      <c r="F287" s="19">
        <f>Rowlandswaspts</f>
        <v>5</v>
      </c>
    </row>
    <row r="288" spans="1:6" ht="15" customHeight="1" thickBot="1" x14ac:dyDescent="0.3">
      <c r="A288" s="9" t="s">
        <v>493</v>
      </c>
      <c r="B288" s="8" t="s">
        <v>221</v>
      </c>
      <c r="C288" s="9">
        <f>Weirwortries</f>
        <v>1</v>
      </c>
      <c r="D288" s="21" t="s">
        <v>1097</v>
      </c>
      <c r="E288" s="21" t="s">
        <v>892</v>
      </c>
      <c r="F288" s="19">
        <f>Kpoku__Jonathansarpts</f>
        <v>5</v>
      </c>
    </row>
    <row r="289" spans="1:6" ht="15" customHeight="1" thickBot="1" x14ac:dyDescent="0.3">
      <c r="A289" s="8" t="s">
        <v>934</v>
      </c>
      <c r="B289" s="8" t="s">
        <v>892</v>
      </c>
      <c r="C289" s="9">
        <f>Obatoysartries</f>
        <v>1</v>
      </c>
      <c r="D289" s="21" t="s">
        <v>456</v>
      </c>
      <c r="E289" s="21" t="s">
        <v>220</v>
      </c>
      <c r="F289" s="19">
        <f>Seabrookglopts</f>
        <v>5</v>
      </c>
    </row>
    <row r="290" spans="1:6" ht="15" customHeight="1" thickBot="1" x14ac:dyDescent="0.3">
      <c r="A290" s="8" t="s">
        <v>978</v>
      </c>
      <c r="B290" s="8" t="s">
        <v>253</v>
      </c>
      <c r="C290" s="9">
        <f>Wigglesworthleictries</f>
        <v>1</v>
      </c>
      <c r="D290" s="21" t="s">
        <v>465</v>
      </c>
      <c r="E290" s="21" t="s">
        <v>260</v>
      </c>
      <c r="F290" s="19">
        <f>Stirzakerbripts</f>
        <v>5</v>
      </c>
    </row>
    <row r="291" spans="1:6" ht="15" customHeight="1" thickBot="1" x14ac:dyDescent="0.3">
      <c r="A291" s="9" t="s">
        <v>242</v>
      </c>
      <c r="B291" s="9" t="s">
        <v>252</v>
      </c>
      <c r="C291" s="9">
        <f>Williswastries</f>
        <v>1</v>
      </c>
      <c r="D291" s="21" t="s">
        <v>1068</v>
      </c>
      <c r="E291" s="21" t="s">
        <v>220</v>
      </c>
      <c r="F291" s="19">
        <f>Socinoglopts</f>
        <v>5</v>
      </c>
    </row>
    <row r="292" spans="1:6" ht="15" customHeight="1" thickBot="1" x14ac:dyDescent="0.3">
      <c r="A292" s="8" t="s">
        <v>1031</v>
      </c>
      <c r="B292" s="8" t="s">
        <v>1032</v>
      </c>
      <c r="C292" s="9">
        <f>Wilsonnewtries</f>
        <v>1</v>
      </c>
      <c r="D292" s="21" t="s">
        <v>692</v>
      </c>
      <c r="E292" s="21" t="s">
        <v>253</v>
      </c>
      <c r="F292" s="19">
        <f>Stevensleicpts</f>
        <v>5</v>
      </c>
    </row>
    <row r="293" spans="1:6" ht="15" customHeight="1" thickBot="1" x14ac:dyDescent="0.3">
      <c r="A293" s="8" t="s">
        <v>497</v>
      </c>
      <c r="B293" s="8" t="s">
        <v>224</v>
      </c>
      <c r="C293" s="9">
        <f>Woodtomtriescorrect</f>
        <v>1</v>
      </c>
      <c r="D293" s="21" t="s">
        <v>1020</v>
      </c>
      <c r="E293" s="21" t="s">
        <v>577</v>
      </c>
      <c r="F293" s="19">
        <f>Stokeslirpts</f>
        <v>5</v>
      </c>
    </row>
    <row r="294" spans="1:6" ht="15" customHeight="1" thickBot="1" x14ac:dyDescent="0.3">
      <c r="A294" s="8" t="s">
        <v>498</v>
      </c>
      <c r="B294" s="8" t="s">
        <v>251</v>
      </c>
      <c r="C294" s="9">
        <f>Woodburnexetries</f>
        <v>1</v>
      </c>
      <c r="D294" s="21" t="s">
        <v>324</v>
      </c>
      <c r="E294" s="21" t="s">
        <v>224</v>
      </c>
      <c r="F294" s="18">
        <f>Taylornorpts</f>
        <v>5</v>
      </c>
    </row>
    <row r="295" spans="1:6" ht="15" customHeight="1" thickBot="1" x14ac:dyDescent="0.3">
      <c r="A295" s="8" t="s">
        <v>499</v>
      </c>
      <c r="B295" s="8" t="s">
        <v>220</v>
      </c>
      <c r="C295" s="9">
        <f>Woodwardglotries</f>
        <v>1</v>
      </c>
      <c r="D295" s="21" t="s">
        <v>274</v>
      </c>
      <c r="E295" s="21" t="s">
        <v>260</v>
      </c>
      <c r="F295" s="19">
        <f>Thomas_Dbripts</f>
        <v>5</v>
      </c>
    </row>
    <row r="296" spans="1:6" ht="15" customHeight="1" thickBot="1" x14ac:dyDescent="0.3">
      <c r="A296" s="8" t="s">
        <v>496</v>
      </c>
      <c r="B296" s="8" t="s">
        <v>223</v>
      </c>
      <c r="C296" s="9">
        <f>Wilson__Jamesbthtries</f>
        <v>1</v>
      </c>
      <c r="D296" s="21" t="s">
        <v>275</v>
      </c>
      <c r="E296" s="21" t="s">
        <v>223</v>
      </c>
      <c r="F296" s="19">
        <f>Thomashenrybatpts</f>
        <v>5</v>
      </c>
    </row>
    <row r="297" spans="1:6" ht="15" customHeight="1" thickBot="1" x14ac:dyDescent="0.3">
      <c r="A297" s="8" t="s">
        <v>935</v>
      </c>
      <c r="B297" s="8" t="s">
        <v>892</v>
      </c>
      <c r="C297" s="57">
        <f>Rhodessartries</f>
        <v>1</v>
      </c>
      <c r="D297" s="21" t="s">
        <v>474</v>
      </c>
      <c r="E297" s="21" t="s">
        <v>220</v>
      </c>
      <c r="F297" s="19">
        <f>Thorleygloptscorrect</f>
        <v>5</v>
      </c>
    </row>
    <row r="298" spans="1:6" ht="15" customHeight="1" thickBot="1" x14ac:dyDescent="0.3">
      <c r="A298" s="8" t="s">
        <v>331</v>
      </c>
      <c r="B298" s="8" t="s">
        <v>260</v>
      </c>
      <c r="C298" s="9">
        <f>afoabritries</f>
        <v>0</v>
      </c>
      <c r="D298" s="21" t="s">
        <v>476</v>
      </c>
      <c r="E298" s="21" t="s">
        <v>220</v>
      </c>
      <c r="F298" s="19">
        <f>Cowanjimmypts</f>
        <v>5</v>
      </c>
    </row>
    <row r="299" spans="1:6" ht="15" customHeight="1" thickBot="1" x14ac:dyDescent="0.3">
      <c r="A299" s="8" t="s">
        <v>891</v>
      </c>
      <c r="B299" s="8" t="s">
        <v>892</v>
      </c>
      <c r="C299" s="9">
        <f>Adams_Halesartries</f>
        <v>0</v>
      </c>
      <c r="D299" s="21" t="s">
        <v>931</v>
      </c>
      <c r="E299" s="21" t="s">
        <v>892</v>
      </c>
      <c r="F299" s="19">
        <f>Malinssarpts</f>
        <v>5</v>
      </c>
    </row>
    <row r="300" spans="1:6" ht="15" customHeight="1" thickBot="1" x14ac:dyDescent="0.3">
      <c r="A300" s="8" t="s">
        <v>719</v>
      </c>
      <c r="B300" s="8" t="s">
        <v>252</v>
      </c>
      <c r="C300" s="57">
        <f>Armitagewastries</f>
        <v>0</v>
      </c>
      <c r="D300" s="19" t="s">
        <v>244</v>
      </c>
      <c r="E300" s="21" t="s">
        <v>221</v>
      </c>
      <c r="F300" s="19">
        <f>Wallerworpts</f>
        <v>5</v>
      </c>
    </row>
    <row r="301" spans="1:6" ht="15" customHeight="1" thickBot="1" x14ac:dyDescent="0.3">
      <c r="A301" s="451" t="s">
        <v>840</v>
      </c>
      <c r="B301" s="451" t="s">
        <v>260</v>
      </c>
      <c r="C301" s="9">
        <f>Armstrongjakebritries</f>
        <v>0</v>
      </c>
      <c r="D301" s="21" t="s">
        <v>241</v>
      </c>
      <c r="E301" s="21" t="s">
        <v>252</v>
      </c>
      <c r="F301" s="19">
        <f>Watsonwaspts</f>
        <v>5</v>
      </c>
    </row>
    <row r="302" spans="1:6" ht="15" customHeight="1" thickBot="1" x14ac:dyDescent="0.3">
      <c r="A302" s="9" t="s">
        <v>936</v>
      </c>
      <c r="B302" s="9" t="s">
        <v>892</v>
      </c>
      <c r="C302" s="9">
        <f>Arscottnewtriescorrect</f>
        <v>0</v>
      </c>
      <c r="D302" s="21" t="s">
        <v>934</v>
      </c>
      <c r="E302" s="21" t="s">
        <v>892</v>
      </c>
      <c r="F302" s="19">
        <f>Obatoysarpts</f>
        <v>5</v>
      </c>
    </row>
    <row r="303" spans="1:6" ht="15" customHeight="1" thickBot="1" x14ac:dyDescent="0.3">
      <c r="A303" s="9" t="s">
        <v>334</v>
      </c>
      <c r="B303" s="9" t="s">
        <v>253</v>
      </c>
      <c r="C303" s="9">
        <f>Barbierileitries</f>
        <v>0</v>
      </c>
      <c r="D303" s="21" t="s">
        <v>978</v>
      </c>
      <c r="E303" s="21" t="s">
        <v>253</v>
      </c>
      <c r="F303" s="19">
        <f>Wigglesworthlicpts</f>
        <v>5</v>
      </c>
    </row>
    <row r="304" spans="1:6" ht="15" customHeight="1" thickBot="1" x14ac:dyDescent="0.3">
      <c r="A304" s="8" t="s">
        <v>103</v>
      </c>
      <c r="B304" s="8" t="s">
        <v>577</v>
      </c>
      <c r="C304" s="6">
        <f>Ah_Younewtries</f>
        <v>0</v>
      </c>
      <c r="D304" s="19" t="s">
        <v>242</v>
      </c>
      <c r="E304" s="19" t="s">
        <v>252</v>
      </c>
      <c r="F304" s="19">
        <f>Williswaspts</f>
        <v>5</v>
      </c>
    </row>
    <row r="305" spans="1:6" ht="15" customHeight="1" thickBot="1" x14ac:dyDescent="0.3">
      <c r="A305" s="451" t="s">
        <v>225</v>
      </c>
      <c r="B305" s="451" t="s">
        <v>223</v>
      </c>
      <c r="C305" s="9">
        <f>Atkinsbthtries</f>
        <v>0</v>
      </c>
      <c r="D305" s="19" t="s">
        <v>1031</v>
      </c>
      <c r="E305" s="19" t="s">
        <v>1032</v>
      </c>
      <c r="F305" s="19">
        <f>Wilsonnewpts</f>
        <v>5</v>
      </c>
    </row>
    <row r="306" spans="1:6" ht="15" customHeight="1" thickBot="1" x14ac:dyDescent="0.3">
      <c r="A306" s="8" t="s">
        <v>1072</v>
      </c>
      <c r="B306" s="8" t="s">
        <v>223</v>
      </c>
      <c r="C306" s="9">
        <f>Baileybthtries</f>
        <v>0</v>
      </c>
      <c r="D306" s="21" t="s">
        <v>497</v>
      </c>
      <c r="E306" s="21" t="s">
        <v>224</v>
      </c>
      <c r="F306" s="19">
        <f>Woodtomptscorrect</f>
        <v>5</v>
      </c>
    </row>
    <row r="307" spans="1:6" ht="15" customHeight="1" thickBot="1" x14ac:dyDescent="0.3">
      <c r="A307" s="9" t="s">
        <v>858</v>
      </c>
      <c r="B307" s="9" t="s">
        <v>251</v>
      </c>
      <c r="C307" s="9">
        <f>Batemangregtries</f>
        <v>0</v>
      </c>
      <c r="D307" s="21" t="s">
        <v>498</v>
      </c>
      <c r="E307" s="21" t="s">
        <v>251</v>
      </c>
      <c r="F307" s="19">
        <f>Woodburnexepts</f>
        <v>5</v>
      </c>
    </row>
    <row r="308" spans="1:6" ht="15" customHeight="1" thickBot="1" x14ac:dyDescent="0.3">
      <c r="A308" s="451" t="s">
        <v>336</v>
      </c>
      <c r="B308" s="451" t="s">
        <v>221</v>
      </c>
      <c r="C308" s="9">
        <f>Brittonweltries</f>
        <v>0</v>
      </c>
      <c r="D308" s="21" t="s">
        <v>499</v>
      </c>
      <c r="E308" s="21" t="s">
        <v>220</v>
      </c>
      <c r="F308" s="19">
        <f>Woodwardglopts</f>
        <v>5</v>
      </c>
    </row>
    <row r="309" spans="1:6" ht="15" customHeight="1" thickBot="1" x14ac:dyDescent="0.3">
      <c r="A309" s="8" t="s">
        <v>338</v>
      </c>
      <c r="B309" s="8" t="s">
        <v>220</v>
      </c>
      <c r="C309" s="9">
        <f>Banahanglotries</f>
        <v>0</v>
      </c>
      <c r="D309" s="21" t="s">
        <v>496</v>
      </c>
      <c r="E309" s="21" t="s">
        <v>223</v>
      </c>
      <c r="F309" s="19">
        <f>Wilson__Jamesbthpts</f>
        <v>5</v>
      </c>
    </row>
    <row r="310" spans="1:6" ht="15" customHeight="1" thickBot="1" x14ac:dyDescent="0.3">
      <c r="A310" s="8" t="s">
        <v>613</v>
      </c>
      <c r="B310" s="8" t="s">
        <v>220</v>
      </c>
      <c r="C310" s="9">
        <f>Bartonglotries</f>
        <v>0</v>
      </c>
      <c r="D310" s="21" t="s">
        <v>935</v>
      </c>
      <c r="E310" s="21" t="s">
        <v>892</v>
      </c>
      <c r="F310" s="19">
        <f>Rhodessarpts</f>
        <v>5</v>
      </c>
    </row>
    <row r="311" spans="1:6" ht="15" customHeight="1" thickBot="1" x14ac:dyDescent="0.3">
      <c r="A311" s="8" t="s">
        <v>1006</v>
      </c>
      <c r="B311" s="8" t="s">
        <v>892</v>
      </c>
      <c r="C311" s="9">
        <f>Barringtonrichardtries</f>
        <v>0</v>
      </c>
      <c r="D311" s="21" t="s">
        <v>645</v>
      </c>
      <c r="E311" s="21" t="s">
        <v>220</v>
      </c>
      <c r="F311" s="19">
        <f>Morrisjglopts</f>
        <v>4</v>
      </c>
    </row>
    <row r="312" spans="1:6" ht="15" customHeight="1" thickBot="1" x14ac:dyDescent="0.3">
      <c r="A312" s="9" t="s">
        <v>649</v>
      </c>
      <c r="B312" s="9" t="s">
        <v>260</v>
      </c>
      <c r="C312" s="9">
        <f>Batesbritries</f>
        <v>0</v>
      </c>
      <c r="D312" s="21" t="s">
        <v>834</v>
      </c>
      <c r="E312" s="21" t="s">
        <v>223</v>
      </c>
      <c r="F312" s="19">
        <f>Schoemanbthpts</f>
        <v>4</v>
      </c>
    </row>
    <row r="313" spans="1:6" ht="15" customHeight="1" thickBot="1" x14ac:dyDescent="0.3">
      <c r="A313" s="8" t="s">
        <v>340</v>
      </c>
      <c r="B313" s="8" t="s">
        <v>223</v>
      </c>
      <c r="C313" s="9">
        <f>Battyrosstries</f>
        <v>0</v>
      </c>
      <c r="D313" s="21" t="s">
        <v>1076</v>
      </c>
      <c r="E313" s="21" t="s">
        <v>221</v>
      </c>
      <c r="F313" s="19">
        <f>Smithworpts</f>
        <v>4</v>
      </c>
    </row>
    <row r="314" spans="1:6" ht="15" customHeight="1" thickBot="1" x14ac:dyDescent="0.3">
      <c r="A314" s="8" t="s">
        <v>343</v>
      </c>
      <c r="B314" s="8" t="s">
        <v>221</v>
      </c>
      <c r="C314" s="9">
        <f>Beckwortries</f>
        <v>0</v>
      </c>
      <c r="D314" s="21" t="s">
        <v>862</v>
      </c>
      <c r="E314" s="21" t="s">
        <v>251</v>
      </c>
      <c r="F314" s="20">
        <f>White_NexeptsCORRECT</f>
        <v>4</v>
      </c>
    </row>
    <row r="315" spans="1:6" ht="15" customHeight="1" thickBot="1" x14ac:dyDescent="0.3">
      <c r="A315" s="8" t="s">
        <v>536</v>
      </c>
      <c r="B315" s="8" t="s">
        <v>260</v>
      </c>
      <c r="C315" s="9">
        <f>bedlowbritries</f>
        <v>0</v>
      </c>
      <c r="D315" s="21" t="s">
        <v>526</v>
      </c>
      <c r="E315" s="21" t="s">
        <v>222</v>
      </c>
      <c r="F315" s="19">
        <f>Wilkinsonsalpts</f>
        <v>4</v>
      </c>
    </row>
    <row r="316" spans="1:6" ht="15" customHeight="1" thickBot="1" x14ac:dyDescent="0.3">
      <c r="A316" s="8" t="s">
        <v>345</v>
      </c>
      <c r="B316" s="8" t="s">
        <v>221</v>
      </c>
      <c r="C316" s="9">
        <f>Blackwortries</f>
        <v>0</v>
      </c>
      <c r="D316" s="21" t="s">
        <v>473</v>
      </c>
      <c r="E316" s="21" t="s">
        <v>250</v>
      </c>
      <c r="F316" s="19">
        <f>Tapuaiharpts</f>
        <v>2</v>
      </c>
    </row>
    <row r="317" spans="1:6" ht="15" customHeight="1" thickBot="1" x14ac:dyDescent="0.3">
      <c r="A317" s="8" t="s">
        <v>346</v>
      </c>
      <c r="B317" s="8" t="s">
        <v>223</v>
      </c>
      <c r="C317" s="9">
        <f>Boycebthtries</f>
        <v>0</v>
      </c>
      <c r="D317" s="21" t="s">
        <v>331</v>
      </c>
      <c r="E317" s="21" t="s">
        <v>260</v>
      </c>
      <c r="F317" s="19">
        <f>afoabripts</f>
        <v>0</v>
      </c>
    </row>
    <row r="318" spans="1:6" ht="15" customHeight="1" thickBot="1" x14ac:dyDescent="0.3">
      <c r="A318" s="8" t="s">
        <v>803</v>
      </c>
      <c r="B318" s="8" t="s">
        <v>577</v>
      </c>
      <c r="C318" s="9">
        <f>Arscottnewtries</f>
        <v>0</v>
      </c>
      <c r="D318" s="19" t="s">
        <v>891</v>
      </c>
      <c r="E318" s="21" t="s">
        <v>892</v>
      </c>
      <c r="F318" s="20">
        <f>Adams_Halesarpts</f>
        <v>0</v>
      </c>
    </row>
    <row r="319" spans="1:6" ht="15" customHeight="1" thickBot="1" x14ac:dyDescent="0.3">
      <c r="A319" s="8" t="s">
        <v>509</v>
      </c>
      <c r="B319" s="8" t="s">
        <v>221</v>
      </c>
      <c r="C319" s="9">
        <f>Breslerwortries</f>
        <v>0</v>
      </c>
      <c r="D319" s="21" t="s">
        <v>719</v>
      </c>
      <c r="E319" s="21" t="s">
        <v>252</v>
      </c>
      <c r="F319" s="19">
        <f>Armitagewaspts</f>
        <v>0</v>
      </c>
    </row>
    <row r="320" spans="1:6" ht="15" customHeight="1" thickBot="1" x14ac:dyDescent="0.3">
      <c r="A320" s="8" t="s">
        <v>896</v>
      </c>
      <c r="B320" s="8" t="s">
        <v>892</v>
      </c>
      <c r="C320" s="9">
        <f>Boschmarcelotries</f>
        <v>0</v>
      </c>
      <c r="D320" s="21" t="s">
        <v>840</v>
      </c>
      <c r="E320" s="21" t="s">
        <v>260</v>
      </c>
      <c r="F320" s="19">
        <f>Armstrongjakebripts</f>
        <v>0</v>
      </c>
    </row>
    <row r="321" spans="1:6" ht="15" customHeight="1" thickBot="1" x14ac:dyDescent="0.3">
      <c r="A321" s="8" t="s">
        <v>347</v>
      </c>
      <c r="B321" s="8" t="s">
        <v>252</v>
      </c>
      <c r="C321" s="9">
        <f>Brookeswastries</f>
        <v>0</v>
      </c>
      <c r="D321" s="21" t="s">
        <v>936</v>
      </c>
      <c r="E321" s="21" t="s">
        <v>892</v>
      </c>
      <c r="F321" s="19">
        <f>Arscottnewptscorrect</f>
        <v>0</v>
      </c>
    </row>
    <row r="322" spans="1:6" ht="15" customHeight="1" thickBot="1" x14ac:dyDescent="0.3">
      <c r="A322" s="8" t="s">
        <v>349</v>
      </c>
      <c r="B322" s="8" t="s">
        <v>221</v>
      </c>
      <c r="C322" s="9">
        <f>Daviesalextries</f>
        <v>0</v>
      </c>
      <c r="D322" s="19" t="s">
        <v>334</v>
      </c>
      <c r="E322" s="19" t="s">
        <v>253</v>
      </c>
      <c r="F322" s="19">
        <f>Barbierileipts</f>
        <v>0</v>
      </c>
    </row>
    <row r="323" spans="1:6" ht="15" customHeight="1" thickBot="1" x14ac:dyDescent="0.3">
      <c r="A323" s="8" t="s">
        <v>350</v>
      </c>
      <c r="B323" s="8" t="s">
        <v>250</v>
      </c>
      <c r="C323" s="6">
        <f>buchanantries</f>
        <v>0</v>
      </c>
      <c r="D323" s="405" t="s">
        <v>225</v>
      </c>
      <c r="E323" s="405" t="s">
        <v>223</v>
      </c>
      <c r="F323" s="18">
        <f>Atkinsbthpts</f>
        <v>0</v>
      </c>
    </row>
    <row r="324" spans="1:6" ht="15" customHeight="1" thickBot="1" x14ac:dyDescent="0.3">
      <c r="A324" s="8" t="s">
        <v>628</v>
      </c>
      <c r="B324" s="8" t="s">
        <v>252</v>
      </c>
      <c r="C324" s="9">
        <f>Cardallwastries</f>
        <v>0</v>
      </c>
      <c r="D324" s="21" t="s">
        <v>597</v>
      </c>
      <c r="E324" s="21" t="s">
        <v>577</v>
      </c>
      <c r="F324" s="19">
        <f>Ah_Younewpts</f>
        <v>0</v>
      </c>
    </row>
    <row r="325" spans="1:6" ht="15" customHeight="1" thickBot="1" x14ac:dyDescent="0.3">
      <c r="A325" s="399" t="s">
        <v>731</v>
      </c>
      <c r="B325" s="399" t="s">
        <v>250</v>
      </c>
      <c r="C325" s="6">
        <f>Catrakilishartries</f>
        <v>0</v>
      </c>
      <c r="D325" s="19" t="s">
        <v>858</v>
      </c>
      <c r="E325" s="19" t="s">
        <v>251</v>
      </c>
      <c r="F325" s="19">
        <f>Batemangregpts</f>
        <v>0</v>
      </c>
    </row>
    <row r="326" spans="1:6" ht="15" customHeight="1" thickBot="1" x14ac:dyDescent="0.3">
      <c r="A326" s="8" t="s">
        <v>580</v>
      </c>
      <c r="B326" s="8" t="s">
        <v>577</v>
      </c>
      <c r="C326" s="6">
        <f>Blamirenewtries</f>
        <v>0</v>
      </c>
      <c r="D326" s="405" t="s">
        <v>336</v>
      </c>
      <c r="E326" s="405" t="s">
        <v>221</v>
      </c>
      <c r="F326" s="19">
        <f>Brittonwelpts</f>
        <v>0</v>
      </c>
    </row>
    <row r="327" spans="1:6" ht="15" customHeight="1" thickBot="1" x14ac:dyDescent="0.3">
      <c r="A327" s="8" t="s">
        <v>231</v>
      </c>
      <c r="B327" s="8" t="s">
        <v>250</v>
      </c>
      <c r="C327" s="9">
        <f>Chisholm_Rhartries</f>
        <v>0</v>
      </c>
      <c r="D327" s="21" t="s">
        <v>338</v>
      </c>
      <c r="E327" s="21" t="s">
        <v>220</v>
      </c>
      <c r="F327" s="19">
        <f>Banahanglopts</f>
        <v>0</v>
      </c>
    </row>
    <row r="328" spans="1:6" ht="15" customHeight="1" thickBot="1" x14ac:dyDescent="0.3">
      <c r="A328" s="399" t="s">
        <v>352</v>
      </c>
      <c r="B328" s="399" t="s">
        <v>223</v>
      </c>
      <c r="C328" s="9">
        <f>Chudleybthtries</f>
        <v>0</v>
      </c>
      <c r="D328" s="21" t="s">
        <v>1006</v>
      </c>
      <c r="E328" s="21" t="s">
        <v>892</v>
      </c>
      <c r="F328" s="19">
        <f>Barringtonrichardpts</f>
        <v>0</v>
      </c>
    </row>
    <row r="329" spans="1:6" ht="15" customHeight="1" thickBot="1" x14ac:dyDescent="0.3">
      <c r="A329" s="8" t="s">
        <v>354</v>
      </c>
      <c r="B329" s="8" t="s">
        <v>222</v>
      </c>
      <c r="C329" s="9">
        <f>Cliffwillsaltries</f>
        <v>0</v>
      </c>
      <c r="D329" s="19" t="s">
        <v>649</v>
      </c>
      <c r="E329" s="19" t="s">
        <v>260</v>
      </c>
      <c r="F329" s="18">
        <f>Batesbripts</f>
        <v>0</v>
      </c>
    </row>
    <row r="330" spans="1:6" ht="15" customHeight="1" thickBot="1" x14ac:dyDescent="0.3">
      <c r="A330" s="8" t="s">
        <v>529</v>
      </c>
      <c r="B330" s="8" t="s">
        <v>220</v>
      </c>
      <c r="C330" s="9">
        <f>Coetzerglotries</f>
        <v>0</v>
      </c>
      <c r="D330" s="21" t="s">
        <v>340</v>
      </c>
      <c r="E330" s="21" t="s">
        <v>223</v>
      </c>
      <c r="F330" s="19">
        <f>Battyrosspts</f>
        <v>0</v>
      </c>
    </row>
    <row r="331" spans="1:6" ht="15" customHeight="1" thickBot="1" x14ac:dyDescent="0.3">
      <c r="A331" s="8" t="s">
        <v>703</v>
      </c>
      <c r="B331" s="8" t="s">
        <v>577</v>
      </c>
      <c r="C331" s="9">
        <f>Blairtries</f>
        <v>0</v>
      </c>
      <c r="D331" s="21" t="s">
        <v>343</v>
      </c>
      <c r="E331" s="21" t="s">
        <v>221</v>
      </c>
      <c r="F331" s="19">
        <f>Beckworpts</f>
        <v>0</v>
      </c>
    </row>
    <row r="332" spans="1:6" ht="15" customHeight="1" thickBot="1" x14ac:dyDescent="0.3">
      <c r="A332" s="8" t="s">
        <v>561</v>
      </c>
      <c r="B332" s="8" t="s">
        <v>224</v>
      </c>
      <c r="C332" s="9">
        <f>Colesnortries</f>
        <v>0</v>
      </c>
      <c r="D332" s="21" t="s">
        <v>345</v>
      </c>
      <c r="E332" s="21" t="s">
        <v>221</v>
      </c>
      <c r="F332" s="19">
        <f>Blackworpts</f>
        <v>0</v>
      </c>
    </row>
    <row r="333" spans="1:6" ht="15" customHeight="1" thickBot="1" x14ac:dyDescent="0.3">
      <c r="A333" s="8" t="s">
        <v>899</v>
      </c>
      <c r="B333" s="8" t="s">
        <v>892</v>
      </c>
      <c r="C333" s="9">
        <f>de_Kockneiltries</f>
        <v>0</v>
      </c>
      <c r="D333" s="21" t="s">
        <v>346</v>
      </c>
      <c r="E333" s="21" t="s">
        <v>223</v>
      </c>
      <c r="F333" s="19">
        <f>Boycebthpts</f>
        <v>0</v>
      </c>
    </row>
    <row r="334" spans="1:6" ht="15" customHeight="1" thickBot="1" x14ac:dyDescent="0.3">
      <c r="A334" s="8" t="s">
        <v>357</v>
      </c>
      <c r="B334" s="8" t="s">
        <v>250</v>
      </c>
      <c r="C334" s="9">
        <f>Collierhartries</f>
        <v>0</v>
      </c>
      <c r="D334" s="21" t="s">
        <v>803</v>
      </c>
      <c r="E334" s="21" t="s">
        <v>577</v>
      </c>
      <c r="F334" s="19">
        <f>Arscottnewpts</f>
        <v>0</v>
      </c>
    </row>
    <row r="335" spans="1:6" ht="15" customHeight="1" thickBot="1" x14ac:dyDescent="0.3">
      <c r="A335" s="9" t="s">
        <v>937</v>
      </c>
      <c r="B335" s="9" t="s">
        <v>892</v>
      </c>
      <c r="C335" s="9">
        <f>Connonnewtriescorrectthsione</f>
        <v>0</v>
      </c>
      <c r="D335" s="21" t="s">
        <v>509</v>
      </c>
      <c r="E335" s="21" t="s">
        <v>221</v>
      </c>
      <c r="F335" s="19">
        <f>Breslerworpts</f>
        <v>0</v>
      </c>
    </row>
    <row r="336" spans="1:6" ht="15" customHeight="1" thickBot="1" x14ac:dyDescent="0.3">
      <c r="A336" s="8" t="s">
        <v>359</v>
      </c>
      <c r="B336" s="8" t="s">
        <v>260</v>
      </c>
      <c r="C336" s="9">
        <f>BrophyClewslirtries</f>
        <v>0</v>
      </c>
      <c r="D336" s="21" t="s">
        <v>896</v>
      </c>
      <c r="E336" s="21" t="s">
        <v>892</v>
      </c>
      <c r="F336" s="19">
        <f>Boschmarcelopts</f>
        <v>0</v>
      </c>
    </row>
    <row r="337" spans="1:6" ht="15" customHeight="1" thickBot="1" x14ac:dyDescent="0.3">
      <c r="A337" s="9" t="s">
        <v>644</v>
      </c>
      <c r="B337" s="9" t="s">
        <v>577</v>
      </c>
      <c r="C337" s="9">
        <f>Cookelirtries</f>
        <v>0</v>
      </c>
      <c r="D337" s="21" t="s">
        <v>347</v>
      </c>
      <c r="E337" s="21" t="s">
        <v>252</v>
      </c>
      <c r="F337" s="19">
        <f>Brookeswaspts</f>
        <v>0</v>
      </c>
    </row>
    <row r="338" spans="1:6" ht="15" customHeight="1" thickBot="1" x14ac:dyDescent="0.3">
      <c r="A338" s="399" t="s">
        <v>630</v>
      </c>
      <c r="B338" s="399" t="s">
        <v>222</v>
      </c>
      <c r="C338" s="6">
        <f>Cooper_Woolleysaltries</f>
        <v>0</v>
      </c>
      <c r="D338" s="21" t="s">
        <v>349</v>
      </c>
      <c r="E338" s="21" t="s">
        <v>221</v>
      </c>
      <c r="F338" s="19">
        <f>Daviesalexpts</f>
        <v>0</v>
      </c>
    </row>
    <row r="339" spans="1:6" ht="15" customHeight="1" thickBot="1" x14ac:dyDescent="0.3">
      <c r="A339" s="399" t="s">
        <v>238</v>
      </c>
      <c r="B339" s="399" t="s">
        <v>222</v>
      </c>
      <c r="C339" s="6">
        <f>Curry_Bsaltries</f>
        <v>0</v>
      </c>
      <c r="D339" s="21" t="s">
        <v>350</v>
      </c>
      <c r="E339" s="21" t="s">
        <v>250</v>
      </c>
      <c r="F339" s="19">
        <f>Buchananpts</f>
        <v>0</v>
      </c>
    </row>
    <row r="340" spans="1:6" ht="15" customHeight="1" thickBot="1" x14ac:dyDescent="0.3">
      <c r="A340" s="8" t="s">
        <v>239</v>
      </c>
      <c r="B340" s="8" t="s">
        <v>222</v>
      </c>
      <c r="C340" s="9">
        <f>Curry_Tsaltries</f>
        <v>0</v>
      </c>
      <c r="D340" s="21" t="s">
        <v>628</v>
      </c>
      <c r="E340" s="21" t="s">
        <v>252</v>
      </c>
      <c r="F340" s="18">
        <f>Cardallwaspts</f>
        <v>0</v>
      </c>
    </row>
    <row r="341" spans="1:6" ht="15" customHeight="1" thickBot="1" x14ac:dyDescent="0.3">
      <c r="A341" s="8" t="s">
        <v>634</v>
      </c>
      <c r="B341" s="8" t="s">
        <v>222</v>
      </c>
      <c r="C341" s="9">
        <f>Curtissaltries</f>
        <v>0</v>
      </c>
      <c r="D341" s="401" t="s">
        <v>731</v>
      </c>
      <c r="E341" s="401" t="s">
        <v>250</v>
      </c>
      <c r="F341" s="19">
        <f>Catrakilisharpts</f>
        <v>0</v>
      </c>
    </row>
    <row r="342" spans="1:6" ht="15" customHeight="1" thickBot="1" x14ac:dyDescent="0.3">
      <c r="A342" s="8" t="s">
        <v>740</v>
      </c>
      <c r="B342" s="8" t="s">
        <v>221</v>
      </c>
      <c r="C342" s="9">
        <f>Coxwortries</f>
        <v>0</v>
      </c>
      <c r="D342" s="21" t="s">
        <v>580</v>
      </c>
      <c r="E342" s="21" t="s">
        <v>577</v>
      </c>
      <c r="F342" s="19">
        <f>Blamirenewpts</f>
        <v>0</v>
      </c>
    </row>
    <row r="343" spans="1:6" ht="15" customHeight="1" thickBot="1" x14ac:dyDescent="0.3">
      <c r="A343" s="8" t="s">
        <v>904</v>
      </c>
      <c r="B343" s="8" t="s">
        <v>892</v>
      </c>
      <c r="C343" s="9">
        <f>du_Plessissartries</f>
        <v>0</v>
      </c>
      <c r="D343" s="21" t="s">
        <v>231</v>
      </c>
      <c r="E343" s="21" t="s">
        <v>250</v>
      </c>
      <c r="F343" s="19">
        <f>Chisholm_Rharpts</f>
        <v>0</v>
      </c>
    </row>
    <row r="344" spans="1:6" ht="15" customHeight="1" thickBot="1" x14ac:dyDescent="0.3">
      <c r="A344" s="9" t="s">
        <v>906</v>
      </c>
      <c r="B344" s="9" t="s">
        <v>892</v>
      </c>
      <c r="C344" s="9">
        <f>Earlsartries</f>
        <v>0</v>
      </c>
      <c r="D344" s="401" t="s">
        <v>352</v>
      </c>
      <c r="E344" s="401" t="s">
        <v>223</v>
      </c>
      <c r="F344" s="19">
        <f>Chudleybthpts</f>
        <v>0</v>
      </c>
    </row>
    <row r="345" spans="1:6" ht="15" customHeight="1" thickBot="1" x14ac:dyDescent="0.3">
      <c r="A345" s="8" t="s">
        <v>363</v>
      </c>
      <c r="B345" s="8" t="s">
        <v>252</v>
      </c>
      <c r="C345" s="9">
        <f>de_Jonghwastries</f>
        <v>0</v>
      </c>
      <c r="D345" s="21" t="s">
        <v>354</v>
      </c>
      <c r="E345" s="21" t="s">
        <v>222</v>
      </c>
      <c r="F345" s="19">
        <f>Cliffwillsalpts</f>
        <v>0</v>
      </c>
    </row>
    <row r="346" spans="1:6" ht="15" customHeight="1" thickBot="1" x14ac:dyDescent="0.3">
      <c r="A346" s="8" t="s">
        <v>979</v>
      </c>
      <c r="B346" s="8" t="s">
        <v>253</v>
      </c>
      <c r="C346" s="57">
        <f>Diaz_Bonilla_Jleictries</f>
        <v>0</v>
      </c>
      <c r="D346" s="21" t="s">
        <v>529</v>
      </c>
      <c r="E346" s="21" t="s">
        <v>220</v>
      </c>
      <c r="F346" s="19">
        <f>Coetzerglopts</f>
        <v>0</v>
      </c>
    </row>
    <row r="347" spans="1:6" ht="15" customHeight="1" thickBot="1" x14ac:dyDescent="0.3">
      <c r="A347" s="8" t="s">
        <v>823</v>
      </c>
      <c r="B347" s="8" t="s">
        <v>223</v>
      </c>
      <c r="C347" s="9">
        <f>Douglasbthtries</f>
        <v>0</v>
      </c>
      <c r="D347" s="21" t="s">
        <v>703</v>
      </c>
      <c r="E347" s="21" t="s">
        <v>577</v>
      </c>
      <c r="F347" s="19">
        <f>Blairnewpts</f>
        <v>0</v>
      </c>
    </row>
    <row r="348" spans="1:6" ht="15" customHeight="1" thickBot="1" x14ac:dyDescent="0.3">
      <c r="A348" s="8" t="s">
        <v>367</v>
      </c>
      <c r="B348" s="8" t="s">
        <v>221</v>
      </c>
      <c r="C348" s="9">
        <f>du_Preezwortries</f>
        <v>0</v>
      </c>
      <c r="D348" s="21" t="s">
        <v>561</v>
      </c>
      <c r="E348" s="21" t="s">
        <v>224</v>
      </c>
      <c r="F348" s="19">
        <f>Colesnorpts</f>
        <v>0</v>
      </c>
    </row>
    <row r="349" spans="1:6" ht="15" customHeight="1" thickBot="1" x14ac:dyDescent="0.3">
      <c r="A349" s="8" t="s">
        <v>842</v>
      </c>
      <c r="B349" s="8" t="s">
        <v>260</v>
      </c>
      <c r="C349" s="9">
        <f>Cranebritries</f>
        <v>0</v>
      </c>
      <c r="D349" s="21" t="s">
        <v>899</v>
      </c>
      <c r="E349" s="21" t="s">
        <v>892</v>
      </c>
      <c r="F349" s="19">
        <f>de_Kockneilpts</f>
        <v>0</v>
      </c>
    </row>
    <row r="350" spans="1:6" ht="15" customHeight="1" thickBot="1" x14ac:dyDescent="0.3">
      <c r="A350" s="9" t="s">
        <v>369</v>
      </c>
      <c r="B350" s="8" t="s">
        <v>260</v>
      </c>
      <c r="C350" s="9">
        <f>Danielsbritries</f>
        <v>0</v>
      </c>
      <c r="D350" s="21" t="s">
        <v>357</v>
      </c>
      <c r="E350" s="21" t="s">
        <v>250</v>
      </c>
      <c r="F350" s="19">
        <f>Collierharpts</f>
        <v>0</v>
      </c>
    </row>
    <row r="351" spans="1:6" ht="15" customHeight="1" thickBot="1" x14ac:dyDescent="0.3">
      <c r="A351" s="8" t="s">
        <v>538</v>
      </c>
      <c r="B351" s="8" t="s">
        <v>260</v>
      </c>
      <c r="C351" s="9">
        <f>Edenbritries</f>
        <v>0</v>
      </c>
      <c r="D351" s="21" t="s">
        <v>359</v>
      </c>
      <c r="E351" s="21" t="s">
        <v>260</v>
      </c>
      <c r="F351" s="19">
        <f>BrophyClewslirpts</f>
        <v>0</v>
      </c>
    </row>
    <row r="352" spans="1:6" ht="15" customHeight="1" thickBot="1" x14ac:dyDescent="0.3">
      <c r="A352" s="9" t="s">
        <v>372</v>
      </c>
      <c r="B352" s="9" t="s">
        <v>250</v>
      </c>
      <c r="C352" s="9">
        <f>Eliahartries</f>
        <v>0</v>
      </c>
      <c r="D352" s="19" t="s">
        <v>644</v>
      </c>
      <c r="E352" s="19" t="s">
        <v>577</v>
      </c>
      <c r="F352" s="19">
        <f>Cookelirpts</f>
        <v>0</v>
      </c>
    </row>
    <row r="353" spans="1:6" ht="15" customHeight="1" thickBot="1" x14ac:dyDescent="0.3">
      <c r="A353" s="8" t="s">
        <v>373</v>
      </c>
      <c r="B353" s="8" t="s">
        <v>223</v>
      </c>
      <c r="C353" s="9">
        <f>Evansbthtries</f>
        <v>0</v>
      </c>
      <c r="D353" s="401" t="s">
        <v>630</v>
      </c>
      <c r="E353" s="401" t="s">
        <v>222</v>
      </c>
      <c r="F353" s="19">
        <f>Cooper_Woolleysalpts</f>
        <v>0</v>
      </c>
    </row>
    <row r="354" spans="1:6" ht="15" customHeight="1" thickBot="1" x14ac:dyDescent="0.3">
      <c r="A354" s="8" t="s">
        <v>582</v>
      </c>
      <c r="B354" s="8" t="s">
        <v>577</v>
      </c>
      <c r="C354" s="9">
        <f>Connonnewtriescorrect</f>
        <v>0</v>
      </c>
      <c r="D354" s="401" t="s">
        <v>238</v>
      </c>
      <c r="E354" s="401" t="s">
        <v>222</v>
      </c>
      <c r="F354" s="19">
        <f>Curry_Bsalpts</f>
        <v>0</v>
      </c>
    </row>
    <row r="355" spans="1:6" ht="15" customHeight="1" thickBot="1" x14ac:dyDescent="0.3">
      <c r="A355" s="9" t="s">
        <v>876</v>
      </c>
      <c r="B355" s="9" t="s">
        <v>250</v>
      </c>
      <c r="C355" s="9">
        <f>Evans_Ohartries</f>
        <v>0</v>
      </c>
      <c r="D355" s="21" t="s">
        <v>239</v>
      </c>
      <c r="E355" s="21" t="s">
        <v>222</v>
      </c>
      <c r="F355" s="19">
        <f>Curry_Tsalpts</f>
        <v>0</v>
      </c>
    </row>
    <row r="356" spans="1:6" ht="15" customHeight="1" thickBot="1" x14ac:dyDescent="0.3">
      <c r="A356" s="8" t="s">
        <v>882</v>
      </c>
      <c r="B356" s="8" t="s">
        <v>253</v>
      </c>
      <c r="C356" s="9">
        <f>Croftleitries</f>
        <v>0</v>
      </c>
      <c r="D356" s="21" t="s">
        <v>634</v>
      </c>
      <c r="E356" s="21" t="s">
        <v>222</v>
      </c>
      <c r="F356" s="19">
        <f>Curtissalpts</f>
        <v>0</v>
      </c>
    </row>
    <row r="357" spans="1:6" ht="15" customHeight="1" thickBot="1" x14ac:dyDescent="0.3">
      <c r="A357" s="8" t="s">
        <v>643</v>
      </c>
      <c r="B357" s="8" t="s">
        <v>577</v>
      </c>
      <c r="C357" s="9">
        <f>Englefieldlirtries</f>
        <v>0</v>
      </c>
      <c r="D357" s="21" t="s">
        <v>740</v>
      </c>
      <c r="E357" s="21" t="s">
        <v>221</v>
      </c>
      <c r="F357" s="19">
        <f>Coxworpts</f>
        <v>0</v>
      </c>
    </row>
    <row r="358" spans="1:6" ht="15" customHeight="1" thickBot="1" x14ac:dyDescent="0.3">
      <c r="A358" s="8" t="s">
        <v>374</v>
      </c>
      <c r="B358" s="8" t="s">
        <v>223</v>
      </c>
      <c r="C358" s="9">
        <f>ewelsbthtries</f>
        <v>0</v>
      </c>
      <c r="D358" s="21" t="s">
        <v>904</v>
      </c>
      <c r="E358" s="21" t="s">
        <v>892</v>
      </c>
      <c r="F358" s="19">
        <f>du_Plessissarpts</f>
        <v>0</v>
      </c>
    </row>
    <row r="359" spans="1:6" ht="15" customHeight="1" thickBot="1" x14ac:dyDescent="0.3">
      <c r="A359" s="9" t="s">
        <v>376</v>
      </c>
      <c r="B359" s="9" t="s">
        <v>260</v>
      </c>
      <c r="C359" s="9">
        <f>Fenton_Wellsbritries</f>
        <v>0</v>
      </c>
      <c r="D359" s="19" t="s">
        <v>906</v>
      </c>
      <c r="E359" s="19" t="s">
        <v>892</v>
      </c>
      <c r="F359" s="19">
        <f>Earlsarpts</f>
        <v>0</v>
      </c>
    </row>
    <row r="360" spans="1:6" ht="15" customHeight="1" thickBot="1" x14ac:dyDescent="0.3">
      <c r="A360" s="8" t="s">
        <v>711</v>
      </c>
      <c r="B360" s="8" t="s">
        <v>221</v>
      </c>
      <c r="C360" s="9">
        <f>Fatialofawortries</f>
        <v>0</v>
      </c>
      <c r="D360" s="21" t="s">
        <v>363</v>
      </c>
      <c r="E360" s="21" t="s">
        <v>252</v>
      </c>
      <c r="F360" s="19">
        <f>de_Jonghwaspts</f>
        <v>0</v>
      </c>
    </row>
    <row r="361" spans="1:6" ht="15" customHeight="1" thickBot="1" x14ac:dyDescent="0.3">
      <c r="A361" s="8" t="s">
        <v>377</v>
      </c>
      <c r="B361" s="8" t="s">
        <v>224</v>
      </c>
      <c r="C361" s="9">
        <f>Fishnortries</f>
        <v>0</v>
      </c>
      <c r="D361" s="21" t="s">
        <v>823</v>
      </c>
      <c r="E361" s="21" t="s">
        <v>223</v>
      </c>
      <c r="F361" s="20">
        <f>Douglasbthpts</f>
        <v>0</v>
      </c>
    </row>
    <row r="362" spans="1:6" ht="15" customHeight="1" thickBot="1" x14ac:dyDescent="0.3">
      <c r="A362" s="8" t="s">
        <v>232</v>
      </c>
      <c r="B362" s="8" t="s">
        <v>253</v>
      </c>
      <c r="C362" s="9">
        <f>fordleictries</f>
        <v>0</v>
      </c>
      <c r="D362" s="21" t="s">
        <v>367</v>
      </c>
      <c r="E362" s="21" t="s">
        <v>221</v>
      </c>
      <c r="F362" s="19">
        <f>du_Preezworpts</f>
        <v>0</v>
      </c>
    </row>
    <row r="363" spans="1:6" ht="15" customHeight="1" thickBot="1" x14ac:dyDescent="0.3">
      <c r="A363" s="8" t="s">
        <v>378</v>
      </c>
      <c r="B363" s="8" t="s">
        <v>220</v>
      </c>
      <c r="C363" s="9">
        <f>Ford_Robinsonglotries</f>
        <v>0</v>
      </c>
      <c r="D363" s="21" t="s">
        <v>842</v>
      </c>
      <c r="E363" s="21" t="s">
        <v>260</v>
      </c>
      <c r="F363" s="19">
        <f>cranebripts</f>
        <v>0</v>
      </c>
    </row>
    <row r="364" spans="1:6" ht="15" customHeight="1" thickBot="1" x14ac:dyDescent="0.3">
      <c r="A364" s="8" t="s">
        <v>825</v>
      </c>
      <c r="B364" s="8" t="s">
        <v>223</v>
      </c>
      <c r="C364" s="9">
        <f>Fotuali_ibthtries</f>
        <v>0</v>
      </c>
      <c r="D364" s="21" t="s">
        <v>369</v>
      </c>
      <c r="E364" s="21" t="s">
        <v>260</v>
      </c>
      <c r="F364" s="19">
        <f>Danielsbripts</f>
        <v>0</v>
      </c>
    </row>
    <row r="365" spans="1:6" ht="15" customHeight="1" thickBot="1" x14ac:dyDescent="0.3">
      <c r="A365" s="9" t="s">
        <v>379</v>
      </c>
      <c r="B365" s="8" t="s">
        <v>224</v>
      </c>
      <c r="C365" s="9">
        <f>Franksnortries</f>
        <v>0</v>
      </c>
      <c r="D365" s="19" t="s">
        <v>372</v>
      </c>
      <c r="E365" s="19" t="s">
        <v>250</v>
      </c>
      <c r="F365" s="19">
        <f>Eliaharpts</f>
        <v>0</v>
      </c>
    </row>
    <row r="366" spans="1:6" ht="15" customHeight="1" thickBot="1" x14ac:dyDescent="0.3">
      <c r="A366" s="8" t="s">
        <v>681</v>
      </c>
      <c r="B366" s="8" t="s">
        <v>260</v>
      </c>
      <c r="C366" s="9">
        <f>Dorrianlitries</f>
        <v>0</v>
      </c>
      <c r="D366" s="21" t="s">
        <v>373</v>
      </c>
      <c r="E366" s="21" t="s">
        <v>223</v>
      </c>
      <c r="F366" s="19">
        <f>Evansbthpts</f>
        <v>0</v>
      </c>
    </row>
    <row r="367" spans="1:6" ht="15" customHeight="1" thickBot="1" x14ac:dyDescent="0.3">
      <c r="A367" s="8" t="s">
        <v>568</v>
      </c>
      <c r="B367" s="8" t="s">
        <v>253</v>
      </c>
      <c r="C367" s="9">
        <f>Gigenaleictries</f>
        <v>0</v>
      </c>
      <c r="D367" s="21" t="s">
        <v>582</v>
      </c>
      <c r="E367" s="21" t="s">
        <v>577</v>
      </c>
      <c r="F367" s="19">
        <f>Connonnewptscorrect</f>
        <v>0</v>
      </c>
    </row>
    <row r="368" spans="1:6" ht="15" customHeight="1" thickBot="1" x14ac:dyDescent="0.3">
      <c r="A368" s="8" t="s">
        <v>769</v>
      </c>
      <c r="B368" s="8" t="s">
        <v>224</v>
      </c>
      <c r="C368" s="9">
        <f>Gillespienortries</f>
        <v>0</v>
      </c>
      <c r="D368" s="19" t="s">
        <v>876</v>
      </c>
      <c r="E368" s="19" t="s">
        <v>250</v>
      </c>
      <c r="F368" s="19">
        <f>Evans_Oharpts</f>
        <v>0</v>
      </c>
    </row>
    <row r="369" spans="1:6" ht="15" customHeight="1" thickBot="1" x14ac:dyDescent="0.3">
      <c r="A369" s="8" t="s">
        <v>383</v>
      </c>
      <c r="B369" s="8" t="s">
        <v>220</v>
      </c>
      <c r="C369" s="9">
        <f>Halaifonuaglotries</f>
        <v>0</v>
      </c>
      <c r="D369" s="21" t="s">
        <v>882</v>
      </c>
      <c r="E369" s="21" t="s">
        <v>253</v>
      </c>
      <c r="F369" s="19">
        <f>Croftleipts</f>
        <v>0</v>
      </c>
    </row>
    <row r="370" spans="1:6" ht="15" customHeight="1" thickBot="1" x14ac:dyDescent="0.3">
      <c r="A370" s="8" t="s">
        <v>384</v>
      </c>
      <c r="B370" s="8" t="s">
        <v>252</v>
      </c>
      <c r="C370" s="9">
        <f>Goodewastries</f>
        <v>0</v>
      </c>
      <c r="D370" s="21" t="s">
        <v>643</v>
      </c>
      <c r="E370" s="21" t="s">
        <v>577</v>
      </c>
      <c r="F370" s="19">
        <f>Englefieldlirpts</f>
        <v>0</v>
      </c>
    </row>
    <row r="371" spans="1:6" ht="15" customHeight="1" thickBot="1" x14ac:dyDescent="0.3">
      <c r="A371" s="8" t="s">
        <v>827</v>
      </c>
      <c r="B371" s="8" t="s">
        <v>223</v>
      </c>
      <c r="C371" s="9">
        <f>Garveymatttries</f>
        <v>0</v>
      </c>
      <c r="D371" s="21" t="s">
        <v>374</v>
      </c>
      <c r="E371" s="21" t="s">
        <v>223</v>
      </c>
      <c r="F371" s="19">
        <f>Ewelsbthpts</f>
        <v>0</v>
      </c>
    </row>
    <row r="372" spans="1:6" ht="15" customHeight="1" thickBot="1" x14ac:dyDescent="0.3">
      <c r="A372" s="8" t="s">
        <v>386</v>
      </c>
      <c r="B372" s="8" t="s">
        <v>260</v>
      </c>
      <c r="C372" s="9">
        <f>Fenbylitries</f>
        <v>0</v>
      </c>
      <c r="D372" s="19" t="s">
        <v>376</v>
      </c>
      <c r="E372" s="19" t="s">
        <v>260</v>
      </c>
      <c r="F372" s="19">
        <f>Fenton_Wellsbripts</f>
        <v>0</v>
      </c>
    </row>
    <row r="373" spans="1:6" ht="15" customHeight="1" thickBot="1" x14ac:dyDescent="0.3">
      <c r="A373" s="8" t="s">
        <v>671</v>
      </c>
      <c r="B373" s="8" t="s">
        <v>223</v>
      </c>
      <c r="C373" s="9">
        <f>Greenbthtries</f>
        <v>0</v>
      </c>
      <c r="D373" s="21" t="s">
        <v>711</v>
      </c>
      <c r="E373" s="21" t="s">
        <v>221</v>
      </c>
      <c r="F373" s="19">
        <f>Fatialofaworpts</f>
        <v>0</v>
      </c>
    </row>
    <row r="374" spans="1:6" ht="15" customHeight="1" thickBot="1" x14ac:dyDescent="0.3">
      <c r="A374" s="8" t="s">
        <v>908</v>
      </c>
      <c r="B374" s="8" t="s">
        <v>892</v>
      </c>
      <c r="C374" s="9">
        <f>Gallaghersartries</f>
        <v>0</v>
      </c>
      <c r="D374" s="21" t="s">
        <v>377</v>
      </c>
      <c r="E374" s="21" t="s">
        <v>224</v>
      </c>
      <c r="F374" s="19">
        <f>Fishnorpts</f>
        <v>0</v>
      </c>
    </row>
    <row r="375" spans="1:6" ht="15" customHeight="1" thickBot="1" x14ac:dyDescent="0.3">
      <c r="A375" s="8" t="s">
        <v>254</v>
      </c>
      <c r="B375" s="8" t="s">
        <v>252</v>
      </c>
      <c r="C375" s="9">
        <f>Harris_Bwastries</f>
        <v>0</v>
      </c>
      <c r="D375" s="21" t="s">
        <v>378</v>
      </c>
      <c r="E375" s="21" t="s">
        <v>220</v>
      </c>
      <c r="F375" s="19">
        <f>Ford_Robinsonglopts</f>
        <v>0</v>
      </c>
    </row>
    <row r="376" spans="1:6" ht="15" customHeight="1" thickBot="1" x14ac:dyDescent="0.3">
      <c r="A376" s="8" t="s">
        <v>255</v>
      </c>
      <c r="B376" s="8" t="s">
        <v>222</v>
      </c>
      <c r="C376" s="9">
        <f>Harrisonsaltris</f>
        <v>0</v>
      </c>
      <c r="D376" s="21" t="s">
        <v>825</v>
      </c>
      <c r="E376" s="21" t="s">
        <v>223</v>
      </c>
      <c r="F376" s="19">
        <f>Fotuali_ibthpts</f>
        <v>0</v>
      </c>
    </row>
    <row r="377" spans="1:6" ht="15" customHeight="1" thickBot="1" x14ac:dyDescent="0.3">
      <c r="A377" s="8" t="s">
        <v>845</v>
      </c>
      <c r="B377" s="8" t="s">
        <v>260</v>
      </c>
      <c r="C377" s="9">
        <f>Fenbylitries</f>
        <v>0</v>
      </c>
      <c r="D377" s="19" t="s">
        <v>379</v>
      </c>
      <c r="E377" s="21" t="s">
        <v>224</v>
      </c>
      <c r="F377" s="19">
        <f>Franksnorpts</f>
        <v>0</v>
      </c>
    </row>
    <row r="378" spans="1:6" ht="15" customHeight="1" thickBot="1" x14ac:dyDescent="0.3">
      <c r="A378" s="8" t="s">
        <v>389</v>
      </c>
      <c r="B378" s="8" t="s">
        <v>221</v>
      </c>
      <c r="C378" s="9">
        <f>Heaneywortries</f>
        <v>0</v>
      </c>
      <c r="D378" s="21" t="s">
        <v>681</v>
      </c>
      <c r="E378" s="21" t="s">
        <v>260</v>
      </c>
      <c r="F378" s="19">
        <f>Dorrianlipts</f>
        <v>0</v>
      </c>
    </row>
    <row r="379" spans="1:6" ht="15" customHeight="1" thickBot="1" x14ac:dyDescent="0.3">
      <c r="A379" s="8" t="s">
        <v>392</v>
      </c>
      <c r="B379" s="8" t="s">
        <v>251</v>
      </c>
      <c r="C379" s="9">
        <f>Hendricksonexetries</f>
        <v>0</v>
      </c>
      <c r="D379" s="21" t="s">
        <v>568</v>
      </c>
      <c r="E379" s="21" t="s">
        <v>253</v>
      </c>
      <c r="F379" s="19">
        <f>Gigenaleicpts</f>
        <v>0</v>
      </c>
    </row>
    <row r="380" spans="1:6" ht="15" customHeight="1" thickBot="1" x14ac:dyDescent="0.3">
      <c r="A380" s="8" t="s">
        <v>744</v>
      </c>
      <c r="B380" s="8" t="s">
        <v>253</v>
      </c>
      <c r="C380" s="9">
        <f>Henryleictries</f>
        <v>0</v>
      </c>
      <c r="D380" s="21" t="s">
        <v>769</v>
      </c>
      <c r="E380" s="21" t="s">
        <v>224</v>
      </c>
      <c r="F380" s="18">
        <f>Gillespienorpts</f>
        <v>0</v>
      </c>
    </row>
    <row r="381" spans="1:6" ht="15" customHeight="1" thickBot="1" x14ac:dyDescent="0.3">
      <c r="A381" s="8" t="s">
        <v>584</v>
      </c>
      <c r="B381" s="8" t="s">
        <v>577</v>
      </c>
      <c r="C381" s="9">
        <f>Floodnewtries</f>
        <v>0</v>
      </c>
      <c r="D381" s="21" t="s">
        <v>383</v>
      </c>
      <c r="E381" s="21" t="s">
        <v>220</v>
      </c>
      <c r="F381" s="19">
        <f>Halaifonuaglopts</f>
        <v>0</v>
      </c>
    </row>
    <row r="382" spans="1:6" ht="15" customHeight="1" thickBot="1" x14ac:dyDescent="0.3">
      <c r="A382" s="8" t="s">
        <v>683</v>
      </c>
      <c r="B382" s="8" t="s">
        <v>221</v>
      </c>
      <c r="C382" s="9">
        <f>Galarzamarianotries</f>
        <v>0</v>
      </c>
      <c r="D382" s="21" t="s">
        <v>827</v>
      </c>
      <c r="E382" s="21" t="s">
        <v>223</v>
      </c>
      <c r="F382" s="19">
        <f>Garveymattpts</f>
        <v>0</v>
      </c>
    </row>
    <row r="383" spans="1:6" ht="15" customHeight="1" thickBot="1" x14ac:dyDescent="0.3">
      <c r="A383" s="8" t="s">
        <v>884</v>
      </c>
      <c r="B383" s="8" t="s">
        <v>253</v>
      </c>
      <c r="C383" s="9">
        <f>Holmesleictries</f>
        <v>0</v>
      </c>
      <c r="D383" s="21" t="s">
        <v>386</v>
      </c>
      <c r="E383" s="21" t="s">
        <v>260</v>
      </c>
      <c r="F383" s="19">
        <f>Fenbylipts</f>
        <v>0</v>
      </c>
    </row>
    <row r="384" spans="1:6" ht="15" customHeight="1" thickBot="1" x14ac:dyDescent="0.3">
      <c r="A384" s="9" t="s">
        <v>615</v>
      </c>
      <c r="B384" s="9" t="s">
        <v>251</v>
      </c>
      <c r="C384" s="9">
        <f>Hill_Samexetries</f>
        <v>0</v>
      </c>
      <c r="D384" s="19" t="s">
        <v>671</v>
      </c>
      <c r="E384" s="21" t="s">
        <v>223</v>
      </c>
      <c r="F384" s="19">
        <f>Greenbthpts</f>
        <v>0</v>
      </c>
    </row>
    <row r="385" spans="1:6" ht="15" customHeight="1" thickBot="1" x14ac:dyDescent="0.3">
      <c r="A385" s="9" t="s">
        <v>939</v>
      </c>
      <c r="B385" s="9" t="s">
        <v>892</v>
      </c>
      <c r="C385" s="9">
        <f>Hodgsonnewtriescorrect</f>
        <v>0</v>
      </c>
      <c r="D385" s="21" t="s">
        <v>908</v>
      </c>
      <c r="E385" s="21" t="s">
        <v>892</v>
      </c>
      <c r="F385" s="19">
        <f>Gallaghersarpts</f>
        <v>0</v>
      </c>
    </row>
    <row r="386" spans="1:6" ht="15" customHeight="1" thickBot="1" x14ac:dyDescent="0.3">
      <c r="A386" s="8" t="s">
        <v>316</v>
      </c>
      <c r="B386" s="8" t="s">
        <v>260</v>
      </c>
      <c r="C386" s="57">
        <f>Frankslirtries</f>
        <v>0</v>
      </c>
      <c r="D386" s="21" t="s">
        <v>254</v>
      </c>
      <c r="E386" s="21" t="s">
        <v>252</v>
      </c>
      <c r="F386" s="19">
        <f>Harris_Bwaspts</f>
        <v>0</v>
      </c>
    </row>
    <row r="387" spans="1:6" ht="15" customHeight="1" thickBot="1" x14ac:dyDescent="0.3">
      <c r="A387" s="8" t="s">
        <v>98</v>
      </c>
      <c r="B387" s="8" t="s">
        <v>577</v>
      </c>
      <c r="C387" s="9">
        <f>Furnonewtries</f>
        <v>0</v>
      </c>
      <c r="D387" s="21" t="s">
        <v>255</v>
      </c>
      <c r="E387" s="21" t="s">
        <v>222</v>
      </c>
      <c r="F387" s="19">
        <f>Harrisonsalpts</f>
        <v>0</v>
      </c>
    </row>
    <row r="388" spans="1:6" ht="15" customHeight="1" thickBot="1" x14ac:dyDescent="0.3">
      <c r="A388" s="8" t="s">
        <v>396</v>
      </c>
      <c r="B388" s="8" t="s">
        <v>220</v>
      </c>
      <c r="C388" s="9">
        <f>Hudsonglotries</f>
        <v>0</v>
      </c>
      <c r="D388" s="21" t="s">
        <v>845</v>
      </c>
      <c r="E388" s="21" t="s">
        <v>260</v>
      </c>
      <c r="F388" s="19">
        <f>Fenbylipts</f>
        <v>0</v>
      </c>
    </row>
    <row r="389" spans="1:6" ht="15" customHeight="1" thickBot="1" x14ac:dyDescent="0.3">
      <c r="A389" s="8" t="s">
        <v>400</v>
      </c>
      <c r="B389" s="8" t="s">
        <v>251</v>
      </c>
      <c r="C389" s="9">
        <f>holmesexetries</f>
        <v>0</v>
      </c>
      <c r="D389" s="21" t="s">
        <v>389</v>
      </c>
      <c r="E389" s="21" t="s">
        <v>221</v>
      </c>
      <c r="F389" s="19">
        <f>Heaneyworpts</f>
        <v>0</v>
      </c>
    </row>
    <row r="390" spans="1:6" ht="15" customHeight="1" thickBot="1" x14ac:dyDescent="0.3">
      <c r="A390" s="8" t="s">
        <v>586</v>
      </c>
      <c r="B390" s="8" t="s">
        <v>577</v>
      </c>
      <c r="C390" s="9">
        <f>Graham__Guynewtries</f>
        <v>0</v>
      </c>
      <c r="D390" s="21" t="s">
        <v>392</v>
      </c>
      <c r="E390" s="21" t="s">
        <v>251</v>
      </c>
      <c r="F390" s="19">
        <f>Hendricksonexepts</f>
        <v>0</v>
      </c>
    </row>
    <row r="391" spans="1:6" ht="15" customHeight="1" thickBot="1" x14ac:dyDescent="0.3">
      <c r="A391" s="74" t="s">
        <v>401</v>
      </c>
      <c r="B391" s="8" t="s">
        <v>222</v>
      </c>
      <c r="C391" s="9">
        <f>Johnsaltries</f>
        <v>0</v>
      </c>
      <c r="D391" s="2" t="s">
        <v>584</v>
      </c>
      <c r="E391" s="21" t="s">
        <v>577</v>
      </c>
      <c r="F391" s="19">
        <f>Floodnewpts</f>
        <v>0</v>
      </c>
    </row>
    <row r="392" spans="1:6" ht="15" customHeight="1" thickBot="1" x14ac:dyDescent="0.3">
      <c r="A392" s="74" t="s">
        <v>860</v>
      </c>
      <c r="B392" s="8" t="s">
        <v>251</v>
      </c>
      <c r="C392" s="9">
        <f>jamestries</f>
        <v>0</v>
      </c>
      <c r="D392" s="2" t="s">
        <v>683</v>
      </c>
      <c r="E392" s="21" t="s">
        <v>221</v>
      </c>
      <c r="F392" s="20">
        <f>Galarzamarianopts</f>
        <v>0</v>
      </c>
    </row>
    <row r="393" spans="1:6" ht="15" customHeight="1" thickBot="1" x14ac:dyDescent="0.3">
      <c r="A393" s="74" t="s">
        <v>402</v>
      </c>
      <c r="B393" s="8" t="s">
        <v>223</v>
      </c>
      <c r="C393" s="9">
        <f>Josephbattries</f>
        <v>0</v>
      </c>
      <c r="D393" s="2" t="s">
        <v>884</v>
      </c>
      <c r="E393" s="21" t="s">
        <v>253</v>
      </c>
      <c r="F393" s="20">
        <f>Holmesleicpts</f>
        <v>0</v>
      </c>
    </row>
    <row r="394" spans="1:6" ht="15" customHeight="1" thickBot="1" x14ac:dyDescent="0.3">
      <c r="A394" s="74" t="s">
        <v>553</v>
      </c>
      <c r="B394" s="8" t="s">
        <v>223</v>
      </c>
      <c r="C394" s="9">
        <f>Judgebthtries</f>
        <v>0</v>
      </c>
      <c r="D394" s="17" t="s">
        <v>615</v>
      </c>
      <c r="E394" s="19" t="s">
        <v>251</v>
      </c>
      <c r="F394" s="19">
        <f>Hill_Ssamexepts</f>
        <v>0</v>
      </c>
    </row>
    <row r="395" spans="1:6" ht="15" customHeight="1" thickBot="1" x14ac:dyDescent="0.3">
      <c r="A395" s="74" t="s">
        <v>618</v>
      </c>
      <c r="B395" s="8" t="s">
        <v>251</v>
      </c>
      <c r="C395" s="9">
        <f>Kareaexetries</f>
        <v>0</v>
      </c>
      <c r="D395" s="2" t="s">
        <v>316</v>
      </c>
      <c r="E395" s="21" t="s">
        <v>260</v>
      </c>
      <c r="F395" s="19">
        <f>Frankslirpts</f>
        <v>0</v>
      </c>
    </row>
    <row r="396" spans="1:6" ht="15" customHeight="1" thickBot="1" x14ac:dyDescent="0.3">
      <c r="A396" s="74" t="s">
        <v>545</v>
      </c>
      <c r="B396" s="8" t="s">
        <v>251</v>
      </c>
      <c r="C396" s="9">
        <f>Keastexetries</f>
        <v>0</v>
      </c>
      <c r="D396" s="2" t="s">
        <v>98</v>
      </c>
      <c r="E396" s="21" t="s">
        <v>577</v>
      </c>
      <c r="F396" s="19">
        <f>Furnonewpts</f>
        <v>0</v>
      </c>
    </row>
    <row r="397" spans="1:6" ht="15" customHeight="1" thickBot="1" x14ac:dyDescent="0.3">
      <c r="A397" s="74" t="s">
        <v>404</v>
      </c>
      <c r="B397" s="8" t="s">
        <v>250</v>
      </c>
      <c r="C397" s="9">
        <f>Ibitoyehartries</f>
        <v>0</v>
      </c>
      <c r="D397" s="2" t="s">
        <v>396</v>
      </c>
      <c r="E397" s="21" t="s">
        <v>220</v>
      </c>
      <c r="F397" s="19">
        <f>Hudsonglopts</f>
        <v>0</v>
      </c>
    </row>
    <row r="398" spans="1:6" ht="15" customHeight="1" thickBot="1" x14ac:dyDescent="0.3">
      <c r="A398" s="10" t="s">
        <v>685</v>
      </c>
      <c r="B398" s="8" t="s">
        <v>221</v>
      </c>
      <c r="C398" s="9">
        <f>Lewisrobtries</f>
        <v>0</v>
      </c>
      <c r="D398" s="2" t="s">
        <v>400</v>
      </c>
      <c r="E398" s="21" t="s">
        <v>251</v>
      </c>
      <c r="F398" s="19">
        <f>Holmesexepts</f>
        <v>0</v>
      </c>
    </row>
    <row r="399" spans="1:6" ht="15" customHeight="1" thickBot="1" x14ac:dyDescent="0.3">
      <c r="A399" s="74" t="s">
        <v>868</v>
      </c>
      <c r="B399" s="8" t="s">
        <v>220</v>
      </c>
      <c r="C399" s="9">
        <f>Krielglotries</f>
        <v>0</v>
      </c>
      <c r="D399" s="2" t="s">
        <v>586</v>
      </c>
      <c r="E399" s="21" t="s">
        <v>577</v>
      </c>
      <c r="F399" s="19">
        <f>Graham__Guynewpts</f>
        <v>0</v>
      </c>
    </row>
    <row r="400" spans="1:6" ht="15" customHeight="1" thickBot="1" x14ac:dyDescent="0.3">
      <c r="A400" s="10" t="s">
        <v>405</v>
      </c>
      <c r="B400" s="8" t="s">
        <v>221</v>
      </c>
      <c r="C400" s="9">
        <f>Lancewortries</f>
        <v>0</v>
      </c>
      <c r="D400" s="2" t="s">
        <v>401</v>
      </c>
      <c r="E400" s="21" t="s">
        <v>222</v>
      </c>
      <c r="F400" s="19">
        <f>Johnsalpts</f>
        <v>0</v>
      </c>
    </row>
    <row r="401" spans="1:6" ht="15" customHeight="1" thickBot="1" x14ac:dyDescent="0.3">
      <c r="A401" s="74" t="s">
        <v>847</v>
      </c>
      <c r="B401" s="8" t="s">
        <v>260</v>
      </c>
      <c r="C401" s="9">
        <f>Lloydlirtries</f>
        <v>0</v>
      </c>
      <c r="D401" s="2" t="s">
        <v>860</v>
      </c>
      <c r="E401" s="21" t="s">
        <v>251</v>
      </c>
      <c r="F401" s="19">
        <f>Jamespts</f>
        <v>0</v>
      </c>
    </row>
    <row r="402" spans="1:6" ht="15" customHeight="1" thickBot="1" x14ac:dyDescent="0.3">
      <c r="A402" s="74" t="s">
        <v>406</v>
      </c>
      <c r="B402" s="8" t="s">
        <v>250</v>
      </c>
      <c r="C402" s="9">
        <f>Jonesadamhartries</f>
        <v>0</v>
      </c>
      <c r="D402" s="2" t="s">
        <v>402</v>
      </c>
      <c r="E402" s="21" t="s">
        <v>223</v>
      </c>
      <c r="F402" s="19">
        <f>Josephbatpts</f>
        <v>0</v>
      </c>
    </row>
    <row r="403" spans="1:6" ht="15" customHeight="1" thickBot="1" x14ac:dyDescent="0.3">
      <c r="A403" s="74" t="s">
        <v>409</v>
      </c>
      <c r="B403" s="8" t="s">
        <v>250</v>
      </c>
      <c r="C403" s="9">
        <f>Lasikehartries</f>
        <v>0</v>
      </c>
      <c r="D403" s="2" t="s">
        <v>553</v>
      </c>
      <c r="E403" s="21" t="s">
        <v>223</v>
      </c>
      <c r="F403" s="19">
        <f>Judgebthpts</f>
        <v>0</v>
      </c>
    </row>
    <row r="404" spans="1:6" ht="15" customHeight="1" thickBot="1" x14ac:dyDescent="0.3">
      <c r="A404" s="74" t="s">
        <v>410</v>
      </c>
      <c r="B404" s="8" t="s">
        <v>252</v>
      </c>
      <c r="C404" s="9">
        <f>Launchburywastries</f>
        <v>0</v>
      </c>
      <c r="D404" s="2" t="s">
        <v>618</v>
      </c>
      <c r="E404" s="21" t="s">
        <v>619</v>
      </c>
      <c r="F404" s="19">
        <f>Kareaexepts</f>
        <v>0</v>
      </c>
    </row>
    <row r="405" spans="1:6" ht="15" customHeight="1" thickBot="1" x14ac:dyDescent="0.3">
      <c r="A405" s="74" t="s">
        <v>411</v>
      </c>
      <c r="B405" s="8" t="s">
        <v>250</v>
      </c>
      <c r="C405" s="9">
        <f>Lewisdavehartries</f>
        <v>0</v>
      </c>
      <c r="D405" s="2" t="s">
        <v>545</v>
      </c>
      <c r="E405" s="21" t="s">
        <v>251</v>
      </c>
      <c r="F405" s="19">
        <f>Keastexepts</f>
        <v>0</v>
      </c>
    </row>
    <row r="406" spans="1:6" ht="15" customHeight="1" thickBot="1" x14ac:dyDescent="0.3">
      <c r="A406" s="10" t="s">
        <v>412</v>
      </c>
      <c r="B406" s="8" t="s">
        <v>224</v>
      </c>
      <c r="C406" s="9">
        <f>Lawesnortries</f>
        <v>0</v>
      </c>
      <c r="D406" s="2" t="s">
        <v>404</v>
      </c>
      <c r="E406" s="21" t="s">
        <v>250</v>
      </c>
      <c r="F406" s="19">
        <f>Ibitoyeharpts</f>
        <v>0</v>
      </c>
    </row>
    <row r="407" spans="1:6" ht="15" customHeight="1" thickBot="1" x14ac:dyDescent="0.3">
      <c r="A407" s="74" t="s">
        <v>413</v>
      </c>
      <c r="B407" s="8" t="s">
        <v>221</v>
      </c>
      <c r="C407" s="9">
        <f>Lawrencewortries</f>
        <v>0</v>
      </c>
      <c r="D407" s="17" t="s">
        <v>685</v>
      </c>
      <c r="E407" s="21" t="s">
        <v>221</v>
      </c>
      <c r="F407" s="19">
        <f>Lewisrobpts</f>
        <v>0</v>
      </c>
    </row>
    <row r="408" spans="1:6" ht="15" customHeight="1" thickBot="1" x14ac:dyDescent="0.3">
      <c r="A408" s="74" t="s">
        <v>694</v>
      </c>
      <c r="B408" s="8" t="s">
        <v>253</v>
      </c>
      <c r="C408" s="9">
        <f>Kitchenergrahamtriescorrect</f>
        <v>0</v>
      </c>
      <c r="D408" s="2" t="s">
        <v>868</v>
      </c>
      <c r="E408" s="21" t="s">
        <v>220</v>
      </c>
      <c r="F408" s="19">
        <f>Krielglopts</f>
        <v>0</v>
      </c>
    </row>
    <row r="409" spans="1:6" ht="15" customHeight="1" thickBot="1" x14ac:dyDescent="0.3">
      <c r="A409" s="74" t="s">
        <v>415</v>
      </c>
      <c r="B409" s="8" t="s">
        <v>260</v>
      </c>
      <c r="C409" s="9">
        <f>Loaderlirtries</f>
        <v>0</v>
      </c>
      <c r="D409" s="17" t="s">
        <v>405</v>
      </c>
      <c r="E409" s="21" t="s">
        <v>221</v>
      </c>
      <c r="F409" s="19">
        <f>Lanceworpts</f>
        <v>0</v>
      </c>
    </row>
    <row r="410" spans="1:6" ht="15" customHeight="1" thickBot="1" x14ac:dyDescent="0.3">
      <c r="A410" s="10" t="s">
        <v>243</v>
      </c>
      <c r="B410" s="9" t="s">
        <v>253</v>
      </c>
      <c r="C410" s="9">
        <f>Lewisleictries</f>
        <v>0</v>
      </c>
      <c r="D410" s="2" t="s">
        <v>847</v>
      </c>
      <c r="E410" s="21" t="s">
        <v>260</v>
      </c>
      <c r="F410" s="18">
        <f>Lloydlirpts</f>
        <v>0</v>
      </c>
    </row>
    <row r="411" spans="1:6" ht="15" customHeight="1" thickBot="1" x14ac:dyDescent="0.3">
      <c r="A411" s="74" t="s">
        <v>910</v>
      </c>
      <c r="B411" s="8" t="s">
        <v>892</v>
      </c>
      <c r="C411" s="9">
        <f>Georgesartries</f>
        <v>0</v>
      </c>
      <c r="D411" s="2" t="s">
        <v>406</v>
      </c>
      <c r="E411" s="21" t="s">
        <v>250</v>
      </c>
      <c r="F411" s="19">
        <f>Jonesadamharpts</f>
        <v>0</v>
      </c>
    </row>
    <row r="412" spans="1:6" ht="15" customHeight="1" thickBot="1" x14ac:dyDescent="0.3">
      <c r="A412" s="74" t="s">
        <v>911</v>
      </c>
      <c r="B412" s="8" t="s">
        <v>892</v>
      </c>
      <c r="C412" s="9">
        <f>goodealextries</f>
        <v>0</v>
      </c>
      <c r="D412" s="2" t="s">
        <v>409</v>
      </c>
      <c r="E412" s="21" t="s">
        <v>250</v>
      </c>
      <c r="F412" s="19">
        <f>Lasikeharpts</f>
        <v>0</v>
      </c>
    </row>
    <row r="413" spans="1:6" ht="15" customHeight="1" thickBot="1" x14ac:dyDescent="0.3">
      <c r="A413" s="74" t="s">
        <v>421</v>
      </c>
      <c r="B413" s="8" t="s">
        <v>224</v>
      </c>
      <c r="C413" s="9">
        <f>Mallindernortries</f>
        <v>0</v>
      </c>
      <c r="D413" s="2" t="s">
        <v>410</v>
      </c>
      <c r="E413" s="21" t="s">
        <v>252</v>
      </c>
      <c r="F413" s="19">
        <f>Launchburywaspts</f>
        <v>0</v>
      </c>
    </row>
    <row r="414" spans="1:6" ht="15" customHeight="1" thickBot="1" x14ac:dyDescent="0.3">
      <c r="A414" s="74" t="s">
        <v>424</v>
      </c>
      <c r="B414" s="8" t="s">
        <v>250</v>
      </c>
      <c r="C414" s="9">
        <f>marlertries</f>
        <v>0</v>
      </c>
      <c r="D414" s="2" t="s">
        <v>411</v>
      </c>
      <c r="E414" s="21" t="s">
        <v>250</v>
      </c>
      <c r="F414" s="20">
        <f>Lewisdaveharpts</f>
        <v>0</v>
      </c>
    </row>
    <row r="415" spans="1:6" ht="15" customHeight="1" thickBot="1" x14ac:dyDescent="0.3">
      <c r="A415" s="74" t="s">
        <v>317</v>
      </c>
      <c r="B415" s="8" t="s">
        <v>224</v>
      </c>
      <c r="C415" s="9">
        <f>Marshallnortries</f>
        <v>0</v>
      </c>
      <c r="D415" s="17" t="s">
        <v>412</v>
      </c>
      <c r="E415" s="21" t="s">
        <v>224</v>
      </c>
      <c r="F415" s="19">
        <f>Lawesnorpts</f>
        <v>0</v>
      </c>
    </row>
    <row r="416" spans="1:6" ht="15" customHeight="1" thickBot="1" x14ac:dyDescent="0.3">
      <c r="A416" s="74" t="s">
        <v>425</v>
      </c>
      <c r="B416" s="8" t="s">
        <v>251</v>
      </c>
      <c r="C416" s="9">
        <f>Maunderexetries</f>
        <v>0</v>
      </c>
      <c r="D416" s="2" t="s">
        <v>413</v>
      </c>
      <c r="E416" s="21" t="s">
        <v>221</v>
      </c>
      <c r="F416" s="19">
        <f>Lawrenceworpts</f>
        <v>0</v>
      </c>
    </row>
    <row r="417" spans="1:6" ht="15" customHeight="1" thickBot="1" x14ac:dyDescent="0.3">
      <c r="A417" s="74" t="s">
        <v>777</v>
      </c>
      <c r="B417" s="8" t="s">
        <v>260</v>
      </c>
      <c r="C417" s="9">
        <f>McCabebritrie</f>
        <v>0</v>
      </c>
      <c r="D417" s="2" t="s">
        <v>694</v>
      </c>
      <c r="E417" s="21" t="s">
        <v>253</v>
      </c>
      <c r="F417" s="19">
        <f>Kitchenergrahamptscorrect</f>
        <v>0</v>
      </c>
    </row>
    <row r="418" spans="1:6" ht="15" customHeight="1" thickBot="1" x14ac:dyDescent="0.3">
      <c r="A418" s="74" t="s">
        <v>622</v>
      </c>
      <c r="B418" s="8" t="s">
        <v>577</v>
      </c>
      <c r="C418" s="9">
        <f>Mcmillanlirtries</f>
        <v>0</v>
      </c>
      <c r="D418" s="2" t="s">
        <v>415</v>
      </c>
      <c r="E418" s="21" t="s">
        <v>260</v>
      </c>
      <c r="F418" s="19">
        <f>Loaderlirpts</f>
        <v>0</v>
      </c>
    </row>
    <row r="419" spans="1:6" ht="15" customHeight="1" thickBot="1" x14ac:dyDescent="0.3">
      <c r="A419" s="74" t="s">
        <v>732</v>
      </c>
      <c r="B419" s="8" t="s">
        <v>253</v>
      </c>
      <c r="C419" s="9">
        <f>Mayleictries</f>
        <v>0</v>
      </c>
      <c r="D419" s="2" t="s">
        <v>243</v>
      </c>
      <c r="E419" s="21" t="s">
        <v>253</v>
      </c>
      <c r="F419" s="19">
        <f>Lewisleicpts</f>
        <v>0</v>
      </c>
    </row>
    <row r="420" spans="1:6" ht="15" customHeight="1" thickBot="1" x14ac:dyDescent="0.3">
      <c r="A420" s="10" t="s">
        <v>311</v>
      </c>
      <c r="B420" s="8" t="s">
        <v>221</v>
      </c>
      <c r="C420" s="9">
        <f>Millerwortries</f>
        <v>0</v>
      </c>
      <c r="D420" s="2" t="s">
        <v>910</v>
      </c>
      <c r="E420" s="21" t="s">
        <v>892</v>
      </c>
      <c r="F420" s="19">
        <f>Georgesarpts</f>
        <v>0</v>
      </c>
    </row>
    <row r="421" spans="1:6" ht="15" customHeight="1" thickBot="1" x14ac:dyDescent="0.3">
      <c r="A421" s="74" t="s">
        <v>709</v>
      </c>
      <c r="B421" s="8" t="s">
        <v>252</v>
      </c>
      <c r="C421" s="9">
        <f>Morrisbenwasgtries</f>
        <v>0</v>
      </c>
      <c r="D421" s="2" t="s">
        <v>911</v>
      </c>
      <c r="E421" s="21" t="s">
        <v>892</v>
      </c>
      <c r="F421" s="19">
        <f>Goodealexpts</f>
        <v>0</v>
      </c>
    </row>
    <row r="422" spans="1:6" ht="15" customHeight="1" thickBot="1" x14ac:dyDescent="0.3">
      <c r="A422" s="74" t="s">
        <v>611</v>
      </c>
      <c r="B422" s="8" t="s">
        <v>221</v>
      </c>
      <c r="C422" s="57">
        <f>Montgomerywortries</f>
        <v>0</v>
      </c>
      <c r="D422" s="2" t="s">
        <v>424</v>
      </c>
      <c r="E422" s="21" t="s">
        <v>250</v>
      </c>
      <c r="F422" s="20">
        <f>Marlerharpts</f>
        <v>0</v>
      </c>
    </row>
    <row r="423" spans="1:6" ht="15" customHeight="1" thickBot="1" x14ac:dyDescent="0.3">
      <c r="A423" s="74" t="s">
        <v>570</v>
      </c>
      <c r="B423" s="8" t="s">
        <v>224</v>
      </c>
      <c r="C423" s="9">
        <f>Moon_Anortries</f>
        <v>0</v>
      </c>
      <c r="D423" s="2" t="s">
        <v>317</v>
      </c>
      <c r="E423" s="21" t="s">
        <v>224</v>
      </c>
      <c r="F423" s="19">
        <f>Marshallnorpts</f>
        <v>0</v>
      </c>
    </row>
    <row r="424" spans="1:6" ht="15" customHeight="1" thickBot="1" x14ac:dyDescent="0.3">
      <c r="A424" s="74" t="s">
        <v>430</v>
      </c>
      <c r="B424" s="8" t="s">
        <v>251</v>
      </c>
      <c r="C424" s="9">
        <f>mummtries</f>
        <v>0</v>
      </c>
      <c r="D424" s="2" t="s">
        <v>425</v>
      </c>
      <c r="E424" s="21" t="s">
        <v>251</v>
      </c>
      <c r="F424" s="19">
        <f>Maunderexepts</f>
        <v>0</v>
      </c>
    </row>
    <row r="425" spans="1:6" ht="15" customHeight="1" thickBot="1" x14ac:dyDescent="0.3">
      <c r="A425" s="74" t="s">
        <v>432</v>
      </c>
      <c r="B425" s="8" t="s">
        <v>220</v>
      </c>
      <c r="C425" s="9">
        <f>Morganbentries</f>
        <v>0</v>
      </c>
      <c r="D425" s="2" t="s">
        <v>777</v>
      </c>
      <c r="E425" s="21" t="s">
        <v>260</v>
      </c>
      <c r="F425" s="19">
        <f>McCabebripts</f>
        <v>0</v>
      </c>
    </row>
    <row r="426" spans="1:6" ht="15" customHeight="1" thickBot="1" x14ac:dyDescent="0.3">
      <c r="A426" s="74" t="s">
        <v>566</v>
      </c>
      <c r="B426" s="8" t="s">
        <v>222</v>
      </c>
      <c r="C426" s="9">
        <f>Mooresaltries</f>
        <v>0</v>
      </c>
      <c r="D426" s="2" t="s">
        <v>623</v>
      </c>
      <c r="E426" s="21" t="s">
        <v>577</v>
      </c>
      <c r="F426" s="18">
        <f>Mcmillanlirpts</f>
        <v>0</v>
      </c>
    </row>
    <row r="427" spans="1:6" ht="15" customHeight="1" thickBot="1" x14ac:dyDescent="0.3">
      <c r="A427" s="74" t="s">
        <v>645</v>
      </c>
      <c r="B427" s="8" t="s">
        <v>220</v>
      </c>
      <c r="C427" s="9">
        <f>Morrisjglotries</f>
        <v>0</v>
      </c>
      <c r="D427" s="17" t="s">
        <v>311</v>
      </c>
      <c r="E427" s="21" t="s">
        <v>221</v>
      </c>
      <c r="F427" s="19">
        <f>Millerworpts</f>
        <v>0</v>
      </c>
    </row>
    <row r="428" spans="1:6" ht="15" customHeight="1" thickBot="1" x14ac:dyDescent="0.3">
      <c r="A428" s="74" t="s">
        <v>969</v>
      </c>
      <c r="B428" s="8" t="s">
        <v>221</v>
      </c>
      <c r="C428" s="9">
        <f>Morriswortries</f>
        <v>0</v>
      </c>
      <c r="D428" s="2" t="s">
        <v>709</v>
      </c>
      <c r="E428" s="21" t="s">
        <v>252</v>
      </c>
      <c r="F428" s="19">
        <f>Morrisbenwaspts</f>
        <v>0</v>
      </c>
    </row>
    <row r="429" spans="1:6" ht="15" customHeight="1" thickBot="1" x14ac:dyDescent="0.3">
      <c r="A429" s="74" t="s">
        <v>1001</v>
      </c>
      <c r="B429" s="8" t="s">
        <v>220</v>
      </c>
      <c r="C429" s="9">
        <f>Moriartyglotries</f>
        <v>0</v>
      </c>
      <c r="D429" s="2" t="s">
        <v>611</v>
      </c>
      <c r="E429" s="21" t="s">
        <v>221</v>
      </c>
      <c r="F429" s="19">
        <f>Montgomeryworpts</f>
        <v>0</v>
      </c>
    </row>
    <row r="430" spans="1:6" ht="15" customHeight="1" thickBot="1" x14ac:dyDescent="0.3">
      <c r="A430" s="74" t="s">
        <v>666</v>
      </c>
      <c r="B430" s="8" t="s">
        <v>577</v>
      </c>
      <c r="C430" s="9">
        <f>Nahololirtries</f>
        <v>0</v>
      </c>
      <c r="D430" s="17" t="s">
        <v>570</v>
      </c>
      <c r="E430" s="21" t="s">
        <v>224</v>
      </c>
      <c r="F430" s="19">
        <f>Moonnorpts</f>
        <v>0</v>
      </c>
    </row>
    <row r="431" spans="1:6" ht="15" customHeight="1" thickBot="1" x14ac:dyDescent="0.3">
      <c r="A431" s="74" t="s">
        <v>763</v>
      </c>
      <c r="B431" s="8" t="s">
        <v>221</v>
      </c>
      <c r="C431" s="9">
        <f>Nanaiwortries</f>
        <v>0</v>
      </c>
      <c r="D431" s="2" t="s">
        <v>430</v>
      </c>
      <c r="E431" s="21" t="s">
        <v>251</v>
      </c>
      <c r="F431" s="19">
        <f>Mummpts</f>
        <v>0</v>
      </c>
    </row>
    <row r="432" spans="1:6" ht="15" customHeight="1" thickBot="1" x14ac:dyDescent="0.3">
      <c r="A432" s="74" t="s">
        <v>435</v>
      </c>
      <c r="B432" s="8" t="s">
        <v>577</v>
      </c>
      <c r="C432" s="9">
        <f>Nottlirtries</f>
        <v>0</v>
      </c>
      <c r="D432" s="2" t="s">
        <v>432</v>
      </c>
      <c r="E432" s="21" t="s">
        <v>220</v>
      </c>
      <c r="F432" s="20">
        <f>Morganbenpts</f>
        <v>0</v>
      </c>
    </row>
    <row r="433" spans="1:6" ht="15" customHeight="1" thickBot="1" x14ac:dyDescent="0.3">
      <c r="A433" s="74" t="s">
        <v>729</v>
      </c>
      <c r="B433" s="8" t="s">
        <v>252</v>
      </c>
      <c r="C433" s="9">
        <f>Nealwastries</f>
        <v>0</v>
      </c>
      <c r="D433" s="2" t="s">
        <v>566</v>
      </c>
      <c r="E433" s="21" t="s">
        <v>222</v>
      </c>
      <c r="F433" s="19">
        <f>Mooresalpts</f>
        <v>0</v>
      </c>
    </row>
    <row r="434" spans="1:6" ht="15" customHeight="1" thickBot="1" x14ac:dyDescent="0.3">
      <c r="A434" s="74" t="s">
        <v>206</v>
      </c>
      <c r="B434" s="8" t="s">
        <v>253</v>
      </c>
      <c r="C434" s="9">
        <f>Olowofela_Jleictries</f>
        <v>0</v>
      </c>
      <c r="D434" s="2" t="s">
        <v>969</v>
      </c>
      <c r="E434" s="21" t="s">
        <v>221</v>
      </c>
      <c r="F434" s="19">
        <f>Morrisworpts</f>
        <v>0</v>
      </c>
    </row>
    <row r="435" spans="1:6" ht="15" customHeight="1" thickBot="1" x14ac:dyDescent="0.3">
      <c r="A435" s="74" t="s">
        <v>755</v>
      </c>
      <c r="B435" s="8" t="s">
        <v>224</v>
      </c>
      <c r="C435" s="9">
        <f>Olvernortriescorrect</f>
        <v>0</v>
      </c>
      <c r="D435" s="2" t="s">
        <v>1001</v>
      </c>
      <c r="E435" s="21" t="s">
        <v>220</v>
      </c>
      <c r="F435" s="19">
        <f>Moriartyglopts</f>
        <v>0</v>
      </c>
    </row>
    <row r="436" spans="1:6" ht="15" customHeight="1" thickBot="1" x14ac:dyDescent="0.3">
      <c r="A436" s="10" t="s">
        <v>941</v>
      </c>
      <c r="B436" s="9" t="s">
        <v>892</v>
      </c>
      <c r="C436" s="9">
        <f>Owennewtriescorrect</f>
        <v>0</v>
      </c>
      <c r="D436" s="2" t="s">
        <v>666</v>
      </c>
      <c r="E436" s="21" t="s">
        <v>577</v>
      </c>
      <c r="F436" s="19">
        <f>Nahololirpts</f>
        <v>0</v>
      </c>
    </row>
    <row r="437" spans="1:6" ht="15" customHeight="1" thickBot="1" x14ac:dyDescent="0.3">
      <c r="A437" s="10" t="s">
        <v>957</v>
      </c>
      <c r="B437" s="8" t="s">
        <v>252</v>
      </c>
      <c r="C437" s="9">
        <f>O_Sullivanwastries</f>
        <v>0</v>
      </c>
      <c r="D437" s="2" t="s">
        <v>763</v>
      </c>
      <c r="E437" s="21" t="s">
        <v>221</v>
      </c>
      <c r="F437" s="19">
        <f>Nanaiworpts</f>
        <v>0</v>
      </c>
    </row>
    <row r="438" spans="1:6" ht="15" customHeight="1" thickBot="1" x14ac:dyDescent="0.3">
      <c r="A438" s="74" t="s">
        <v>518</v>
      </c>
      <c r="B438" s="8" t="s">
        <v>224</v>
      </c>
      <c r="C438" s="6">
        <f>Painternortries</f>
        <v>0</v>
      </c>
      <c r="D438" s="2" t="s">
        <v>435</v>
      </c>
      <c r="E438" s="21" t="s">
        <v>577</v>
      </c>
      <c r="F438" s="19">
        <f>Nottlirpts</f>
        <v>0</v>
      </c>
    </row>
    <row r="439" spans="1:6" ht="15" customHeight="1" thickBot="1" x14ac:dyDescent="0.3">
      <c r="A439" s="74" t="s">
        <v>227</v>
      </c>
      <c r="B439" s="8" t="s">
        <v>223</v>
      </c>
      <c r="C439" s="9">
        <f>bathpentriestriesthisone</f>
        <v>0</v>
      </c>
      <c r="D439" s="2" t="s">
        <v>729</v>
      </c>
      <c r="E439" s="21" t="s">
        <v>252</v>
      </c>
      <c r="F439" s="19">
        <f>Nealwaspts</f>
        <v>0</v>
      </c>
    </row>
    <row r="440" spans="1:6" ht="15" customHeight="1" thickBot="1" x14ac:dyDescent="0.3">
      <c r="A440" s="74" t="s">
        <v>227</v>
      </c>
      <c r="B440" s="8" t="s">
        <v>222</v>
      </c>
      <c r="C440" s="9">
        <f>Penalty_Triessaltries</f>
        <v>0</v>
      </c>
      <c r="D440" s="2" t="s">
        <v>206</v>
      </c>
      <c r="E440" s="21" t="s">
        <v>253</v>
      </c>
      <c r="F440" s="19">
        <f>Olowofela_Jleicpts</f>
        <v>0</v>
      </c>
    </row>
    <row r="441" spans="1:6" ht="15" customHeight="1" thickBot="1" x14ac:dyDescent="0.3">
      <c r="A441" s="74" t="s">
        <v>916</v>
      </c>
      <c r="B441" s="8" t="s">
        <v>892</v>
      </c>
      <c r="C441" s="9">
        <f>Jouberternsttries</f>
        <v>0</v>
      </c>
      <c r="D441" s="2" t="s">
        <v>755</v>
      </c>
      <c r="E441" s="21" t="s">
        <v>224</v>
      </c>
      <c r="F441" s="19">
        <f>Olvernorpts</f>
        <v>0</v>
      </c>
    </row>
    <row r="442" spans="1:6" ht="15" customHeight="1" thickBot="1" x14ac:dyDescent="0.3">
      <c r="A442" s="74" t="s">
        <v>321</v>
      </c>
      <c r="B442" s="8" t="s">
        <v>222</v>
      </c>
      <c r="C442" s="9">
        <f>Phillipsjamessaltries</f>
        <v>0</v>
      </c>
      <c r="D442" s="2" t="s">
        <v>941</v>
      </c>
      <c r="E442" s="21" t="s">
        <v>892</v>
      </c>
      <c r="F442" s="19">
        <f>Owennewptscorrect</f>
        <v>0</v>
      </c>
    </row>
    <row r="443" spans="1:6" ht="15" customHeight="1" thickBot="1" x14ac:dyDescent="0.3">
      <c r="A443" s="74" t="s">
        <v>441</v>
      </c>
      <c r="B443" s="8" t="s">
        <v>260</v>
      </c>
      <c r="C443" s="9">
        <f>Pincusbritries</f>
        <v>0</v>
      </c>
      <c r="D443" s="17" t="s">
        <v>957</v>
      </c>
      <c r="E443" s="21" t="s">
        <v>252</v>
      </c>
      <c r="F443" s="19">
        <f>O_Sullivanwaspts</f>
        <v>0</v>
      </c>
    </row>
    <row r="444" spans="1:6" ht="15" customHeight="1" thickBot="1" x14ac:dyDescent="0.3">
      <c r="A444" s="74" t="s">
        <v>442</v>
      </c>
      <c r="B444" s="8" t="s">
        <v>220</v>
      </c>
      <c r="C444" s="9">
        <f>Polledriglotries</f>
        <v>0</v>
      </c>
      <c r="D444" s="2" t="s">
        <v>518</v>
      </c>
      <c r="E444" s="21" t="s">
        <v>224</v>
      </c>
      <c r="F444" s="19">
        <f>Painternorpts</f>
        <v>0</v>
      </c>
    </row>
    <row r="445" spans="1:6" ht="15" customHeight="1" thickBot="1" x14ac:dyDescent="0.3">
      <c r="A445" s="74" t="s">
        <v>1087</v>
      </c>
      <c r="B445" s="8" t="s">
        <v>253</v>
      </c>
      <c r="C445" s="9">
        <f>Porterleictries</f>
        <v>0</v>
      </c>
      <c r="D445" s="2" t="s">
        <v>227</v>
      </c>
      <c r="E445" s="21" t="s">
        <v>223</v>
      </c>
      <c r="F445" s="18">
        <f>bathpentriesptsthisone</f>
        <v>0</v>
      </c>
    </row>
    <row r="446" spans="1:6" ht="15" customHeight="1" thickBot="1" x14ac:dyDescent="0.3">
      <c r="A446" s="74" t="s">
        <v>959</v>
      </c>
      <c r="B446" s="8" t="s">
        <v>252</v>
      </c>
      <c r="C446" s="9">
        <f>Riederwastries</f>
        <v>0</v>
      </c>
      <c r="D446" s="2" t="s">
        <v>227</v>
      </c>
      <c r="E446" s="21" t="s">
        <v>222</v>
      </c>
      <c r="F446" s="19">
        <f>Penalty_Triessalpts</f>
        <v>0</v>
      </c>
    </row>
    <row r="447" spans="1:6" ht="15" customHeight="1" thickBot="1" x14ac:dyDescent="0.3">
      <c r="A447" s="74" t="s">
        <v>572</v>
      </c>
      <c r="B447" s="8" t="s">
        <v>222</v>
      </c>
      <c r="C447" s="9">
        <f>Postlethwaitesaltries</f>
        <v>0</v>
      </c>
      <c r="D447" s="2" t="s">
        <v>916</v>
      </c>
      <c r="E447" s="21" t="s">
        <v>892</v>
      </c>
      <c r="F447" s="19">
        <f>Jouberternstpts</f>
        <v>0</v>
      </c>
    </row>
    <row r="448" spans="1:6" ht="15" customHeight="1" thickBot="1" x14ac:dyDescent="0.3">
      <c r="A448" s="74" t="s">
        <v>759</v>
      </c>
      <c r="B448" s="8" t="s">
        <v>253</v>
      </c>
      <c r="C448" s="9">
        <f>Owenleictries</f>
        <v>0</v>
      </c>
      <c r="D448" s="2" t="s">
        <v>321</v>
      </c>
      <c r="E448" s="21" t="s">
        <v>222</v>
      </c>
      <c r="F448" s="19">
        <f>Phillipsjamessalpts</f>
        <v>0</v>
      </c>
    </row>
    <row r="449" spans="1:6" ht="15" customHeight="1" thickBot="1" x14ac:dyDescent="0.3">
      <c r="A449" s="74" t="s">
        <v>557</v>
      </c>
      <c r="B449" s="74" t="s">
        <v>260</v>
      </c>
      <c r="C449" s="9">
        <f>Powellbritries</f>
        <v>0</v>
      </c>
      <c r="D449" s="2" t="s">
        <v>441</v>
      </c>
      <c r="E449" s="21" t="s">
        <v>260</v>
      </c>
      <c r="F449" s="19">
        <f>Pincusbripts</f>
        <v>0</v>
      </c>
    </row>
    <row r="450" spans="1:6" ht="15" customHeight="1" thickBot="1" x14ac:dyDescent="0.3">
      <c r="A450" s="74" t="s">
        <v>717</v>
      </c>
      <c r="B450" s="74" t="s">
        <v>251</v>
      </c>
      <c r="C450" s="9">
        <f>Salmonexetries</f>
        <v>0</v>
      </c>
      <c r="D450" s="2" t="s">
        <v>442</v>
      </c>
      <c r="E450" s="2" t="s">
        <v>220</v>
      </c>
      <c r="F450" s="20">
        <f>Polledriglopts</f>
        <v>0</v>
      </c>
    </row>
    <row r="451" spans="1:6" ht="15" customHeight="1" thickBot="1" x14ac:dyDescent="0.3">
      <c r="A451" s="74" t="s">
        <v>677</v>
      </c>
      <c r="B451" s="74" t="s">
        <v>224</v>
      </c>
      <c r="C451" s="6">
        <f>Pisikentriescorrect</f>
        <v>0</v>
      </c>
      <c r="D451" s="17" t="s">
        <v>1087</v>
      </c>
      <c r="E451" s="17" t="s">
        <v>253</v>
      </c>
      <c r="F451" s="19">
        <f>Porterleicpts</f>
        <v>0</v>
      </c>
    </row>
    <row r="452" spans="1:6" ht="15" customHeight="1" thickBot="1" x14ac:dyDescent="0.3">
      <c r="A452" s="74" t="s">
        <v>1082</v>
      </c>
      <c r="B452" s="74" t="s">
        <v>1083</v>
      </c>
      <c r="C452" s="9">
        <f>Quirkesaltries</f>
        <v>0</v>
      </c>
      <c r="D452" s="2" t="s">
        <v>959</v>
      </c>
      <c r="E452" s="2" t="s">
        <v>252</v>
      </c>
      <c r="F452" s="19">
        <f>Riederwaspts</f>
        <v>0</v>
      </c>
    </row>
    <row r="453" spans="1:6" ht="15" customHeight="1" thickBot="1" x14ac:dyDescent="0.3">
      <c r="A453" s="74" t="s">
        <v>446</v>
      </c>
      <c r="B453" s="74" t="s">
        <v>220</v>
      </c>
      <c r="C453" s="9">
        <f>Rapava_Ruskinglotries</f>
        <v>0</v>
      </c>
      <c r="D453" s="2" t="s">
        <v>572</v>
      </c>
      <c r="E453" s="2" t="s">
        <v>222</v>
      </c>
      <c r="F453" s="19">
        <f>Postlethwaitesalpts</f>
        <v>0</v>
      </c>
    </row>
    <row r="454" spans="1:6" ht="15" customHeight="1" thickBot="1" x14ac:dyDescent="0.3">
      <c r="A454" s="74" t="s">
        <v>447</v>
      </c>
      <c r="B454" s="74" t="s">
        <v>224</v>
      </c>
      <c r="C454" s="9">
        <f>Ratuniyarawanortries</f>
        <v>0</v>
      </c>
      <c r="D454" s="2" t="s">
        <v>759</v>
      </c>
      <c r="E454" s="2" t="s">
        <v>253</v>
      </c>
      <c r="F454" s="18">
        <f>Owenleicpts</f>
        <v>0</v>
      </c>
    </row>
    <row r="455" spans="1:6" ht="15" customHeight="1" thickBot="1" x14ac:dyDescent="0.3">
      <c r="A455" s="74" t="s">
        <v>871</v>
      </c>
      <c r="B455" s="74" t="s">
        <v>220</v>
      </c>
      <c r="C455" s="57">
        <f>Safeglotries</f>
        <v>0</v>
      </c>
      <c r="D455" s="2" t="s">
        <v>557</v>
      </c>
      <c r="E455" s="2" t="s">
        <v>260</v>
      </c>
      <c r="F455" s="19">
        <f>Powellbripts</f>
        <v>0</v>
      </c>
    </row>
    <row r="456" spans="1:6" ht="15" customHeight="1" thickBot="1" x14ac:dyDescent="0.3">
      <c r="A456" s="10" t="s">
        <v>632</v>
      </c>
      <c r="B456" s="10" t="s">
        <v>222</v>
      </c>
      <c r="C456" s="9">
        <f>Roebucksaltries</f>
        <v>0</v>
      </c>
      <c r="D456" s="2" t="s">
        <v>717</v>
      </c>
      <c r="E456" s="2" t="s">
        <v>251</v>
      </c>
      <c r="F456" s="19">
        <f>Salmonexepts</f>
        <v>0</v>
      </c>
    </row>
    <row r="457" spans="1:6" ht="15" customHeight="1" thickBot="1" x14ac:dyDescent="0.3">
      <c r="A457" s="10" t="s">
        <v>834</v>
      </c>
      <c r="B457" s="10" t="s">
        <v>223</v>
      </c>
      <c r="C457" s="9">
        <f>Schoemanbthtries</f>
        <v>0</v>
      </c>
      <c r="D457" s="2" t="s">
        <v>677</v>
      </c>
      <c r="E457" s="2" t="s">
        <v>224</v>
      </c>
      <c r="F457" s="19">
        <f>Pisikenptscorrect</f>
        <v>0</v>
      </c>
    </row>
    <row r="458" spans="1:6" ht="15" customHeight="1" thickBot="1" x14ac:dyDescent="0.3">
      <c r="A458" s="74" t="s">
        <v>455</v>
      </c>
      <c r="B458" s="74" t="s">
        <v>221</v>
      </c>
      <c r="C458" s="57">
        <f>Rowleypaultries</f>
        <v>0</v>
      </c>
      <c r="D458" s="2" t="s">
        <v>1082</v>
      </c>
      <c r="E458" s="2" t="s">
        <v>1083</v>
      </c>
      <c r="F458" s="19">
        <f>Quirkesalpts</f>
        <v>0</v>
      </c>
    </row>
    <row r="459" spans="1:6" ht="15" customHeight="1" thickBot="1" x14ac:dyDescent="0.3">
      <c r="A459" s="74" t="s">
        <v>458</v>
      </c>
      <c r="B459" s="74" t="s">
        <v>220</v>
      </c>
      <c r="C459" s="9">
        <f>Sharplesglotries</f>
        <v>0</v>
      </c>
      <c r="D459" s="2" t="s">
        <v>446</v>
      </c>
      <c r="E459" s="2" t="s">
        <v>220</v>
      </c>
      <c r="F459" s="19">
        <f>Rapava_Ruskinglopts</f>
        <v>0</v>
      </c>
    </row>
    <row r="460" spans="1:6" ht="15" customHeight="1" thickBot="1" x14ac:dyDescent="0.3">
      <c r="A460" s="74" t="s">
        <v>459</v>
      </c>
      <c r="B460" s="74" t="s">
        <v>260</v>
      </c>
      <c r="C460" s="9">
        <f>paulolirtries</f>
        <v>0</v>
      </c>
      <c r="D460" s="2" t="s">
        <v>447</v>
      </c>
      <c r="E460" s="2" t="s">
        <v>224</v>
      </c>
      <c r="F460" s="19">
        <f>Ratuniyarawanorpts</f>
        <v>0</v>
      </c>
    </row>
    <row r="461" spans="1:6" ht="15" customHeight="1" thickBot="1" x14ac:dyDescent="0.3">
      <c r="A461" s="10" t="s">
        <v>462</v>
      </c>
      <c r="B461" s="10" t="s">
        <v>251</v>
      </c>
      <c r="C461" s="6">
        <f>Shortexetries</f>
        <v>0</v>
      </c>
      <c r="D461" s="2" t="s">
        <v>871</v>
      </c>
      <c r="E461" s="2" t="s">
        <v>220</v>
      </c>
      <c r="F461" s="19">
        <f>Safeglopts</f>
        <v>0</v>
      </c>
    </row>
    <row r="462" spans="1:6" ht="15" customHeight="1" thickBot="1" x14ac:dyDescent="0.3">
      <c r="A462" s="74" t="s">
        <v>463</v>
      </c>
      <c r="B462" s="74" t="s">
        <v>253</v>
      </c>
      <c r="C462" s="9">
        <f>Simmonsleictries</f>
        <v>0</v>
      </c>
      <c r="D462" s="17" t="s">
        <v>632</v>
      </c>
      <c r="E462" s="17" t="s">
        <v>222</v>
      </c>
      <c r="F462" s="20">
        <f>Roebucksalpts</f>
        <v>0</v>
      </c>
    </row>
    <row r="463" spans="1:6" ht="15" customHeight="1" thickBot="1" x14ac:dyDescent="0.3">
      <c r="A463" s="74" t="s">
        <v>688</v>
      </c>
      <c r="B463" s="74" t="s">
        <v>221</v>
      </c>
      <c r="C463" s="9">
        <f>Singletonwortries</f>
        <v>0</v>
      </c>
      <c r="D463" s="2" t="s">
        <v>455</v>
      </c>
      <c r="E463" s="2" t="s">
        <v>221</v>
      </c>
      <c r="F463" s="19">
        <f>Rowleypaulpts</f>
        <v>0</v>
      </c>
    </row>
    <row r="464" spans="1:6" ht="15" customHeight="1" thickBot="1" x14ac:dyDescent="0.3">
      <c r="A464" s="74" t="s">
        <v>610</v>
      </c>
      <c r="B464" s="74" t="s">
        <v>252</v>
      </c>
      <c r="C464" s="9">
        <f>Sirkerwastries</f>
        <v>0</v>
      </c>
      <c r="D464" s="2" t="s">
        <v>458</v>
      </c>
      <c r="E464" s="2" t="s">
        <v>220</v>
      </c>
      <c r="F464" s="19">
        <f>Sharplesglopts</f>
        <v>0</v>
      </c>
    </row>
    <row r="465" spans="1:6" ht="15" customHeight="1" thickBot="1" x14ac:dyDescent="0.3">
      <c r="A465" s="74" t="s">
        <v>1076</v>
      </c>
      <c r="B465" s="74" t="s">
        <v>221</v>
      </c>
      <c r="C465" s="9">
        <f>Smithwortries</f>
        <v>0</v>
      </c>
      <c r="D465" s="17" t="s">
        <v>462</v>
      </c>
      <c r="E465" s="17" t="s">
        <v>251</v>
      </c>
      <c r="F465" s="19">
        <f>Shortexepts</f>
        <v>0</v>
      </c>
    </row>
    <row r="466" spans="1:6" ht="15" customHeight="1" thickBot="1" x14ac:dyDescent="0.3">
      <c r="A466" s="74" t="s">
        <v>469</v>
      </c>
      <c r="B466" s="74" t="s">
        <v>222</v>
      </c>
      <c r="C466" s="9">
        <f>Solomonasaltries</f>
        <v>0</v>
      </c>
      <c r="D466" s="2" t="s">
        <v>463</v>
      </c>
      <c r="E466" s="2" t="s">
        <v>253</v>
      </c>
      <c r="F466" s="19">
        <f>Simmonsleicpts</f>
        <v>0</v>
      </c>
    </row>
    <row r="467" spans="1:6" ht="15" customHeight="1" thickBot="1" x14ac:dyDescent="0.3">
      <c r="A467" s="74" t="s">
        <v>792</v>
      </c>
      <c r="B467" s="74" t="s">
        <v>251</v>
      </c>
      <c r="C467" s="9">
        <f>Southworthexetries</f>
        <v>0</v>
      </c>
      <c r="D467" s="2" t="s">
        <v>688</v>
      </c>
      <c r="E467" s="2" t="s">
        <v>221</v>
      </c>
      <c r="F467" s="19">
        <f>Singletonworpts</f>
        <v>0</v>
      </c>
    </row>
    <row r="468" spans="1:6" ht="15" customHeight="1" thickBot="1" x14ac:dyDescent="0.3">
      <c r="A468" s="10" t="s">
        <v>773</v>
      </c>
      <c r="B468" s="10" t="s">
        <v>252</v>
      </c>
      <c r="C468" s="9">
        <f>Stuartwastries</f>
        <v>0</v>
      </c>
      <c r="D468" s="2" t="s">
        <v>610</v>
      </c>
      <c r="E468" s="2" t="s">
        <v>252</v>
      </c>
      <c r="F468" s="19">
        <f>Sirkerwaspts</f>
        <v>0</v>
      </c>
    </row>
    <row r="469" spans="1:6" ht="15" customHeight="1" thickBot="1" x14ac:dyDescent="0.3">
      <c r="A469" s="74" t="s">
        <v>767</v>
      </c>
      <c r="B469" s="74" t="s">
        <v>220</v>
      </c>
      <c r="C469" s="9">
        <f>Stanleyglotries</f>
        <v>0</v>
      </c>
      <c r="D469" s="2" t="s">
        <v>469</v>
      </c>
      <c r="E469" s="2" t="s">
        <v>222</v>
      </c>
      <c r="F469" s="19">
        <f>Solomonasalpts</f>
        <v>0</v>
      </c>
    </row>
    <row r="470" spans="1:6" ht="15" customHeight="1" thickBot="1" x14ac:dyDescent="0.3">
      <c r="A470" s="74" t="s">
        <v>647</v>
      </c>
      <c r="B470" s="74" t="s">
        <v>251</v>
      </c>
      <c r="C470" s="9">
        <f>Streetexetries</f>
        <v>0</v>
      </c>
      <c r="D470" s="2" t="s">
        <v>792</v>
      </c>
      <c r="E470" s="2" t="s">
        <v>251</v>
      </c>
      <c r="F470" s="19">
        <f>Southworthexepts</f>
        <v>0</v>
      </c>
    </row>
    <row r="471" spans="1:6" ht="15" customHeight="1" thickBot="1" x14ac:dyDescent="0.3">
      <c r="A471" s="74" t="s">
        <v>323</v>
      </c>
      <c r="B471" s="74" t="s">
        <v>223</v>
      </c>
      <c r="C471" s="57">
        <f>Stuartbthtries</f>
        <v>0</v>
      </c>
      <c r="D471" s="17" t="s">
        <v>773</v>
      </c>
      <c r="E471" s="17" t="s">
        <v>252</v>
      </c>
      <c r="F471" s="19">
        <f>Stuartwaspts</f>
        <v>0</v>
      </c>
    </row>
    <row r="472" spans="1:6" ht="15" customHeight="1" thickBot="1" x14ac:dyDescent="0.3">
      <c r="A472" s="74" t="s">
        <v>290</v>
      </c>
      <c r="B472" s="74" t="s">
        <v>250</v>
      </c>
      <c r="C472" s="9">
        <f>Symonshartries</f>
        <v>0</v>
      </c>
      <c r="D472" s="2" t="s">
        <v>767</v>
      </c>
      <c r="E472" s="2" t="s">
        <v>220</v>
      </c>
      <c r="F472" s="19">
        <f>Stanleyglopts</f>
        <v>0</v>
      </c>
    </row>
    <row r="473" spans="1:6" ht="15" customHeight="1" thickBot="1" x14ac:dyDescent="0.3">
      <c r="A473" s="74" t="s">
        <v>472</v>
      </c>
      <c r="B473" s="74" t="s">
        <v>251</v>
      </c>
      <c r="C473" s="9">
        <f>Taioneexetries</f>
        <v>0</v>
      </c>
      <c r="D473" s="2" t="s">
        <v>647</v>
      </c>
      <c r="E473" s="2" t="s">
        <v>251</v>
      </c>
      <c r="F473" s="19">
        <f>Streetexepts</f>
        <v>0</v>
      </c>
    </row>
    <row r="474" spans="1:6" ht="15" customHeight="1" thickBot="1" x14ac:dyDescent="0.3">
      <c r="A474" s="10" t="s">
        <v>928</v>
      </c>
      <c r="B474" s="10" t="s">
        <v>892</v>
      </c>
      <c r="C474" s="9">
        <f>Longbottomsartries</f>
        <v>0</v>
      </c>
      <c r="D474" s="2" t="s">
        <v>323</v>
      </c>
      <c r="E474" s="2" t="s">
        <v>223</v>
      </c>
      <c r="F474" s="19">
        <f>Stuartbthpts</f>
        <v>0</v>
      </c>
    </row>
    <row r="475" spans="1:6" ht="15" customHeight="1" thickBot="1" x14ac:dyDescent="0.3">
      <c r="A475" s="74" t="s">
        <v>929</v>
      </c>
      <c r="B475" s="74" t="s">
        <v>892</v>
      </c>
      <c r="C475" s="57">
        <f>Maitlandsartries</f>
        <v>0</v>
      </c>
      <c r="D475" s="2" t="s">
        <v>290</v>
      </c>
      <c r="E475" s="2" t="s">
        <v>250</v>
      </c>
      <c r="F475" s="19">
        <f>Symonsharpts</f>
        <v>0</v>
      </c>
    </row>
    <row r="476" spans="1:6" ht="15" customHeight="1" thickBot="1" x14ac:dyDescent="0.3">
      <c r="A476" s="74" t="s">
        <v>473</v>
      </c>
      <c r="B476" s="74" t="s">
        <v>250</v>
      </c>
      <c r="C476" s="9">
        <f>Tapuaihartries</f>
        <v>0</v>
      </c>
      <c r="D476" s="2" t="s">
        <v>472</v>
      </c>
      <c r="E476" s="2" t="s">
        <v>251</v>
      </c>
      <c r="F476" s="19">
        <f>Taioneexepts</f>
        <v>0</v>
      </c>
    </row>
    <row r="477" spans="1:6" ht="15" customHeight="1" thickBot="1" x14ac:dyDescent="0.3">
      <c r="A477" s="74" t="s">
        <v>699</v>
      </c>
      <c r="B477" s="74" t="s">
        <v>253</v>
      </c>
      <c r="C477" s="9">
        <f>Thacker_Cleictries</f>
        <v>0</v>
      </c>
      <c r="D477" s="17" t="s">
        <v>928</v>
      </c>
      <c r="E477" s="17" t="s">
        <v>892</v>
      </c>
      <c r="F477" s="19">
        <f>Longbottomsarpts</f>
        <v>0</v>
      </c>
    </row>
    <row r="478" spans="1:6" ht="15" customHeight="1" thickBot="1" x14ac:dyDescent="0.3">
      <c r="A478" s="74" t="s">
        <v>886</v>
      </c>
      <c r="B478" s="74" t="s">
        <v>253</v>
      </c>
      <c r="C478" s="9">
        <f>Thompsonleictries</f>
        <v>0</v>
      </c>
      <c r="D478" s="2" t="s">
        <v>929</v>
      </c>
      <c r="E478" s="2" t="s">
        <v>892</v>
      </c>
      <c r="F478" s="19">
        <f>Maitlandsarpts</f>
        <v>0</v>
      </c>
    </row>
    <row r="479" spans="1:6" ht="15" customHeight="1" thickBot="1" x14ac:dyDescent="0.3">
      <c r="A479" s="74" t="s">
        <v>131</v>
      </c>
      <c r="B479" s="74" t="s">
        <v>260</v>
      </c>
      <c r="C479" s="9">
        <f>Poreckilirtries</f>
        <v>0</v>
      </c>
      <c r="D479" s="2" t="s">
        <v>699</v>
      </c>
      <c r="E479" s="2" t="s">
        <v>253</v>
      </c>
      <c r="F479" s="19">
        <f>Thacker_Cleicpts</f>
        <v>0</v>
      </c>
    </row>
    <row r="480" spans="1:6" ht="15" customHeight="1" thickBot="1" x14ac:dyDescent="0.3">
      <c r="A480" s="74" t="s">
        <v>276</v>
      </c>
      <c r="B480" s="74" t="s">
        <v>260</v>
      </c>
      <c r="C480" s="9">
        <f>Saulolirtries</f>
        <v>0</v>
      </c>
      <c r="D480" s="2" t="s">
        <v>886</v>
      </c>
      <c r="E480" s="2" t="s">
        <v>253</v>
      </c>
      <c r="F480" s="19">
        <f>Thompsonleicpts</f>
        <v>0</v>
      </c>
    </row>
    <row r="481" spans="1:6" ht="15" customHeight="1" thickBot="1" x14ac:dyDescent="0.3">
      <c r="A481" s="74" t="s">
        <v>477</v>
      </c>
      <c r="B481" s="74" t="s">
        <v>224</v>
      </c>
      <c r="C481" s="6">
        <f>TualaNORTRIES</f>
        <v>0</v>
      </c>
      <c r="D481" s="2" t="s">
        <v>131</v>
      </c>
      <c r="E481" s="2" t="s">
        <v>260</v>
      </c>
      <c r="F481" s="20">
        <f>Poreckilirpts</f>
        <v>0</v>
      </c>
    </row>
    <row r="482" spans="1:6" ht="15" customHeight="1" thickBot="1" x14ac:dyDescent="0.3">
      <c r="A482" s="74" t="s">
        <v>478</v>
      </c>
      <c r="B482" s="74" t="s">
        <v>222</v>
      </c>
      <c r="C482" s="9">
        <f>Tuitupousamtries</f>
        <v>0</v>
      </c>
      <c r="D482" s="2" t="s">
        <v>276</v>
      </c>
      <c r="E482" s="2" t="s">
        <v>260</v>
      </c>
      <c r="F482" s="19">
        <f>Saulolirpts</f>
        <v>0</v>
      </c>
    </row>
    <row r="483" spans="1:6" ht="15" customHeight="1" thickBot="1" x14ac:dyDescent="0.3">
      <c r="A483" s="74" t="s">
        <v>484</v>
      </c>
      <c r="B483" s="74" t="s">
        <v>221</v>
      </c>
      <c r="C483" s="57">
        <f>Van_Bredawortries</f>
        <v>0</v>
      </c>
      <c r="D483" s="2" t="s">
        <v>477</v>
      </c>
      <c r="E483" s="2" t="s">
        <v>224</v>
      </c>
      <c r="F483" s="18">
        <f>Tualanorpts</f>
        <v>0</v>
      </c>
    </row>
    <row r="484" spans="1:6" ht="15" customHeight="1" thickBot="1" x14ac:dyDescent="0.3">
      <c r="A484" s="74" t="s">
        <v>485</v>
      </c>
      <c r="B484" s="74" t="s">
        <v>221</v>
      </c>
      <c r="C484" s="57">
        <f>Tincknelljamestries</f>
        <v>0</v>
      </c>
      <c r="D484" s="2" t="s">
        <v>478</v>
      </c>
      <c r="E484" s="2" t="s">
        <v>222</v>
      </c>
      <c r="F484" s="19">
        <f>Tuitupousampts</f>
        <v>0</v>
      </c>
    </row>
    <row r="485" spans="1:6" ht="15" customHeight="1" thickBot="1" x14ac:dyDescent="0.3">
      <c r="A485" s="74" t="s">
        <v>486</v>
      </c>
      <c r="B485" s="74" t="s">
        <v>224</v>
      </c>
      <c r="C485" s="57">
        <f>van_Wyknortries</f>
        <v>0</v>
      </c>
      <c r="D485" s="2" t="s">
        <v>484</v>
      </c>
      <c r="E485" s="2" t="s">
        <v>221</v>
      </c>
      <c r="F485" s="19">
        <f>Van_Bredaworpts</f>
        <v>0</v>
      </c>
    </row>
    <row r="486" spans="1:6" ht="15" customHeight="1" thickBot="1" x14ac:dyDescent="0.3">
      <c r="A486" s="74" t="s">
        <v>735</v>
      </c>
      <c r="B486" s="74" t="s">
        <v>220</v>
      </c>
      <c r="C486" s="57">
        <f>Vellacottglotries</f>
        <v>0</v>
      </c>
      <c r="D486" s="2" t="s">
        <v>485</v>
      </c>
      <c r="E486" s="2" t="s">
        <v>221</v>
      </c>
      <c r="F486" s="20">
        <f>Tincknelljamespts</f>
        <v>0</v>
      </c>
    </row>
    <row r="487" spans="1:6" ht="15" customHeight="1" thickBot="1" x14ac:dyDescent="0.3">
      <c r="A487" s="74" t="s">
        <v>487</v>
      </c>
      <c r="B487" s="74" t="s">
        <v>223</v>
      </c>
      <c r="C487" s="9">
        <f>van_Vuurenbthtries</f>
        <v>0</v>
      </c>
      <c r="D487" s="2" t="s">
        <v>486</v>
      </c>
      <c r="E487" s="2" t="s">
        <v>224</v>
      </c>
      <c r="F487" s="20">
        <f>van_Wyknorpts</f>
        <v>0</v>
      </c>
    </row>
    <row r="488" spans="1:6" ht="15" customHeight="1" thickBot="1" x14ac:dyDescent="0.3">
      <c r="A488" s="74" t="s">
        <v>488</v>
      </c>
      <c r="B488" s="74" t="s">
        <v>252</v>
      </c>
      <c r="C488" s="9">
        <f>Vellacottwastries</f>
        <v>0</v>
      </c>
      <c r="D488" s="2" t="s">
        <v>735</v>
      </c>
      <c r="E488" s="2" t="s">
        <v>220</v>
      </c>
      <c r="F488" s="19">
        <f>Vellacottglopts</f>
        <v>0</v>
      </c>
    </row>
    <row r="489" spans="1:6" ht="15" customHeight="1" thickBot="1" x14ac:dyDescent="0.3">
      <c r="A489" s="74" t="s">
        <v>491</v>
      </c>
      <c r="B489" s="74" t="s">
        <v>892</v>
      </c>
      <c r="C489" s="9">
        <f>Naysartries</f>
        <v>0</v>
      </c>
      <c r="D489" s="2" t="s">
        <v>487</v>
      </c>
      <c r="E489" s="2" t="s">
        <v>223</v>
      </c>
      <c r="F489" s="19">
        <f>van_Vuurenbthpts</f>
        <v>0</v>
      </c>
    </row>
    <row r="490" spans="1:6" ht="15" customHeight="1" thickBot="1" x14ac:dyDescent="0.3">
      <c r="A490" s="74" t="s">
        <v>492</v>
      </c>
      <c r="B490" s="74" t="s">
        <v>253</v>
      </c>
      <c r="C490" s="57">
        <f>Vossleictries</f>
        <v>0</v>
      </c>
      <c r="D490" s="2" t="s">
        <v>488</v>
      </c>
      <c r="E490" s="2" t="s">
        <v>252</v>
      </c>
      <c r="F490" s="18">
        <f>Vellacottwaspts</f>
        <v>0</v>
      </c>
    </row>
    <row r="491" spans="1:6" ht="15" customHeight="1" thickBot="1" x14ac:dyDescent="0.3">
      <c r="A491" s="74" t="s">
        <v>237</v>
      </c>
      <c r="B491" s="74" t="s">
        <v>224</v>
      </c>
      <c r="C491" s="9">
        <f>A_Wallertries</f>
        <v>0</v>
      </c>
      <c r="D491" s="2" t="s">
        <v>491</v>
      </c>
      <c r="E491" s="2" t="s">
        <v>892</v>
      </c>
      <c r="F491" s="19">
        <f>Naysarpts</f>
        <v>0</v>
      </c>
    </row>
    <row r="492" spans="1:6" ht="15" customHeight="1" thickBot="1" x14ac:dyDescent="0.3">
      <c r="A492" s="74" t="s">
        <v>862</v>
      </c>
      <c r="B492" s="74" t="s">
        <v>251</v>
      </c>
      <c r="C492" s="9">
        <f>White_Nicexetries</f>
        <v>0</v>
      </c>
      <c r="D492" s="2" t="s">
        <v>492</v>
      </c>
      <c r="E492" s="2" t="s">
        <v>253</v>
      </c>
      <c r="F492" s="19">
        <f>Vossleicpts</f>
        <v>0</v>
      </c>
    </row>
    <row r="493" spans="1:6" ht="15" customHeight="1" thickBot="1" x14ac:dyDescent="0.3">
      <c r="A493" s="74" t="s">
        <v>880</v>
      </c>
      <c r="B493" s="74" t="s">
        <v>250</v>
      </c>
      <c r="C493" s="9">
        <f>Watershartries</f>
        <v>0</v>
      </c>
      <c r="D493" s="2" t="s">
        <v>237</v>
      </c>
      <c r="E493" s="2" t="s">
        <v>224</v>
      </c>
      <c r="F493" s="18">
        <f>A_Wallerpts</f>
        <v>0</v>
      </c>
    </row>
    <row r="494" spans="1:6" ht="15" customHeight="1" thickBot="1" x14ac:dyDescent="0.3">
      <c r="A494" s="74" t="s">
        <v>233</v>
      </c>
      <c r="B494" s="74" t="s">
        <v>253</v>
      </c>
      <c r="C494" s="9">
        <f>Whiteleictries</f>
        <v>0</v>
      </c>
      <c r="D494" s="2" t="s">
        <v>880</v>
      </c>
      <c r="E494" s="2" t="s">
        <v>250</v>
      </c>
      <c r="F494" s="19">
        <f>Watersharpts</f>
        <v>0</v>
      </c>
    </row>
    <row r="495" spans="1:6" ht="15" customHeight="1" thickBot="1" x14ac:dyDescent="0.3">
      <c r="A495" s="74" t="s">
        <v>526</v>
      </c>
      <c r="B495" s="74" t="s">
        <v>222</v>
      </c>
      <c r="C495" s="9">
        <f>Wilkinsonsaltries</f>
        <v>0</v>
      </c>
      <c r="D495" s="2" t="s">
        <v>233</v>
      </c>
      <c r="E495" s="2" t="s">
        <v>253</v>
      </c>
      <c r="F495" s="19">
        <f>Whiteleicpts</f>
        <v>0</v>
      </c>
    </row>
    <row r="496" spans="1:6" ht="15" customHeight="1" thickBot="1" x14ac:dyDescent="0.3">
      <c r="A496" s="74" t="s">
        <v>750</v>
      </c>
      <c r="B496" s="74" t="s">
        <v>253</v>
      </c>
      <c r="C496" s="9">
        <f>Wellsharrytries</f>
        <v>0</v>
      </c>
      <c r="D496" s="2" t="s">
        <v>750</v>
      </c>
      <c r="E496" s="2" t="s">
        <v>253</v>
      </c>
      <c r="F496" s="19">
        <f>Wellsharrypts</f>
        <v>0</v>
      </c>
    </row>
    <row r="497" spans="1:6" ht="15" customHeight="1" thickBot="1" x14ac:dyDescent="0.3">
      <c r="A497" s="74" t="s">
        <v>635</v>
      </c>
      <c r="B497" s="74" t="s">
        <v>222</v>
      </c>
      <c r="C497" s="9">
        <f>Williamssaltries</f>
        <v>0</v>
      </c>
      <c r="D497" s="2" t="s">
        <v>635</v>
      </c>
      <c r="E497" s="2" t="s">
        <v>222</v>
      </c>
      <c r="F497" s="18">
        <f>Williamssalpts</f>
        <v>0</v>
      </c>
    </row>
    <row r="498" spans="1:6" ht="15" customHeight="1" thickBot="1" x14ac:dyDescent="0.3">
      <c r="A498" s="74" t="s">
        <v>552</v>
      </c>
      <c r="B498" s="74" t="s">
        <v>223</v>
      </c>
      <c r="C498" s="9">
        <f>Willisonbthtries</f>
        <v>0</v>
      </c>
      <c r="D498" s="2" t="s">
        <v>552</v>
      </c>
      <c r="E498" s="2" t="s">
        <v>223</v>
      </c>
      <c r="F498" s="19">
        <f>Willisonbthpts</f>
        <v>0</v>
      </c>
    </row>
    <row r="499" spans="1:6" ht="15" customHeight="1" thickBot="1" x14ac:dyDescent="0.3">
      <c r="A499" s="74" t="s">
        <v>552</v>
      </c>
      <c r="B499" s="74" t="s">
        <v>577</v>
      </c>
      <c r="C499" s="57">
        <f>Sowreynewtries</f>
        <v>0</v>
      </c>
      <c r="D499" s="2" t="s">
        <v>552</v>
      </c>
      <c r="E499" s="2" t="s">
        <v>577</v>
      </c>
      <c r="F499" s="19">
        <f>Sowreynewpts</f>
        <v>0</v>
      </c>
    </row>
    <row r="500" spans="1:6" ht="15" customHeight="1" thickBot="1" x14ac:dyDescent="0.3">
      <c r="A500" s="10" t="s">
        <v>552</v>
      </c>
      <c r="B500" s="10" t="s">
        <v>221</v>
      </c>
      <c r="C500" s="9">
        <f>Williamswortries</f>
        <v>0</v>
      </c>
      <c r="D500" s="17" t="s">
        <v>835</v>
      </c>
      <c r="E500" s="17" t="s">
        <v>221</v>
      </c>
      <c r="F500" s="19">
        <f>Williamsworpts</f>
        <v>0</v>
      </c>
    </row>
    <row r="501" spans="1:6" ht="15" customHeight="1" thickBot="1" x14ac:dyDescent="0.3">
      <c r="A501" s="74" t="s">
        <v>780</v>
      </c>
      <c r="B501" s="74" t="s">
        <v>251</v>
      </c>
      <c r="C501" s="9">
        <f>Wittyexetries</f>
        <v>0</v>
      </c>
      <c r="D501" s="2" t="s">
        <v>780</v>
      </c>
      <c r="E501" s="2" t="s">
        <v>251</v>
      </c>
      <c r="F501" s="19">
        <f>Wittyexepts</f>
        <v>0</v>
      </c>
    </row>
    <row r="502" spans="1:6" ht="15" customHeight="1" thickBot="1" x14ac:dyDescent="0.3">
      <c r="A502" s="74" t="s">
        <v>641</v>
      </c>
      <c r="B502" s="74" t="s">
        <v>252</v>
      </c>
      <c r="C502" s="57">
        <f>Wolstenholmewastries</f>
        <v>0</v>
      </c>
      <c r="D502" s="2" t="s">
        <v>642</v>
      </c>
      <c r="E502" s="2" t="s">
        <v>252</v>
      </c>
      <c r="F502" s="20">
        <f>Wolstenholmewaspts</f>
        <v>0</v>
      </c>
    </row>
    <row r="503" spans="1:6" ht="15" customHeight="1" thickBot="1" x14ac:dyDescent="0.3">
      <c r="A503" s="74" t="s">
        <v>500</v>
      </c>
      <c r="B503" s="74" t="s">
        <v>260</v>
      </c>
      <c r="C503" s="9">
        <f>Steelelitries</f>
        <v>0</v>
      </c>
      <c r="D503" s="2" t="s">
        <v>500</v>
      </c>
      <c r="E503" s="2" t="s">
        <v>260</v>
      </c>
      <c r="F503" s="19">
        <f>Steelelipts</f>
        <v>0</v>
      </c>
    </row>
    <row r="504" spans="1:6" ht="15" customHeight="1" thickBot="1" x14ac:dyDescent="0.3">
      <c r="A504" s="74" t="s">
        <v>501</v>
      </c>
      <c r="B504" s="74" t="s">
        <v>253</v>
      </c>
      <c r="C504" s="9">
        <f>Worthleitries</f>
        <v>0</v>
      </c>
      <c r="D504" s="2" t="s">
        <v>501</v>
      </c>
      <c r="E504" s="2" t="s">
        <v>253</v>
      </c>
      <c r="F504" s="19">
        <f>Worthleipts</f>
        <v>0</v>
      </c>
    </row>
    <row r="505" spans="1:6" ht="15" customHeight="1" thickBot="1" x14ac:dyDescent="0.3">
      <c r="A505" s="74" t="s">
        <v>620</v>
      </c>
      <c r="B505" s="74" t="s">
        <v>251</v>
      </c>
      <c r="C505" s="9">
        <f>Wyattexetries</f>
        <v>0</v>
      </c>
      <c r="D505" s="2" t="s">
        <v>620</v>
      </c>
      <c r="E505" s="2" t="s">
        <v>251</v>
      </c>
      <c r="F505" s="19">
        <f>Wyattexepts</f>
        <v>0</v>
      </c>
    </row>
    <row r="506" spans="1:6" ht="15" customHeight="1" thickBot="1" x14ac:dyDescent="0.3">
      <c r="A506" s="74" t="s">
        <v>721</v>
      </c>
      <c r="B506" s="74" t="s">
        <v>250</v>
      </c>
      <c r="C506" s="9">
        <f>Whitehartries</f>
        <v>0</v>
      </c>
      <c r="D506" s="2" t="s">
        <v>721</v>
      </c>
      <c r="E506" s="2" t="s">
        <v>250</v>
      </c>
      <c r="F506" s="19">
        <f>Whiteharpts</f>
        <v>0</v>
      </c>
    </row>
    <row r="507" spans="1:6" ht="15" customHeight="1" thickBot="1" x14ac:dyDescent="0.3">
      <c r="A507" s="74" t="s">
        <v>234</v>
      </c>
      <c r="B507" s="74" t="s">
        <v>253</v>
      </c>
      <c r="C507" s="9">
        <f>youngsbentries</f>
        <v>0</v>
      </c>
      <c r="D507" s="2" t="s">
        <v>234</v>
      </c>
      <c r="E507" s="2" t="s">
        <v>253</v>
      </c>
      <c r="F507" s="19">
        <f>Youngsbenptscorrect</f>
        <v>0</v>
      </c>
    </row>
    <row r="508" spans="1:6" ht="15" customHeight="1" thickBot="1" x14ac:dyDescent="0.3">
      <c r="A508" s="74" t="s">
        <v>504</v>
      </c>
      <c r="B508" s="74" t="s">
        <v>252</v>
      </c>
      <c r="C508" s="9">
        <f>Zhvaniawastries</f>
        <v>0</v>
      </c>
      <c r="D508" s="2" t="s">
        <v>504</v>
      </c>
      <c r="E508" s="2" t="s">
        <v>252</v>
      </c>
      <c r="F508" s="19">
        <f>Zhvaniawaspts</f>
        <v>0</v>
      </c>
    </row>
    <row r="509" spans="1:6" ht="15" customHeight="1" thickBot="1" x14ac:dyDescent="0.3">
      <c r="A509" s="9" t="s">
        <v>32</v>
      </c>
      <c r="B509" s="9"/>
      <c r="C509" s="9">
        <f>SUM(C2:C508)</f>
        <v>786</v>
      </c>
      <c r="D509" s="19" t="s">
        <v>32</v>
      </c>
      <c r="E509" s="19"/>
      <c r="F509" s="19">
        <f>SUM(F2:F508)</f>
        <v>6232</v>
      </c>
    </row>
    <row r="510" spans="1:6" ht="15" customHeight="1" x14ac:dyDescent="0.25">
      <c r="A510" s="352" t="s">
        <v>95</v>
      </c>
    </row>
    <row r="511" spans="1:6" ht="15" customHeight="1" x14ac:dyDescent="0.25"/>
    <row r="512" spans="1:6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50" ht="15" customHeight="1" x14ac:dyDescent="0.25"/>
    <row r="555" ht="15" customHeight="1" x14ac:dyDescent="0.25"/>
    <row r="557" ht="15" customHeight="1" x14ac:dyDescent="0.25"/>
    <row r="617" spans="7:9" x14ac:dyDescent="0.25">
      <c r="G617" s="351"/>
      <c r="H617" s="351"/>
      <c r="I617" s="351"/>
    </row>
    <row r="618" spans="7:9" x14ac:dyDescent="0.25">
      <c r="G618" s="351"/>
      <c r="H618" s="351"/>
      <c r="I618" s="351"/>
    </row>
    <row r="627" spans="7:11" x14ac:dyDescent="0.25">
      <c r="G627" s="350"/>
    </row>
    <row r="629" spans="7:11" x14ac:dyDescent="0.25">
      <c r="G629" s="349"/>
    </row>
    <row r="630" spans="7:11" ht="15" customHeight="1" x14ac:dyDescent="0.25">
      <c r="G630" s="349"/>
    </row>
    <row r="631" spans="7:11" ht="15" customHeight="1" x14ac:dyDescent="0.25">
      <c r="G631" s="348"/>
      <c r="H631" s="348"/>
      <c r="I631" s="348"/>
      <c r="J631" s="348"/>
      <c r="K631" s="348"/>
    </row>
    <row r="640" spans="7:11" ht="15.75" customHeight="1" x14ac:dyDescent="0.25"/>
    <row r="642" spans="1:11" ht="15.75" customHeight="1" x14ac:dyDescent="0.25"/>
    <row r="643" spans="1:11" ht="15" customHeight="1" x14ac:dyDescent="0.25"/>
    <row r="644" spans="1:11" s="348" customFormat="1" ht="15" customHeight="1" x14ac:dyDescent="0.25">
      <c r="A644"/>
      <c r="B644"/>
      <c r="C644"/>
      <c r="D644"/>
      <c r="E644"/>
      <c r="F644"/>
      <c r="G644"/>
      <c r="H644"/>
      <c r="I644"/>
      <c r="J644"/>
      <c r="K644"/>
    </row>
  </sheetData>
  <sortState xmlns:xlrd2="http://schemas.microsoft.com/office/spreadsheetml/2017/richdata2" ref="G2:K45">
    <sortCondition sortBy="fontColor" ref="J2:J45" dxfId="0"/>
    <sortCondition descending="1" ref="K2:K45"/>
    <sortCondition descending="1" ref="J2:J45"/>
    <sortCondition ref="G2:G45"/>
  </sortState>
  <mergeCells count="3">
    <mergeCell ref="O1:Q1"/>
    <mergeCell ref="L1:N1"/>
    <mergeCell ref="O10:Q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0"/>
  <sheetViews>
    <sheetView workbookViewId="0">
      <selection activeCell="AA12" sqref="AA12"/>
    </sheetView>
  </sheetViews>
  <sheetFormatPr defaultColWidth="8.85546875" defaultRowHeight="15" x14ac:dyDescent="0.25"/>
  <cols>
    <col min="1" max="1" width="16.42578125" customWidth="1"/>
    <col min="2" max="3" width="3.7109375" customWidth="1"/>
    <col min="4" max="4" width="4.7109375" customWidth="1"/>
    <col min="5" max="5" width="16.42578125" customWidth="1"/>
    <col min="6" max="8" width="5.28515625" customWidth="1"/>
    <col min="9" max="9" width="16.7109375" customWidth="1"/>
    <col min="10" max="12" width="5.42578125" customWidth="1"/>
    <col min="13" max="21" width="5.7109375" customWidth="1"/>
    <col min="22" max="32" width="4.7109375" customWidth="1"/>
    <col min="33" max="41" width="5.7109375" customWidth="1"/>
  </cols>
  <sheetData>
    <row r="1" spans="1:50" ht="15" customHeight="1" thickBot="1" x14ac:dyDescent="0.3">
      <c r="A1" s="555" t="s">
        <v>805</v>
      </c>
      <c r="B1" s="556"/>
      <c r="C1" s="556"/>
      <c r="D1" s="556"/>
      <c r="E1" s="556"/>
      <c r="F1" s="556"/>
      <c r="G1" s="556"/>
      <c r="H1" s="557"/>
      <c r="I1" s="531" t="s">
        <v>658</v>
      </c>
      <c r="J1" s="525" t="s">
        <v>33</v>
      </c>
      <c r="K1" s="526"/>
      <c r="L1" s="527"/>
      <c r="M1" s="525" t="s">
        <v>280</v>
      </c>
      <c r="N1" s="526"/>
      <c r="O1" s="527"/>
      <c r="P1" s="525" t="s">
        <v>657</v>
      </c>
      <c r="Q1" s="527"/>
      <c r="R1" s="543" t="s">
        <v>836</v>
      </c>
      <c r="S1" s="549"/>
      <c r="T1" s="550"/>
      <c r="U1" s="519" t="s">
        <v>816</v>
      </c>
      <c r="V1" s="520"/>
      <c r="W1" s="521"/>
      <c r="X1" s="282"/>
      <c r="Y1" s="272"/>
      <c r="Z1" s="272"/>
      <c r="AA1" s="114"/>
      <c r="AB1" s="114"/>
      <c r="AC1" s="269"/>
      <c r="AD1" s="519" t="s">
        <v>574</v>
      </c>
      <c r="AE1" s="520"/>
      <c r="AF1" s="521"/>
      <c r="AG1" s="519" t="s">
        <v>217</v>
      </c>
      <c r="AH1" s="520"/>
      <c r="AI1" s="521"/>
      <c r="AJ1" s="519" t="s">
        <v>147</v>
      </c>
      <c r="AK1" s="520"/>
      <c r="AL1" s="521"/>
      <c r="AM1" s="519" t="s">
        <v>137</v>
      </c>
      <c r="AN1" s="520"/>
      <c r="AO1" s="521"/>
      <c r="AP1" s="4"/>
      <c r="AQ1" s="4"/>
      <c r="AR1" s="4"/>
      <c r="AU1" s="4"/>
    </row>
    <row r="2" spans="1:50" ht="15" customHeight="1" thickBot="1" x14ac:dyDescent="0.3">
      <c r="A2" s="333" t="s">
        <v>0</v>
      </c>
      <c r="B2" s="334" t="s">
        <v>815</v>
      </c>
      <c r="C2" s="361" t="s">
        <v>72</v>
      </c>
      <c r="D2" s="335" t="s">
        <v>1</v>
      </c>
      <c r="E2" s="191" t="s">
        <v>2</v>
      </c>
      <c r="F2" s="192" t="s">
        <v>815</v>
      </c>
      <c r="G2" s="261" t="s">
        <v>72</v>
      </c>
      <c r="H2" s="193" t="s">
        <v>1</v>
      </c>
      <c r="I2" s="532"/>
      <c r="J2" s="528"/>
      <c r="K2" s="529"/>
      <c r="L2" s="530"/>
      <c r="M2" s="528"/>
      <c r="N2" s="529"/>
      <c r="O2" s="530"/>
      <c r="P2" s="528"/>
      <c r="Q2" s="530"/>
      <c r="R2" s="551"/>
      <c r="S2" s="552"/>
      <c r="T2" s="553"/>
      <c r="U2" s="522"/>
      <c r="V2" s="523"/>
      <c r="W2" s="524"/>
      <c r="X2" s="282"/>
      <c r="Y2" s="272"/>
      <c r="Z2" s="272"/>
      <c r="AA2" s="114"/>
      <c r="AB2" s="114"/>
      <c r="AC2" s="269"/>
      <c r="AD2" s="522"/>
      <c r="AE2" s="523"/>
      <c r="AF2" s="524"/>
      <c r="AG2" s="522"/>
      <c r="AH2" s="523"/>
      <c r="AI2" s="524"/>
      <c r="AJ2" s="522"/>
      <c r="AK2" s="523"/>
      <c r="AL2" s="524"/>
      <c r="AM2" s="522"/>
      <c r="AN2" s="523"/>
      <c r="AO2" s="524"/>
      <c r="AS2" s="4"/>
      <c r="AT2" s="4"/>
      <c r="AU2" s="4"/>
      <c r="AV2" s="4"/>
      <c r="AW2" s="4"/>
      <c r="AX2" s="4"/>
    </row>
    <row r="3" spans="1:50" ht="15" customHeight="1" thickBot="1" x14ac:dyDescent="0.3">
      <c r="A3" s="336" t="s">
        <v>837</v>
      </c>
      <c r="B3" s="337">
        <v>2</v>
      </c>
      <c r="C3" s="362">
        <v>0</v>
      </c>
      <c r="D3" s="338">
        <f t="shared" ref="D3:D48" si="0">SUM(B3:C3)</f>
        <v>2</v>
      </c>
      <c r="E3" s="188" t="s">
        <v>837</v>
      </c>
      <c r="F3" s="189">
        <v>10</v>
      </c>
      <c r="G3" s="262">
        <v>0</v>
      </c>
      <c r="H3" s="190">
        <f t="shared" ref="H3:H48" si="1">SUM(F3:G3)</f>
        <v>10</v>
      </c>
      <c r="I3" s="33" t="s">
        <v>51</v>
      </c>
      <c r="J3" s="3" t="s">
        <v>129</v>
      </c>
      <c r="K3" s="3" t="s">
        <v>27</v>
      </c>
      <c r="L3" s="3" t="s">
        <v>28</v>
      </c>
      <c r="M3" s="241" t="s">
        <v>129</v>
      </c>
      <c r="N3" s="3" t="s">
        <v>27</v>
      </c>
      <c r="O3" s="3" t="s">
        <v>28</v>
      </c>
      <c r="P3" s="3" t="s">
        <v>40</v>
      </c>
      <c r="Q3" s="3" t="s">
        <v>166</v>
      </c>
      <c r="R3" s="7" t="s">
        <v>129</v>
      </c>
      <c r="S3" s="7" t="s">
        <v>27</v>
      </c>
      <c r="T3" s="7" t="s">
        <v>28</v>
      </c>
      <c r="U3" s="103" t="s">
        <v>129</v>
      </c>
      <c r="V3" s="98" t="s">
        <v>27</v>
      </c>
      <c r="W3" s="98" t="s">
        <v>28</v>
      </c>
      <c r="X3" s="113"/>
      <c r="Y3" s="114"/>
      <c r="Z3" s="114"/>
      <c r="AA3" s="114"/>
      <c r="AB3" s="114"/>
      <c r="AC3" s="269"/>
      <c r="AD3" s="103" t="s">
        <v>129</v>
      </c>
      <c r="AE3" s="98" t="s">
        <v>27</v>
      </c>
      <c r="AF3" s="98" t="s">
        <v>28</v>
      </c>
      <c r="AG3" s="103" t="s">
        <v>129</v>
      </c>
      <c r="AH3" s="98" t="s">
        <v>27</v>
      </c>
      <c r="AI3" s="119" t="s">
        <v>28</v>
      </c>
      <c r="AJ3" s="119" t="s">
        <v>129</v>
      </c>
      <c r="AK3" s="98" t="s">
        <v>27</v>
      </c>
      <c r="AL3" s="98" t="s">
        <v>28</v>
      </c>
      <c r="AM3" s="98" t="s">
        <v>129</v>
      </c>
      <c r="AN3" s="98" t="s">
        <v>27</v>
      </c>
      <c r="AO3" s="98" t="s">
        <v>28</v>
      </c>
    </row>
    <row r="4" spans="1:50" ht="15" customHeight="1" thickBot="1" x14ac:dyDescent="0.3">
      <c r="A4" s="336" t="s">
        <v>82</v>
      </c>
      <c r="B4" s="337">
        <v>0</v>
      </c>
      <c r="C4" s="362">
        <v>0</v>
      </c>
      <c r="D4" s="338">
        <f t="shared" si="0"/>
        <v>0</v>
      </c>
      <c r="E4" s="188" t="s">
        <v>82</v>
      </c>
      <c r="F4" s="189">
        <v>0</v>
      </c>
      <c r="G4" s="262">
        <v>0</v>
      </c>
      <c r="H4" s="190">
        <f t="shared" si="1"/>
        <v>0</v>
      </c>
      <c r="I4" s="333" t="s">
        <v>535</v>
      </c>
      <c r="J4" s="341">
        <v>8</v>
      </c>
      <c r="K4" s="341">
        <v>9</v>
      </c>
      <c r="L4" s="342">
        <f>(J4/K4)*100</f>
        <v>88.888888888888886</v>
      </c>
      <c r="M4" s="341" t="s">
        <v>34</v>
      </c>
      <c r="N4" s="341" t="s">
        <v>34</v>
      </c>
      <c r="O4" s="342" t="s">
        <v>34</v>
      </c>
      <c r="P4" s="343">
        <v>6</v>
      </c>
      <c r="Q4" s="343">
        <v>6</v>
      </c>
      <c r="R4" s="6" t="s">
        <v>34</v>
      </c>
      <c r="S4" s="6" t="s">
        <v>34</v>
      </c>
      <c r="T4" s="6" t="s">
        <v>34</v>
      </c>
      <c r="U4" s="6">
        <v>0</v>
      </c>
      <c r="V4" s="6">
        <v>1</v>
      </c>
      <c r="W4" s="6">
        <v>0</v>
      </c>
      <c r="X4" s="113"/>
      <c r="Y4" s="114"/>
      <c r="Z4" s="114"/>
      <c r="AA4" s="114"/>
      <c r="AB4" s="114"/>
      <c r="AC4" s="269"/>
      <c r="AD4" s="236" t="s">
        <v>34</v>
      </c>
      <c r="AE4" s="237" t="s">
        <v>34</v>
      </c>
      <c r="AF4" s="237" t="s">
        <v>34</v>
      </c>
      <c r="AG4" s="236" t="s">
        <v>34</v>
      </c>
      <c r="AH4" s="237" t="s">
        <v>34</v>
      </c>
      <c r="AI4" s="237" t="s">
        <v>34</v>
      </c>
      <c r="AJ4" s="236" t="s">
        <v>34</v>
      </c>
      <c r="AK4" s="237" t="s">
        <v>34</v>
      </c>
      <c r="AL4" s="237" t="s">
        <v>34</v>
      </c>
      <c r="AM4" s="237" t="s">
        <v>34</v>
      </c>
      <c r="AN4" s="237" t="s">
        <v>34</v>
      </c>
      <c r="AO4" s="237" t="s">
        <v>34</v>
      </c>
    </row>
    <row r="5" spans="1:50" ht="15" customHeight="1" thickBot="1" x14ac:dyDescent="0.3">
      <c r="A5" s="336" t="s">
        <v>839</v>
      </c>
      <c r="B5" s="337">
        <v>0</v>
      </c>
      <c r="C5" s="362">
        <v>0</v>
      </c>
      <c r="D5" s="338">
        <f t="shared" si="0"/>
        <v>0</v>
      </c>
      <c r="E5" s="188" t="s">
        <v>839</v>
      </c>
      <c r="F5" s="189">
        <v>0</v>
      </c>
      <c r="G5" s="262">
        <v>0</v>
      </c>
      <c r="H5" s="190">
        <f t="shared" si="1"/>
        <v>0</v>
      </c>
      <c r="I5" s="333" t="s">
        <v>652</v>
      </c>
      <c r="J5" s="341">
        <v>23</v>
      </c>
      <c r="K5" s="341">
        <v>31</v>
      </c>
      <c r="L5" s="342">
        <f>(J5/K5)*100</f>
        <v>74.193548387096769</v>
      </c>
      <c r="M5" s="341" t="s">
        <v>34</v>
      </c>
      <c r="N5" s="341" t="s">
        <v>34</v>
      </c>
      <c r="O5" s="342" t="s">
        <v>34</v>
      </c>
      <c r="P5" s="343">
        <v>-1</v>
      </c>
      <c r="Q5" s="343">
        <v>-1</v>
      </c>
      <c r="R5" s="6">
        <v>2</v>
      </c>
      <c r="S5" s="6">
        <v>3</v>
      </c>
      <c r="T5" s="240">
        <f>(R5/S5)*100</f>
        <v>66.666666666666657</v>
      </c>
      <c r="U5" s="6" t="s">
        <v>34</v>
      </c>
      <c r="V5" s="6" t="s">
        <v>34</v>
      </c>
      <c r="W5" s="6" t="s">
        <v>34</v>
      </c>
      <c r="X5" s="113"/>
      <c r="Y5" s="114"/>
      <c r="Z5" s="114"/>
      <c r="AA5" s="114"/>
      <c r="AB5" s="114"/>
      <c r="AC5" s="269"/>
      <c r="AD5" s="6" t="s">
        <v>34</v>
      </c>
      <c r="AE5" s="6" t="s">
        <v>34</v>
      </c>
      <c r="AF5" s="6" t="s">
        <v>34</v>
      </c>
      <c r="AG5" s="6" t="s">
        <v>34</v>
      </c>
      <c r="AH5" s="6" t="s">
        <v>34</v>
      </c>
      <c r="AI5" s="6" t="s">
        <v>34</v>
      </c>
      <c r="AJ5" s="6" t="s">
        <v>34</v>
      </c>
      <c r="AK5" s="6" t="s">
        <v>34</v>
      </c>
      <c r="AL5" s="6" t="s">
        <v>34</v>
      </c>
      <c r="AM5" s="6" t="s">
        <v>34</v>
      </c>
      <c r="AN5" s="6" t="s">
        <v>34</v>
      </c>
      <c r="AO5" s="6" t="s">
        <v>34</v>
      </c>
    </row>
    <row r="6" spans="1:50" ht="15" customHeight="1" thickBot="1" x14ac:dyDescent="0.3">
      <c r="A6" s="336" t="s">
        <v>712</v>
      </c>
      <c r="B6" s="337">
        <v>1</v>
      </c>
      <c r="C6" s="362">
        <v>0</v>
      </c>
      <c r="D6" s="338">
        <f t="shared" si="0"/>
        <v>1</v>
      </c>
      <c r="E6" s="188" t="s">
        <v>712</v>
      </c>
      <c r="F6" s="189">
        <v>5</v>
      </c>
      <c r="G6" s="262">
        <v>0</v>
      </c>
      <c r="H6" s="190">
        <f t="shared" si="1"/>
        <v>5</v>
      </c>
      <c r="I6" s="333" t="s">
        <v>537</v>
      </c>
      <c r="J6" s="341">
        <v>10</v>
      </c>
      <c r="K6" s="341">
        <v>16</v>
      </c>
      <c r="L6" s="342">
        <f>(J6/K6)*100</f>
        <v>62.5</v>
      </c>
      <c r="M6" s="341" t="s">
        <v>34</v>
      </c>
      <c r="N6" s="341" t="s">
        <v>34</v>
      </c>
      <c r="O6" s="342" t="s">
        <v>34</v>
      </c>
      <c r="P6" s="343">
        <v>4</v>
      </c>
      <c r="Q6" s="343">
        <v>4</v>
      </c>
      <c r="R6" s="6">
        <v>1</v>
      </c>
      <c r="S6" s="6">
        <v>1</v>
      </c>
      <c r="T6" s="6">
        <f>(R6/S6)*100</f>
        <v>100</v>
      </c>
      <c r="U6" s="6" t="s">
        <v>34</v>
      </c>
      <c r="V6" s="6" t="s">
        <v>34</v>
      </c>
      <c r="W6" s="6" t="s">
        <v>34</v>
      </c>
      <c r="X6" s="113"/>
      <c r="Y6" s="114"/>
      <c r="Z6" s="114"/>
      <c r="AA6" s="114"/>
      <c r="AB6" s="114"/>
      <c r="AC6" s="269"/>
      <c r="AD6" s="6" t="s">
        <v>34</v>
      </c>
      <c r="AE6" s="6" t="s">
        <v>34</v>
      </c>
      <c r="AF6" s="6" t="s">
        <v>34</v>
      </c>
      <c r="AG6" s="6" t="s">
        <v>34</v>
      </c>
      <c r="AH6" s="6" t="s">
        <v>34</v>
      </c>
      <c r="AI6" s="6" t="s">
        <v>34</v>
      </c>
      <c r="AJ6" s="6">
        <v>24</v>
      </c>
      <c r="AK6" s="6">
        <v>29</v>
      </c>
      <c r="AL6" s="240">
        <f>SUM(AJ6/AK6)*100</f>
        <v>82.758620689655174</v>
      </c>
      <c r="AM6" s="6">
        <v>47</v>
      </c>
      <c r="AN6" s="6">
        <v>54</v>
      </c>
      <c r="AO6" s="232">
        <f>SUM(AM6/AN6)*100</f>
        <v>87.037037037037038</v>
      </c>
    </row>
    <row r="7" spans="1:50" ht="15" customHeight="1" thickBot="1" x14ac:dyDescent="0.3">
      <c r="A7" s="336" t="s">
        <v>648</v>
      </c>
      <c r="B7" s="337">
        <v>0</v>
      </c>
      <c r="C7" s="362">
        <v>0</v>
      </c>
      <c r="D7" s="338">
        <f t="shared" si="0"/>
        <v>0</v>
      </c>
      <c r="E7" s="188" t="s">
        <v>648</v>
      </c>
      <c r="F7" s="189">
        <v>0</v>
      </c>
      <c r="G7" s="262">
        <v>0</v>
      </c>
      <c r="H7" s="190">
        <f t="shared" si="1"/>
        <v>0</v>
      </c>
      <c r="I7" s="333" t="s">
        <v>850</v>
      </c>
      <c r="J7" s="341">
        <v>0</v>
      </c>
      <c r="K7" s="343">
        <v>1</v>
      </c>
      <c r="L7" s="340">
        <f>(J7/K7)*100</f>
        <v>0</v>
      </c>
      <c r="M7" s="341" t="s">
        <v>34</v>
      </c>
      <c r="N7" s="341" t="s">
        <v>34</v>
      </c>
      <c r="O7" s="342" t="s">
        <v>34</v>
      </c>
      <c r="P7" s="343">
        <v>-2</v>
      </c>
      <c r="Q7" s="343">
        <v>-1</v>
      </c>
      <c r="R7" s="6">
        <v>8</v>
      </c>
      <c r="S7" s="231">
        <v>9</v>
      </c>
      <c r="T7" s="232">
        <f>(R7/S7)*100</f>
        <v>88.888888888888886</v>
      </c>
      <c r="U7" s="221">
        <v>1</v>
      </c>
      <c r="V7" s="7">
        <v>1</v>
      </c>
      <c r="W7" s="7">
        <v>100</v>
      </c>
      <c r="X7" s="113"/>
      <c r="Y7" s="114"/>
      <c r="Z7" s="114"/>
      <c r="AA7" s="114"/>
      <c r="AB7" s="114"/>
      <c r="AC7" s="269"/>
      <c r="AD7" s="221">
        <v>0</v>
      </c>
      <c r="AE7" s="7">
        <v>1</v>
      </c>
      <c r="AF7" s="232">
        <f>SUM(AD7/AE7)*100</f>
        <v>0</v>
      </c>
      <c r="AG7" s="6" t="s">
        <v>34</v>
      </c>
      <c r="AH7" s="6" t="s">
        <v>34</v>
      </c>
      <c r="AI7" s="6" t="s">
        <v>34</v>
      </c>
      <c r="AJ7" s="6" t="s">
        <v>34</v>
      </c>
      <c r="AK7" s="6" t="s">
        <v>34</v>
      </c>
      <c r="AL7" s="6" t="s">
        <v>34</v>
      </c>
      <c r="AM7" s="6" t="s">
        <v>34</v>
      </c>
      <c r="AN7" s="6" t="s">
        <v>34</v>
      </c>
      <c r="AO7" s="6" t="s">
        <v>34</v>
      </c>
    </row>
    <row r="8" spans="1:50" ht="15" customHeight="1" thickBot="1" x14ac:dyDescent="0.3">
      <c r="A8" s="336" t="s">
        <v>535</v>
      </c>
      <c r="B8" s="337">
        <v>0</v>
      </c>
      <c r="C8" s="362">
        <v>0</v>
      </c>
      <c r="D8" s="338">
        <f t="shared" si="0"/>
        <v>0</v>
      </c>
      <c r="E8" s="188" t="s">
        <v>535</v>
      </c>
      <c r="F8" s="189">
        <v>19</v>
      </c>
      <c r="G8" s="262">
        <v>0</v>
      </c>
      <c r="H8" s="190">
        <f t="shared" si="1"/>
        <v>19</v>
      </c>
      <c r="I8" s="333" t="s">
        <v>272</v>
      </c>
      <c r="J8" s="341">
        <v>35</v>
      </c>
      <c r="K8" s="343">
        <v>48</v>
      </c>
      <c r="L8" s="342">
        <f>(J8/K8)*100</f>
        <v>72.916666666666657</v>
      </c>
      <c r="M8" s="341">
        <v>4</v>
      </c>
      <c r="N8" s="341">
        <v>9</v>
      </c>
      <c r="O8" s="342">
        <f>(M8/N8)*100</f>
        <v>44.444444444444443</v>
      </c>
      <c r="P8" s="343">
        <v>-2</v>
      </c>
      <c r="Q8" s="343">
        <v>-2</v>
      </c>
      <c r="R8" s="6">
        <v>74</v>
      </c>
      <c r="S8" s="231">
        <v>99</v>
      </c>
      <c r="T8" s="240">
        <f>(R8/S8)*100</f>
        <v>74.747474747474755</v>
      </c>
      <c r="U8" s="6">
        <v>45</v>
      </c>
      <c r="V8" s="231">
        <v>55</v>
      </c>
      <c r="W8" s="232">
        <f>SUM(U8/V8)*100</f>
        <v>81.818181818181827</v>
      </c>
      <c r="X8" s="113"/>
      <c r="Y8" s="114"/>
      <c r="Z8" s="114"/>
      <c r="AA8" s="114"/>
      <c r="AB8" s="114"/>
      <c r="AC8" s="269"/>
      <c r="AD8" s="6" t="s">
        <v>34</v>
      </c>
      <c r="AE8" s="231" t="s">
        <v>34</v>
      </c>
      <c r="AF8" s="231" t="s">
        <v>34</v>
      </c>
      <c r="AG8" s="6" t="s">
        <v>34</v>
      </c>
      <c r="AH8" s="231" t="s">
        <v>34</v>
      </c>
      <c r="AI8" s="6" t="s">
        <v>34</v>
      </c>
      <c r="AJ8" s="6" t="s">
        <v>34</v>
      </c>
      <c r="AK8" s="231" t="s">
        <v>34</v>
      </c>
      <c r="AL8" s="231" t="s">
        <v>34</v>
      </c>
      <c r="AM8" s="6" t="s">
        <v>34</v>
      </c>
      <c r="AN8" s="231" t="s">
        <v>34</v>
      </c>
      <c r="AO8" s="231" t="s">
        <v>34</v>
      </c>
      <c r="AP8" s="4"/>
    </row>
    <row r="9" spans="1:50" ht="15" customHeight="1" thickBot="1" x14ac:dyDescent="0.3">
      <c r="A9" s="336" t="s">
        <v>786</v>
      </c>
      <c r="B9" s="337">
        <v>5</v>
      </c>
      <c r="C9" s="362">
        <v>2</v>
      </c>
      <c r="D9" s="338">
        <f t="shared" si="0"/>
        <v>7</v>
      </c>
      <c r="E9" s="188" t="s">
        <v>786</v>
      </c>
      <c r="F9" s="189">
        <v>25</v>
      </c>
      <c r="G9" s="262">
        <v>10</v>
      </c>
      <c r="H9" s="190">
        <f t="shared" si="1"/>
        <v>35</v>
      </c>
      <c r="I9" s="125"/>
      <c r="J9" s="69"/>
      <c r="K9" s="124"/>
      <c r="L9" s="124"/>
      <c r="M9" s="124"/>
      <c r="N9" s="124"/>
      <c r="O9" s="124"/>
      <c r="P9" s="243"/>
      <c r="Q9" s="243"/>
      <c r="R9" s="224"/>
      <c r="S9" s="224"/>
      <c r="T9" s="224"/>
      <c r="U9" s="224"/>
      <c r="V9" s="225"/>
      <c r="W9" s="225"/>
      <c r="X9" s="106"/>
      <c r="Y9" s="106"/>
      <c r="Z9" s="106"/>
      <c r="AA9" s="106"/>
      <c r="AB9" s="106"/>
      <c r="AC9" s="106"/>
      <c r="AD9" s="106"/>
      <c r="AE9" s="106"/>
      <c r="AF9" s="106"/>
      <c r="AG9" s="363"/>
      <c r="AH9" s="329"/>
      <c r="AI9" s="329"/>
      <c r="AJ9" s="363"/>
      <c r="AK9" s="329"/>
      <c r="AL9" s="363"/>
    </row>
    <row r="10" spans="1:50" ht="15" customHeight="1" thickBot="1" x14ac:dyDescent="0.3">
      <c r="A10" s="336" t="s">
        <v>650</v>
      </c>
      <c r="B10" s="337">
        <v>1</v>
      </c>
      <c r="C10" s="362">
        <v>0</v>
      </c>
      <c r="D10" s="338">
        <f t="shared" si="0"/>
        <v>1</v>
      </c>
      <c r="E10" s="188" t="s">
        <v>650</v>
      </c>
      <c r="F10" s="189">
        <v>5</v>
      </c>
      <c r="G10" s="262">
        <v>0</v>
      </c>
      <c r="H10" s="190">
        <f t="shared" si="1"/>
        <v>5</v>
      </c>
      <c r="I10" s="517" t="s">
        <v>659</v>
      </c>
      <c r="J10" s="525" t="s">
        <v>33</v>
      </c>
      <c r="K10" s="526"/>
      <c r="L10" s="527"/>
      <c r="M10" s="543" t="s">
        <v>851</v>
      </c>
      <c r="N10" s="549"/>
      <c r="O10" s="550"/>
      <c r="P10" s="519" t="s">
        <v>853</v>
      </c>
      <c r="Q10" s="520"/>
      <c r="R10" s="521"/>
      <c r="S10" s="543" t="s">
        <v>575</v>
      </c>
      <c r="T10" s="549"/>
      <c r="U10" s="550"/>
      <c r="V10" s="254"/>
      <c r="W10" s="254"/>
      <c r="X10" s="254"/>
      <c r="Y10" s="354"/>
      <c r="Z10" s="354"/>
      <c r="AA10" s="354"/>
      <c r="AB10" s="354"/>
      <c r="AC10" s="354"/>
      <c r="AD10" s="543" t="s">
        <v>852</v>
      </c>
      <c r="AE10" s="549"/>
      <c r="AF10" s="550"/>
      <c r="AG10" s="543" t="s">
        <v>854</v>
      </c>
      <c r="AH10" s="544"/>
      <c r="AI10" s="545"/>
      <c r="AJ10" s="543" t="s">
        <v>855</v>
      </c>
      <c r="AK10" s="544"/>
      <c r="AL10" s="545"/>
      <c r="AM10" s="543" t="s">
        <v>856</v>
      </c>
      <c r="AN10" s="544"/>
      <c r="AO10" s="545"/>
      <c r="AR10" s="4"/>
    </row>
    <row r="11" spans="1:50" ht="15" customHeight="1" thickBot="1" x14ac:dyDescent="0.3">
      <c r="A11" s="336" t="s">
        <v>22</v>
      </c>
      <c r="B11" s="337">
        <v>0</v>
      </c>
      <c r="C11" s="362">
        <v>0</v>
      </c>
      <c r="D11" s="338">
        <f t="shared" si="0"/>
        <v>0</v>
      </c>
      <c r="E11" s="188" t="s">
        <v>22</v>
      </c>
      <c r="F11" s="189">
        <v>0</v>
      </c>
      <c r="G11" s="262">
        <v>0</v>
      </c>
      <c r="H11" s="190">
        <f t="shared" si="1"/>
        <v>0</v>
      </c>
      <c r="I11" s="518"/>
      <c r="J11" s="528"/>
      <c r="K11" s="529"/>
      <c r="L11" s="530"/>
      <c r="M11" s="551"/>
      <c r="N11" s="552"/>
      <c r="O11" s="553"/>
      <c r="P11" s="522"/>
      <c r="Q11" s="523"/>
      <c r="R11" s="524"/>
      <c r="S11" s="551"/>
      <c r="T11" s="552"/>
      <c r="U11" s="553"/>
      <c r="V11" s="254"/>
      <c r="W11" s="254"/>
      <c r="X11" s="254"/>
      <c r="Y11" s="354"/>
      <c r="Z11" s="354"/>
      <c r="AA11" s="354"/>
      <c r="AB11" s="354"/>
      <c r="AC11" s="354"/>
      <c r="AD11" s="551"/>
      <c r="AE11" s="552"/>
      <c r="AF11" s="553"/>
      <c r="AG11" s="546"/>
      <c r="AH11" s="547"/>
      <c r="AI11" s="548"/>
      <c r="AJ11" s="546"/>
      <c r="AK11" s="547"/>
      <c r="AL11" s="548"/>
      <c r="AM11" s="546"/>
      <c r="AN11" s="547"/>
      <c r="AO11" s="548"/>
      <c r="AU11" s="4"/>
      <c r="AV11" s="4"/>
      <c r="AW11" s="4"/>
      <c r="AX11" s="4"/>
    </row>
    <row r="12" spans="1:50" ht="15" customHeight="1" thickBot="1" x14ac:dyDescent="0.3">
      <c r="A12" s="336" t="s">
        <v>841</v>
      </c>
      <c r="B12" s="337">
        <v>0</v>
      </c>
      <c r="C12" s="362">
        <v>0</v>
      </c>
      <c r="D12" s="338">
        <f t="shared" si="0"/>
        <v>0</v>
      </c>
      <c r="E12" s="188" t="s">
        <v>841</v>
      </c>
      <c r="F12" s="189">
        <v>0</v>
      </c>
      <c r="G12" s="262">
        <v>0</v>
      </c>
      <c r="H12" s="190">
        <f t="shared" si="1"/>
        <v>0</v>
      </c>
      <c r="I12" s="122" t="s">
        <v>51</v>
      </c>
      <c r="J12" s="3" t="s">
        <v>129</v>
      </c>
      <c r="K12" s="3" t="s">
        <v>27</v>
      </c>
      <c r="L12" s="3" t="s">
        <v>28</v>
      </c>
      <c r="M12" s="7" t="s">
        <v>129</v>
      </c>
      <c r="N12" s="7" t="s">
        <v>27</v>
      </c>
      <c r="O12" s="7" t="s">
        <v>28</v>
      </c>
      <c r="P12" s="98" t="s">
        <v>129</v>
      </c>
      <c r="Q12" s="98" t="s">
        <v>27</v>
      </c>
      <c r="R12" s="98" t="s">
        <v>28</v>
      </c>
      <c r="S12" s="221" t="s">
        <v>129</v>
      </c>
      <c r="T12" s="7" t="s">
        <v>27</v>
      </c>
      <c r="U12" s="7" t="s">
        <v>28</v>
      </c>
      <c r="V12" s="354"/>
      <c r="W12" s="354"/>
      <c r="X12" s="354"/>
      <c r="Y12" s="354"/>
      <c r="Z12" s="354"/>
      <c r="AA12" s="354"/>
      <c r="AB12" s="354"/>
      <c r="AC12" s="354"/>
      <c r="AD12" s="221" t="s">
        <v>129</v>
      </c>
      <c r="AE12" s="7" t="s">
        <v>27</v>
      </c>
      <c r="AF12" s="7" t="s">
        <v>28</v>
      </c>
      <c r="AG12" s="6" t="s">
        <v>129</v>
      </c>
      <c r="AH12" s="6" t="s">
        <v>27</v>
      </c>
      <c r="AI12" s="6" t="s">
        <v>28</v>
      </c>
      <c r="AJ12" s="6" t="s">
        <v>129</v>
      </c>
      <c r="AK12" s="6" t="s">
        <v>27</v>
      </c>
      <c r="AL12" s="6" t="s">
        <v>28</v>
      </c>
      <c r="AM12" s="6" t="s">
        <v>129</v>
      </c>
      <c r="AN12" s="6" t="s">
        <v>27</v>
      </c>
      <c r="AO12" s="6" t="s">
        <v>28</v>
      </c>
      <c r="AP12" s="62"/>
      <c r="AQ12" s="62"/>
      <c r="AR12" s="62"/>
      <c r="AS12" s="4"/>
      <c r="AT12" s="4"/>
      <c r="AU12" s="4"/>
    </row>
    <row r="13" spans="1:50" ht="15" customHeight="1" thickBot="1" x14ac:dyDescent="0.3">
      <c r="A13" s="336" t="s">
        <v>173</v>
      </c>
      <c r="B13" s="337">
        <v>0</v>
      </c>
      <c r="C13" s="362">
        <v>0</v>
      </c>
      <c r="D13" s="338">
        <f t="shared" si="0"/>
        <v>0</v>
      </c>
      <c r="E13" s="188" t="s">
        <v>173</v>
      </c>
      <c r="F13" s="189">
        <v>0</v>
      </c>
      <c r="G13" s="262">
        <v>0</v>
      </c>
      <c r="H13" s="190">
        <f t="shared" si="1"/>
        <v>0</v>
      </c>
      <c r="I13" s="333" t="s">
        <v>535</v>
      </c>
      <c r="J13" s="339" t="s">
        <v>34</v>
      </c>
      <c r="K13" s="339" t="s">
        <v>34</v>
      </c>
      <c r="L13" s="340" t="s">
        <v>34</v>
      </c>
      <c r="M13" s="237" t="s">
        <v>34</v>
      </c>
      <c r="N13" s="237" t="s">
        <v>34</v>
      </c>
      <c r="O13" s="232" t="s">
        <v>34</v>
      </c>
      <c r="P13" s="237">
        <v>1</v>
      </c>
      <c r="Q13" s="237">
        <v>1</v>
      </c>
      <c r="R13" s="232">
        <f t="shared" ref="R13" si="2">SUM(P13/Q13)*100</f>
        <v>100</v>
      </c>
      <c r="S13" s="6" t="s">
        <v>34</v>
      </c>
      <c r="T13" s="6" t="s">
        <v>34</v>
      </c>
      <c r="U13" s="6" t="s">
        <v>34</v>
      </c>
      <c r="V13" s="354"/>
      <c r="W13" s="354"/>
      <c r="X13" s="354"/>
      <c r="Y13" s="354"/>
      <c r="Z13" s="354"/>
      <c r="AA13" s="354"/>
      <c r="AB13" s="354"/>
      <c r="AC13" s="354"/>
      <c r="AD13" s="6" t="s">
        <v>34</v>
      </c>
      <c r="AE13" s="6" t="s">
        <v>34</v>
      </c>
      <c r="AF13" s="6" t="s">
        <v>34</v>
      </c>
      <c r="AG13" s="6" t="s">
        <v>34</v>
      </c>
      <c r="AH13" s="6" t="s">
        <v>34</v>
      </c>
      <c r="AI13" s="6" t="s">
        <v>34</v>
      </c>
      <c r="AJ13" s="6" t="s">
        <v>34</v>
      </c>
      <c r="AK13" s="6" t="s">
        <v>34</v>
      </c>
      <c r="AL13" s="6" t="s">
        <v>34</v>
      </c>
      <c r="AM13" s="6" t="s">
        <v>34</v>
      </c>
      <c r="AN13" s="6" t="s">
        <v>34</v>
      </c>
      <c r="AO13" s="6" t="s">
        <v>34</v>
      </c>
      <c r="AP13" s="39"/>
      <c r="AQ13" s="39"/>
      <c r="AR13" s="39"/>
    </row>
    <row r="14" spans="1:50" ht="15" customHeight="1" thickBot="1" x14ac:dyDescent="0.3">
      <c r="A14" s="336" t="s">
        <v>213</v>
      </c>
      <c r="B14" s="337">
        <v>5</v>
      </c>
      <c r="C14" s="362">
        <v>0</v>
      </c>
      <c r="D14" s="338">
        <f t="shared" si="0"/>
        <v>5</v>
      </c>
      <c r="E14" s="188" t="s">
        <v>843</v>
      </c>
      <c r="F14" s="189">
        <v>25</v>
      </c>
      <c r="G14" s="262">
        <v>0</v>
      </c>
      <c r="H14" s="190">
        <f t="shared" si="1"/>
        <v>25</v>
      </c>
      <c r="I14" s="333" t="s">
        <v>652</v>
      </c>
      <c r="J14" s="339" t="s">
        <v>34</v>
      </c>
      <c r="K14" s="339" t="s">
        <v>34</v>
      </c>
      <c r="L14" s="341" t="s">
        <v>34</v>
      </c>
      <c r="M14" s="237">
        <v>10</v>
      </c>
      <c r="N14" s="237">
        <v>10</v>
      </c>
      <c r="O14" s="6">
        <v>100</v>
      </c>
      <c r="P14" s="237" t="s">
        <v>34</v>
      </c>
      <c r="Q14" s="237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354"/>
      <c r="W14" s="354"/>
      <c r="X14" s="354"/>
      <c r="Y14" s="354"/>
      <c r="Z14" s="354"/>
      <c r="AA14" s="354"/>
      <c r="AB14" s="354"/>
      <c r="AC14" s="354"/>
      <c r="AD14" s="6" t="s">
        <v>34</v>
      </c>
      <c r="AE14" s="6" t="s">
        <v>34</v>
      </c>
      <c r="AF14" s="6" t="s">
        <v>34</v>
      </c>
      <c r="AG14" s="6" t="s">
        <v>34</v>
      </c>
      <c r="AH14" s="237" t="s">
        <v>34</v>
      </c>
      <c r="AI14" s="6" t="s">
        <v>34</v>
      </c>
      <c r="AJ14" s="236" t="s">
        <v>34</v>
      </c>
      <c r="AK14" s="237" t="s">
        <v>34</v>
      </c>
      <c r="AL14" s="6" t="s">
        <v>34</v>
      </c>
      <c r="AM14" s="237" t="s">
        <v>34</v>
      </c>
      <c r="AN14" s="237" t="s">
        <v>34</v>
      </c>
      <c r="AO14" s="6" t="s">
        <v>34</v>
      </c>
      <c r="AP14" s="222"/>
      <c r="AQ14" s="222"/>
      <c r="AR14" s="222"/>
    </row>
    <row r="15" spans="1:50" ht="15" customHeight="1" thickBot="1" x14ac:dyDescent="0.3">
      <c r="A15" s="336" t="s">
        <v>537</v>
      </c>
      <c r="B15" s="337">
        <v>0</v>
      </c>
      <c r="C15" s="362">
        <v>0</v>
      </c>
      <c r="D15" s="338">
        <f t="shared" si="0"/>
        <v>0</v>
      </c>
      <c r="E15" s="188" t="s">
        <v>537</v>
      </c>
      <c r="F15" s="189">
        <v>24</v>
      </c>
      <c r="G15" s="262">
        <v>0</v>
      </c>
      <c r="H15" s="190">
        <f t="shared" si="1"/>
        <v>24</v>
      </c>
      <c r="I15" s="333" t="s">
        <v>161</v>
      </c>
      <c r="J15" s="339">
        <v>2</v>
      </c>
      <c r="K15" s="339">
        <v>2</v>
      </c>
      <c r="L15" s="411">
        <f>(J15/K15)*100</f>
        <v>100</v>
      </c>
      <c r="M15" s="237"/>
      <c r="N15" s="237"/>
      <c r="O15" s="7"/>
      <c r="P15" s="237"/>
      <c r="Q15" s="237"/>
      <c r="R15" s="7"/>
      <c r="S15" s="6"/>
      <c r="T15" s="6"/>
      <c r="U15" s="6"/>
      <c r="V15" s="406"/>
      <c r="W15" s="406"/>
      <c r="X15" s="406"/>
      <c r="Y15" s="406"/>
      <c r="Z15" s="406"/>
      <c r="AA15" s="406"/>
      <c r="AB15" s="406"/>
      <c r="AC15" s="406"/>
      <c r="AD15" s="6"/>
      <c r="AE15" s="6"/>
      <c r="AF15" s="6"/>
      <c r="AG15" s="6"/>
      <c r="AH15" s="412"/>
      <c r="AI15" s="6"/>
      <c r="AJ15" s="274"/>
      <c r="AK15" s="412"/>
      <c r="AL15" s="6"/>
      <c r="AM15" s="412"/>
      <c r="AN15" s="412"/>
      <c r="AO15" s="6"/>
    </row>
    <row r="16" spans="1:50" ht="15" customHeight="1" thickBot="1" x14ac:dyDescent="0.3">
      <c r="A16" s="336" t="s">
        <v>680</v>
      </c>
      <c r="B16" s="337">
        <v>0</v>
      </c>
      <c r="C16" s="362">
        <v>0</v>
      </c>
      <c r="D16" s="338">
        <f t="shared" si="0"/>
        <v>0</v>
      </c>
      <c r="E16" s="188" t="s">
        <v>680</v>
      </c>
      <c r="F16" s="189">
        <v>0</v>
      </c>
      <c r="G16" s="262">
        <v>0</v>
      </c>
      <c r="H16" s="190">
        <f t="shared" si="1"/>
        <v>0</v>
      </c>
      <c r="I16" s="333" t="s">
        <v>272</v>
      </c>
      <c r="J16" s="343">
        <v>11</v>
      </c>
      <c r="K16" s="343">
        <v>14</v>
      </c>
      <c r="L16" s="340">
        <f>(J16/K16)*100</f>
        <v>78.571428571428569</v>
      </c>
      <c r="M16" s="231">
        <v>42</v>
      </c>
      <c r="N16" s="231">
        <v>47</v>
      </c>
      <c r="O16" s="232">
        <f>(M16/N16)*100</f>
        <v>89.361702127659569</v>
      </c>
      <c r="P16" s="231">
        <v>26</v>
      </c>
      <c r="Q16" s="231">
        <v>45</v>
      </c>
      <c r="R16" s="232">
        <f t="shared" ref="R16" si="3">SUM(P16/Q16)*100</f>
        <v>57.777777777777771</v>
      </c>
      <c r="S16" s="6" t="s">
        <v>34</v>
      </c>
      <c r="T16" s="6" t="s">
        <v>34</v>
      </c>
      <c r="U16" s="6" t="s">
        <v>34</v>
      </c>
      <c r="V16" s="354"/>
      <c r="W16" s="354"/>
      <c r="X16" s="354"/>
      <c r="Y16" s="354"/>
      <c r="Z16" s="354"/>
      <c r="AA16" s="354"/>
      <c r="AB16" s="354"/>
      <c r="AC16" s="354"/>
      <c r="AD16" s="6" t="s">
        <v>34</v>
      </c>
      <c r="AE16" s="6" t="s">
        <v>34</v>
      </c>
      <c r="AF16" s="6" t="s">
        <v>34</v>
      </c>
      <c r="AG16" s="6" t="s">
        <v>34</v>
      </c>
      <c r="AH16" s="231" t="s">
        <v>34</v>
      </c>
      <c r="AI16" s="6" t="s">
        <v>34</v>
      </c>
      <c r="AJ16" s="6" t="s">
        <v>34</v>
      </c>
      <c r="AK16" s="231" t="s">
        <v>34</v>
      </c>
      <c r="AL16" s="6" t="s">
        <v>34</v>
      </c>
      <c r="AM16" s="231" t="s">
        <v>34</v>
      </c>
      <c r="AN16" s="231" t="s">
        <v>34</v>
      </c>
      <c r="AO16" s="6" t="s">
        <v>34</v>
      </c>
    </row>
    <row r="17" spans="1:41" ht="15" customHeight="1" thickBot="1" x14ac:dyDescent="0.3">
      <c r="A17" s="336" t="s">
        <v>1079</v>
      </c>
      <c r="B17" s="337">
        <v>1</v>
      </c>
      <c r="C17" s="362">
        <v>0</v>
      </c>
      <c r="D17" s="338">
        <f t="shared" si="0"/>
        <v>1</v>
      </c>
      <c r="E17" s="188" t="s">
        <v>1079</v>
      </c>
      <c r="F17" s="189">
        <v>5</v>
      </c>
      <c r="G17" s="262">
        <v>0</v>
      </c>
      <c r="H17" s="190">
        <f t="shared" si="1"/>
        <v>5</v>
      </c>
      <c r="I17" t="s">
        <v>51</v>
      </c>
      <c r="M17" s="39"/>
      <c r="N17" s="39"/>
      <c r="O17" s="39"/>
      <c r="P17" s="226"/>
      <c r="Q17" s="226"/>
      <c r="R17" s="226"/>
      <c r="S17" s="226"/>
      <c r="T17" s="226"/>
      <c r="U17" s="226"/>
      <c r="V17" s="354"/>
      <c r="W17" s="354"/>
      <c r="X17" s="354"/>
      <c r="Y17" s="354"/>
      <c r="Z17" s="354"/>
      <c r="AA17" s="354"/>
      <c r="AB17" s="354"/>
      <c r="AC17" s="354"/>
      <c r="AD17" s="226"/>
      <c r="AE17" s="226"/>
      <c r="AF17" s="226"/>
      <c r="AG17" s="226"/>
      <c r="AH17" s="226"/>
      <c r="AI17" s="226"/>
      <c r="AJ17" s="106"/>
      <c r="AK17" s="106"/>
      <c r="AL17" s="106"/>
    </row>
    <row r="18" spans="1:41" ht="15" customHeight="1" thickBot="1" x14ac:dyDescent="0.3">
      <c r="A18" s="336" t="s">
        <v>844</v>
      </c>
      <c r="B18" s="337">
        <v>0</v>
      </c>
      <c r="C18" s="362">
        <v>0</v>
      </c>
      <c r="D18" s="338">
        <f t="shared" si="0"/>
        <v>0</v>
      </c>
      <c r="E18" s="188" t="s">
        <v>844</v>
      </c>
      <c r="F18" s="189">
        <v>0</v>
      </c>
      <c r="G18" s="262">
        <v>0</v>
      </c>
      <c r="H18" s="190">
        <f t="shared" si="1"/>
        <v>0</v>
      </c>
      <c r="I18" s="515" t="s">
        <v>279</v>
      </c>
      <c r="J18" s="543" t="s">
        <v>836</v>
      </c>
      <c r="K18" s="549"/>
      <c r="L18" s="550"/>
      <c r="M18" s="543" t="s">
        <v>816</v>
      </c>
      <c r="N18" s="549"/>
      <c r="O18" s="550"/>
      <c r="P18" s="519" t="s">
        <v>574</v>
      </c>
      <c r="Q18" s="520"/>
      <c r="R18" s="521"/>
      <c r="S18" s="543" t="s">
        <v>217</v>
      </c>
      <c r="T18" s="549"/>
      <c r="U18" s="550"/>
      <c r="V18" s="354"/>
      <c r="W18" s="354"/>
      <c r="X18" s="354"/>
      <c r="Y18" s="354"/>
      <c r="Z18" s="354"/>
      <c r="AA18" s="354"/>
      <c r="AB18" s="354"/>
      <c r="AC18" s="354"/>
      <c r="AD18" s="543" t="s">
        <v>137</v>
      </c>
      <c r="AE18" s="549"/>
      <c r="AF18" s="550"/>
      <c r="AG18" s="226"/>
      <c r="AH18" s="226"/>
      <c r="AI18" s="226"/>
      <c r="AJ18" s="106"/>
      <c r="AK18" s="106"/>
      <c r="AL18" s="106"/>
    </row>
    <row r="19" spans="1:41" ht="15" customHeight="1" thickBot="1" x14ac:dyDescent="0.3">
      <c r="A19" s="336" t="s">
        <v>262</v>
      </c>
      <c r="B19" s="337">
        <v>2</v>
      </c>
      <c r="C19" s="362">
        <v>0</v>
      </c>
      <c r="D19" s="338">
        <f t="shared" si="0"/>
        <v>2</v>
      </c>
      <c r="E19" s="188" t="s">
        <v>262</v>
      </c>
      <c r="F19" s="189">
        <v>10</v>
      </c>
      <c r="G19" s="262">
        <v>0</v>
      </c>
      <c r="H19" s="190">
        <f t="shared" si="1"/>
        <v>10</v>
      </c>
      <c r="I19" s="516"/>
      <c r="J19" s="551"/>
      <c r="K19" s="552"/>
      <c r="L19" s="553"/>
      <c r="M19" s="551"/>
      <c r="N19" s="552"/>
      <c r="O19" s="553"/>
      <c r="P19" s="522"/>
      <c r="Q19" s="523"/>
      <c r="R19" s="524"/>
      <c r="S19" s="551"/>
      <c r="T19" s="552"/>
      <c r="U19" s="553"/>
      <c r="V19" s="354"/>
      <c r="W19" s="354"/>
      <c r="X19" s="354"/>
      <c r="Y19" s="354"/>
      <c r="Z19" s="354"/>
      <c r="AA19" s="354"/>
      <c r="AB19" s="354"/>
      <c r="AC19" s="354"/>
      <c r="AD19" s="551"/>
      <c r="AE19" s="552"/>
      <c r="AF19" s="553"/>
      <c r="AG19" s="226"/>
      <c r="AH19" s="226"/>
      <c r="AI19" s="226"/>
      <c r="AJ19" s="106"/>
      <c r="AK19" s="106"/>
      <c r="AL19" s="106"/>
    </row>
    <row r="20" spans="1:41" ht="15" customHeight="1" thickBot="1" x14ac:dyDescent="0.3">
      <c r="A20" s="336" t="s">
        <v>52</v>
      </c>
      <c r="B20" s="337">
        <v>0</v>
      </c>
      <c r="C20" s="362">
        <v>1</v>
      </c>
      <c r="D20" s="338">
        <f t="shared" si="0"/>
        <v>1</v>
      </c>
      <c r="E20" s="188" t="s">
        <v>52</v>
      </c>
      <c r="F20" s="189">
        <v>0</v>
      </c>
      <c r="G20" s="262">
        <v>5</v>
      </c>
      <c r="H20" s="190">
        <f t="shared" si="1"/>
        <v>5</v>
      </c>
      <c r="I20" s="122" t="s">
        <v>51</v>
      </c>
      <c r="J20" s="239" t="s">
        <v>129</v>
      </c>
      <c r="K20" s="239" t="s">
        <v>27</v>
      </c>
      <c r="L20" s="239" t="s">
        <v>28</v>
      </c>
      <c r="M20" s="239" t="s">
        <v>129</v>
      </c>
      <c r="N20" s="239" t="s">
        <v>27</v>
      </c>
      <c r="O20" s="6" t="s">
        <v>28</v>
      </c>
      <c r="P20" s="119" t="s">
        <v>129</v>
      </c>
      <c r="Q20" s="119" t="s">
        <v>27</v>
      </c>
      <c r="R20" s="119" t="s">
        <v>28</v>
      </c>
      <c r="S20" s="7" t="s">
        <v>129</v>
      </c>
      <c r="T20" s="7" t="s">
        <v>27</v>
      </c>
      <c r="U20" s="7" t="s">
        <v>28</v>
      </c>
      <c r="V20" s="354"/>
      <c r="W20" s="354"/>
      <c r="X20" s="354"/>
      <c r="Y20" s="354"/>
      <c r="Z20" s="354"/>
      <c r="AA20" s="354"/>
      <c r="AB20" s="354"/>
      <c r="AC20" s="354"/>
      <c r="AD20" s="6" t="s">
        <v>129</v>
      </c>
      <c r="AE20" s="7" t="s">
        <v>27</v>
      </c>
      <c r="AF20" s="7" t="s">
        <v>28</v>
      </c>
      <c r="AG20" s="226"/>
      <c r="AH20" s="226"/>
      <c r="AI20" s="226"/>
      <c r="AJ20" s="106"/>
      <c r="AK20" s="106"/>
      <c r="AL20" s="106"/>
      <c r="AM20" s="4"/>
    </row>
    <row r="21" spans="1:41" ht="15" customHeight="1" thickBot="1" x14ac:dyDescent="0.3">
      <c r="A21" s="336" t="s">
        <v>46</v>
      </c>
      <c r="B21" s="337">
        <v>3</v>
      </c>
      <c r="C21" s="362">
        <v>0</v>
      </c>
      <c r="D21" s="338">
        <f t="shared" si="0"/>
        <v>3</v>
      </c>
      <c r="E21" s="188" t="s">
        <v>46</v>
      </c>
      <c r="F21" s="189">
        <v>15</v>
      </c>
      <c r="G21" s="262">
        <v>0</v>
      </c>
      <c r="H21" s="190">
        <f t="shared" si="1"/>
        <v>15</v>
      </c>
      <c r="I21" s="344" t="s">
        <v>537</v>
      </c>
      <c r="J21" s="237">
        <v>9</v>
      </c>
      <c r="K21" s="237">
        <v>9</v>
      </c>
      <c r="L21" s="6">
        <f>SUM(J21/K21)*100</f>
        <v>100</v>
      </c>
      <c r="M21" s="6">
        <v>1</v>
      </c>
      <c r="N21" s="6">
        <v>1</v>
      </c>
      <c r="O21" s="232">
        <f t="shared" ref="O21:O23" si="4">SUM(M21/N21)*100</f>
        <v>100</v>
      </c>
      <c r="P21" s="242" t="s">
        <v>34</v>
      </c>
      <c r="Q21" s="242" t="s">
        <v>34</v>
      </c>
      <c r="R21" s="242" t="s">
        <v>34</v>
      </c>
      <c r="S21" s="6" t="s">
        <v>34</v>
      </c>
      <c r="T21" s="6" t="s">
        <v>34</v>
      </c>
      <c r="U21" s="6" t="s">
        <v>34</v>
      </c>
      <c r="V21" s="354"/>
      <c r="W21" s="354"/>
      <c r="X21" s="354"/>
      <c r="Y21" s="354"/>
      <c r="Z21" s="354"/>
      <c r="AA21" s="354"/>
      <c r="AB21" s="354"/>
      <c r="AC21" s="354"/>
      <c r="AD21" s="6" t="s">
        <v>34</v>
      </c>
      <c r="AE21" s="6" t="s">
        <v>34</v>
      </c>
      <c r="AF21" s="6" t="s">
        <v>34</v>
      </c>
      <c r="AG21" s="226"/>
      <c r="AH21" s="226"/>
      <c r="AI21" s="226"/>
      <c r="AJ21" s="106"/>
      <c r="AK21" s="106"/>
      <c r="AL21" s="106"/>
    </row>
    <row r="22" spans="1:41" ht="15" customHeight="1" thickBot="1" x14ac:dyDescent="0.3">
      <c r="A22" s="336" t="s">
        <v>263</v>
      </c>
      <c r="B22" s="337">
        <v>1</v>
      </c>
      <c r="C22" s="362">
        <v>0</v>
      </c>
      <c r="D22" s="338">
        <f t="shared" si="0"/>
        <v>1</v>
      </c>
      <c r="E22" s="188" t="s">
        <v>263</v>
      </c>
      <c r="F22" s="189">
        <v>5</v>
      </c>
      <c r="G22" s="262">
        <v>0</v>
      </c>
      <c r="H22" s="190">
        <f t="shared" si="1"/>
        <v>5</v>
      </c>
      <c r="I22" s="344" t="s">
        <v>535</v>
      </c>
      <c r="J22" s="237">
        <v>0</v>
      </c>
      <c r="K22" s="237">
        <v>1</v>
      </c>
      <c r="L22" s="6">
        <f t="shared" ref="L22" si="5">SUM(J22/K22)*100</f>
        <v>0</v>
      </c>
      <c r="M22" s="239"/>
      <c r="N22" s="239"/>
      <c r="O22" s="232"/>
      <c r="P22" s="242" t="s">
        <v>34</v>
      </c>
      <c r="Q22" s="242" t="s">
        <v>34</v>
      </c>
      <c r="R22" s="242" t="s">
        <v>34</v>
      </c>
      <c r="S22" s="6" t="s">
        <v>34</v>
      </c>
      <c r="T22" s="6" t="s">
        <v>34</v>
      </c>
      <c r="U22" s="6" t="s">
        <v>34</v>
      </c>
      <c r="V22" s="354"/>
      <c r="W22" s="354"/>
      <c r="X22" s="354"/>
      <c r="Y22" s="354"/>
      <c r="Z22" s="354"/>
      <c r="AA22" s="354"/>
      <c r="AB22" s="354"/>
      <c r="AC22" s="354"/>
      <c r="AD22" s="6" t="s">
        <v>34</v>
      </c>
      <c r="AE22" s="6" t="s">
        <v>34</v>
      </c>
      <c r="AF22" s="6" t="s">
        <v>34</v>
      </c>
      <c r="AG22" s="62"/>
      <c r="AH22" s="62"/>
      <c r="AI22" s="62"/>
      <c r="AJ22" s="106"/>
      <c r="AK22" s="106"/>
      <c r="AL22" s="106"/>
    </row>
    <row r="23" spans="1:41" ht="15" customHeight="1" thickBot="1" x14ac:dyDescent="0.3">
      <c r="A23" s="336" t="s">
        <v>1028</v>
      </c>
      <c r="B23" s="337">
        <v>1</v>
      </c>
      <c r="C23" s="362">
        <v>0</v>
      </c>
      <c r="D23" s="338">
        <f t="shared" si="0"/>
        <v>1</v>
      </c>
      <c r="E23" s="188" t="s">
        <v>1028</v>
      </c>
      <c r="F23" s="189">
        <v>5</v>
      </c>
      <c r="G23" s="262">
        <v>0</v>
      </c>
      <c r="H23" s="194">
        <f t="shared" si="1"/>
        <v>5</v>
      </c>
      <c r="I23" s="344" t="s">
        <v>272</v>
      </c>
      <c r="J23" s="237">
        <v>4</v>
      </c>
      <c r="K23" s="237">
        <v>4</v>
      </c>
      <c r="L23" s="6">
        <f t="shared" ref="L23" si="6">SUM(J23/K23)*100</f>
        <v>100</v>
      </c>
      <c r="M23" s="6">
        <v>8</v>
      </c>
      <c r="N23" s="6">
        <v>9</v>
      </c>
      <c r="O23" s="232">
        <f t="shared" si="4"/>
        <v>88.888888888888886</v>
      </c>
      <c r="P23" s="242" t="s">
        <v>34</v>
      </c>
      <c r="Q23" s="242" t="s">
        <v>34</v>
      </c>
      <c r="R23" s="242" t="s">
        <v>34</v>
      </c>
      <c r="S23" s="6">
        <v>1</v>
      </c>
      <c r="T23" s="231">
        <v>1</v>
      </c>
      <c r="U23" s="232">
        <f t="shared" ref="U23" si="7">SUM(S23/T23)*100</f>
        <v>100</v>
      </c>
      <c r="V23" s="354"/>
      <c r="W23" s="354"/>
      <c r="X23" s="354"/>
      <c r="Y23" s="354"/>
      <c r="Z23" s="354"/>
      <c r="AA23" s="354"/>
      <c r="AB23" s="354"/>
      <c r="AC23" s="354"/>
      <c r="AD23" s="6" t="s">
        <v>34</v>
      </c>
      <c r="AE23" s="6" t="s">
        <v>34</v>
      </c>
      <c r="AF23" s="6" t="s">
        <v>34</v>
      </c>
      <c r="AM23" s="4"/>
    </row>
    <row r="24" spans="1:41" ht="15" customHeight="1" thickBot="1" x14ac:dyDescent="0.3">
      <c r="A24" s="336" t="s">
        <v>846</v>
      </c>
      <c r="B24" s="337">
        <v>0</v>
      </c>
      <c r="C24" s="362">
        <v>0</v>
      </c>
      <c r="D24" s="338">
        <f t="shared" si="0"/>
        <v>0</v>
      </c>
      <c r="E24" s="188" t="s">
        <v>846</v>
      </c>
      <c r="F24" s="189">
        <v>0</v>
      </c>
      <c r="G24" s="262">
        <v>0</v>
      </c>
      <c r="H24" s="194">
        <f t="shared" si="1"/>
        <v>0</v>
      </c>
      <c r="I24" s="554" t="s">
        <v>999</v>
      </c>
      <c r="J24" s="554"/>
      <c r="K24" s="554"/>
      <c r="L24" s="554"/>
      <c r="M24" s="554"/>
      <c r="N24" s="554"/>
      <c r="O24" s="554"/>
      <c r="P24" s="554"/>
      <c r="Q24" s="554"/>
      <c r="R24" s="554"/>
      <c r="S24" s="554"/>
      <c r="T24" s="554"/>
      <c r="U24" s="554"/>
      <c r="V24" s="554"/>
      <c r="W24" s="554"/>
      <c r="X24" s="105"/>
      <c r="AG24" s="39"/>
      <c r="AH24" s="39"/>
      <c r="AI24" s="39"/>
      <c r="AM24" s="4"/>
    </row>
    <row r="25" spans="1:41" ht="15" customHeight="1" thickBot="1" x14ac:dyDescent="0.3">
      <c r="A25" s="336" t="s">
        <v>264</v>
      </c>
      <c r="B25" s="337">
        <v>0</v>
      </c>
      <c r="C25" s="362">
        <v>0</v>
      </c>
      <c r="D25" s="338">
        <f t="shared" si="0"/>
        <v>0</v>
      </c>
      <c r="E25" s="188" t="s">
        <v>264</v>
      </c>
      <c r="F25" s="189">
        <v>0</v>
      </c>
      <c r="G25" s="262">
        <v>0</v>
      </c>
      <c r="H25" s="194">
        <f t="shared" si="1"/>
        <v>0</v>
      </c>
      <c r="V25" s="114"/>
      <c r="W25" s="114"/>
      <c r="X25" s="105"/>
      <c r="AG25" s="39"/>
      <c r="AH25" s="39"/>
      <c r="AI25" s="39"/>
    </row>
    <row r="26" spans="1:41" ht="15" customHeight="1" thickBot="1" x14ac:dyDescent="0.3">
      <c r="A26" s="336" t="s">
        <v>652</v>
      </c>
      <c r="B26" s="337">
        <v>1</v>
      </c>
      <c r="C26" s="362">
        <v>2</v>
      </c>
      <c r="D26" s="338">
        <f t="shared" si="0"/>
        <v>3</v>
      </c>
      <c r="E26" s="188" t="s">
        <v>652</v>
      </c>
      <c r="F26" s="189">
        <v>60</v>
      </c>
      <c r="G26" s="262">
        <v>10</v>
      </c>
      <c r="H26" s="194">
        <f t="shared" si="1"/>
        <v>70</v>
      </c>
      <c r="V26" s="114"/>
      <c r="W26" s="114"/>
      <c r="X26" s="114"/>
    </row>
    <row r="27" spans="1:41" ht="15" customHeight="1" thickBot="1" x14ac:dyDescent="0.3">
      <c r="A27" s="336" t="s">
        <v>265</v>
      </c>
      <c r="B27" s="337">
        <v>1</v>
      </c>
      <c r="C27" s="362">
        <v>0</v>
      </c>
      <c r="D27" s="338">
        <f t="shared" si="0"/>
        <v>1</v>
      </c>
      <c r="E27" s="188" t="s">
        <v>265</v>
      </c>
      <c r="F27" s="189">
        <v>5</v>
      </c>
      <c r="G27" s="262">
        <v>0</v>
      </c>
      <c r="H27" s="194">
        <f t="shared" si="1"/>
        <v>5</v>
      </c>
      <c r="V27" s="114"/>
      <c r="W27" s="114"/>
      <c r="X27" s="114"/>
    </row>
    <row r="28" spans="1:41" ht="15" customHeight="1" thickBot="1" x14ac:dyDescent="0.3">
      <c r="A28" s="336" t="s">
        <v>161</v>
      </c>
      <c r="B28" s="337">
        <v>9</v>
      </c>
      <c r="C28" s="362">
        <v>1</v>
      </c>
      <c r="D28" s="338">
        <f t="shared" si="0"/>
        <v>10</v>
      </c>
      <c r="E28" s="188" t="s">
        <v>161</v>
      </c>
      <c r="F28" s="189">
        <v>45</v>
      </c>
      <c r="G28" s="262">
        <v>9</v>
      </c>
      <c r="H28" s="190">
        <f t="shared" si="1"/>
        <v>54</v>
      </c>
      <c r="V28" s="114"/>
      <c r="W28" s="114"/>
      <c r="X28" s="114"/>
      <c r="AN28" s="4"/>
      <c r="AO28" s="4"/>
    </row>
    <row r="29" spans="1:41" ht="15" customHeight="1" thickBot="1" x14ac:dyDescent="0.3">
      <c r="A29" s="336" t="s">
        <v>776</v>
      </c>
      <c r="B29" s="337">
        <v>0</v>
      </c>
      <c r="C29" s="362">
        <v>0</v>
      </c>
      <c r="D29" s="338">
        <f t="shared" si="0"/>
        <v>0</v>
      </c>
      <c r="E29" s="188" t="s">
        <v>776</v>
      </c>
      <c r="F29" s="189">
        <v>0</v>
      </c>
      <c r="G29" s="262">
        <v>0</v>
      </c>
      <c r="H29" s="190">
        <f t="shared" si="1"/>
        <v>0</v>
      </c>
      <c r="X29" s="114"/>
    </row>
    <row r="30" spans="1:41" ht="15" customHeight="1" thickBot="1" x14ac:dyDescent="0.3">
      <c r="A30" s="336" t="s">
        <v>266</v>
      </c>
      <c r="B30" s="337">
        <v>5</v>
      </c>
      <c r="C30" s="362">
        <v>0</v>
      </c>
      <c r="D30" s="338">
        <f t="shared" si="0"/>
        <v>5</v>
      </c>
      <c r="E30" s="188" t="s">
        <v>266</v>
      </c>
      <c r="F30" s="189">
        <v>25</v>
      </c>
      <c r="G30" s="262">
        <v>0</v>
      </c>
      <c r="H30" s="190">
        <f t="shared" si="1"/>
        <v>25</v>
      </c>
      <c r="X30" s="114"/>
    </row>
    <row r="31" spans="1:41" ht="15" customHeight="1" thickBot="1" x14ac:dyDescent="0.3">
      <c r="A31" s="336" t="s">
        <v>848</v>
      </c>
      <c r="B31" s="337">
        <v>7</v>
      </c>
      <c r="C31" s="362">
        <v>0</v>
      </c>
      <c r="D31" s="338">
        <f t="shared" si="0"/>
        <v>7</v>
      </c>
      <c r="E31" s="188" t="s">
        <v>848</v>
      </c>
      <c r="F31" s="189">
        <v>35</v>
      </c>
      <c r="G31" s="262">
        <v>0</v>
      </c>
      <c r="H31" s="190">
        <f t="shared" si="1"/>
        <v>35</v>
      </c>
      <c r="X31" s="114"/>
    </row>
    <row r="32" spans="1:41" ht="15" customHeight="1" thickBot="1" x14ac:dyDescent="0.3">
      <c r="A32" s="336" t="s">
        <v>267</v>
      </c>
      <c r="B32" s="337">
        <v>6</v>
      </c>
      <c r="C32" s="362">
        <v>1</v>
      </c>
      <c r="D32" s="338">
        <f t="shared" si="0"/>
        <v>7</v>
      </c>
      <c r="E32" s="188" t="s">
        <v>267</v>
      </c>
      <c r="F32" s="189">
        <v>30</v>
      </c>
      <c r="G32" s="262">
        <v>5</v>
      </c>
      <c r="H32" s="190">
        <f t="shared" si="1"/>
        <v>35</v>
      </c>
    </row>
    <row r="33" spans="1:36" ht="15" customHeight="1" thickBot="1" x14ac:dyDescent="0.3">
      <c r="A33" s="336" t="s">
        <v>6</v>
      </c>
      <c r="B33" s="337">
        <v>4</v>
      </c>
      <c r="C33" s="362">
        <v>0</v>
      </c>
      <c r="D33" s="338">
        <f t="shared" si="0"/>
        <v>4</v>
      </c>
      <c r="E33" s="188" t="s">
        <v>6</v>
      </c>
      <c r="F33" s="189">
        <v>28</v>
      </c>
      <c r="G33" s="262">
        <v>0</v>
      </c>
      <c r="H33" s="190">
        <f t="shared" si="1"/>
        <v>28</v>
      </c>
    </row>
    <row r="34" spans="1:36" ht="15" customHeight="1" thickBot="1" x14ac:dyDescent="0.3">
      <c r="A34" s="336" t="s">
        <v>268</v>
      </c>
      <c r="B34" s="337">
        <v>0</v>
      </c>
      <c r="C34" s="362">
        <v>0</v>
      </c>
      <c r="D34" s="338">
        <f t="shared" si="0"/>
        <v>0</v>
      </c>
      <c r="E34" s="188" t="s">
        <v>268</v>
      </c>
      <c r="F34" s="189">
        <v>0</v>
      </c>
      <c r="G34" s="262">
        <v>0</v>
      </c>
      <c r="H34" s="190">
        <f t="shared" si="1"/>
        <v>0</v>
      </c>
    </row>
    <row r="35" spans="1:36" ht="15" customHeight="1" thickBot="1" x14ac:dyDescent="0.3">
      <c r="A35" s="336" t="s">
        <v>269</v>
      </c>
      <c r="B35" s="337">
        <v>4</v>
      </c>
      <c r="C35" s="362">
        <v>0</v>
      </c>
      <c r="D35" s="338">
        <f t="shared" si="0"/>
        <v>4</v>
      </c>
      <c r="E35" s="188" t="s">
        <v>269</v>
      </c>
      <c r="F35" s="189">
        <v>20</v>
      </c>
      <c r="G35" s="262">
        <v>0</v>
      </c>
      <c r="H35" s="190">
        <f t="shared" si="1"/>
        <v>20</v>
      </c>
      <c r="AJ35" s="4"/>
    </row>
    <row r="36" spans="1:36" ht="15" customHeight="1" thickBot="1" x14ac:dyDescent="0.3">
      <c r="A36" s="336" t="s">
        <v>270</v>
      </c>
      <c r="B36" s="337">
        <v>2</v>
      </c>
      <c r="C36" s="362">
        <v>1</v>
      </c>
      <c r="D36" s="338">
        <f t="shared" si="0"/>
        <v>3</v>
      </c>
      <c r="E36" s="188" t="s">
        <v>270</v>
      </c>
      <c r="F36" s="189">
        <v>10</v>
      </c>
      <c r="G36" s="262">
        <v>5</v>
      </c>
      <c r="H36" s="190">
        <f t="shared" si="1"/>
        <v>15</v>
      </c>
      <c r="U36" s="360"/>
    </row>
    <row r="37" spans="1:36" ht="15" customHeight="1" thickBot="1" x14ac:dyDescent="0.3">
      <c r="A37" s="336" t="s">
        <v>556</v>
      </c>
      <c r="B37" s="337">
        <v>0</v>
      </c>
      <c r="C37" s="362">
        <v>0</v>
      </c>
      <c r="D37" s="338">
        <f t="shared" si="0"/>
        <v>0</v>
      </c>
      <c r="E37" s="188" t="s">
        <v>556</v>
      </c>
      <c r="F37" s="189">
        <v>0</v>
      </c>
      <c r="G37" s="262">
        <v>0</v>
      </c>
      <c r="H37" s="190">
        <f t="shared" si="1"/>
        <v>0</v>
      </c>
    </row>
    <row r="38" spans="1:36" ht="15" customHeight="1" thickBot="1" x14ac:dyDescent="0.3">
      <c r="A38" s="336" t="s">
        <v>715</v>
      </c>
      <c r="B38" s="337">
        <v>2</v>
      </c>
      <c r="C38" s="362">
        <v>1</v>
      </c>
      <c r="D38" s="338">
        <f t="shared" si="0"/>
        <v>3</v>
      </c>
      <c r="E38" s="188" t="s">
        <v>715</v>
      </c>
      <c r="F38" s="189">
        <v>10</v>
      </c>
      <c r="G38" s="262">
        <v>5</v>
      </c>
      <c r="H38" s="190">
        <f t="shared" si="1"/>
        <v>15</v>
      </c>
    </row>
    <row r="39" spans="1:36" ht="15" customHeight="1" thickBot="1" x14ac:dyDescent="0.3">
      <c r="A39" s="336" t="s">
        <v>737</v>
      </c>
      <c r="B39" s="337">
        <v>5</v>
      </c>
      <c r="C39" s="362">
        <v>0</v>
      </c>
      <c r="D39" s="338">
        <f t="shared" si="0"/>
        <v>5</v>
      </c>
      <c r="E39" s="188" t="s">
        <v>737</v>
      </c>
      <c r="F39" s="189">
        <v>25</v>
      </c>
      <c r="G39" s="262">
        <v>0</v>
      </c>
      <c r="H39" s="190">
        <f t="shared" si="1"/>
        <v>25</v>
      </c>
      <c r="AG39" s="4"/>
      <c r="AH39" s="4"/>
      <c r="AI39" s="4"/>
    </row>
    <row r="40" spans="1:36" ht="15" customHeight="1" thickBot="1" x14ac:dyDescent="0.3">
      <c r="A40" s="336" t="s">
        <v>271</v>
      </c>
      <c r="B40" s="337">
        <v>4</v>
      </c>
      <c r="C40" s="362">
        <v>1</v>
      </c>
      <c r="D40" s="338">
        <f t="shared" si="0"/>
        <v>5</v>
      </c>
      <c r="E40" s="188" t="s">
        <v>271</v>
      </c>
      <c r="F40" s="189">
        <v>20</v>
      </c>
      <c r="G40" s="262">
        <v>5</v>
      </c>
      <c r="H40" s="190">
        <f t="shared" si="1"/>
        <v>25</v>
      </c>
    </row>
    <row r="41" spans="1:36" ht="15.75" thickBot="1" x14ac:dyDescent="0.3">
      <c r="A41" s="336" t="s">
        <v>272</v>
      </c>
      <c r="B41" s="337">
        <v>0</v>
      </c>
      <c r="C41" s="362">
        <v>0</v>
      </c>
      <c r="D41" s="338">
        <f t="shared" si="0"/>
        <v>0</v>
      </c>
      <c r="E41" s="188" t="s">
        <v>272</v>
      </c>
      <c r="F41" s="189">
        <v>91</v>
      </c>
      <c r="G41" s="262">
        <v>28</v>
      </c>
      <c r="H41" s="190">
        <f t="shared" si="1"/>
        <v>119</v>
      </c>
      <c r="AJ41" s="4"/>
    </row>
    <row r="42" spans="1:36" ht="15.75" thickBot="1" x14ac:dyDescent="0.3">
      <c r="A42" s="336" t="s">
        <v>84</v>
      </c>
      <c r="B42" s="337">
        <v>1</v>
      </c>
      <c r="C42" s="362">
        <v>0</v>
      </c>
      <c r="D42" s="338">
        <f t="shared" si="0"/>
        <v>1</v>
      </c>
      <c r="E42" s="188" t="s">
        <v>84</v>
      </c>
      <c r="F42" s="189">
        <v>5</v>
      </c>
      <c r="G42" s="262">
        <v>0</v>
      </c>
      <c r="H42" s="190">
        <f t="shared" si="1"/>
        <v>5</v>
      </c>
    </row>
    <row r="43" spans="1:36" ht="15.75" thickBot="1" x14ac:dyDescent="0.3">
      <c r="A43" s="336" t="s">
        <v>273</v>
      </c>
      <c r="B43" s="337">
        <v>0</v>
      </c>
      <c r="C43" s="362">
        <v>0</v>
      </c>
      <c r="D43" s="338">
        <f t="shared" si="0"/>
        <v>0</v>
      </c>
      <c r="E43" s="188" t="s">
        <v>273</v>
      </c>
      <c r="F43" s="189">
        <v>0</v>
      </c>
      <c r="G43" s="262">
        <v>0</v>
      </c>
      <c r="H43" s="190">
        <f t="shared" si="1"/>
        <v>0</v>
      </c>
    </row>
    <row r="44" spans="1:36" ht="15.75" thickBot="1" x14ac:dyDescent="0.3">
      <c r="A44" s="336" t="s">
        <v>274</v>
      </c>
      <c r="B44" s="337">
        <v>1</v>
      </c>
      <c r="C44" s="362">
        <v>0</v>
      </c>
      <c r="D44" s="338">
        <f t="shared" si="0"/>
        <v>1</v>
      </c>
      <c r="E44" s="188" t="s">
        <v>274</v>
      </c>
      <c r="F44" s="189">
        <v>5</v>
      </c>
      <c r="G44" s="262">
        <v>0</v>
      </c>
      <c r="H44" s="190">
        <f t="shared" si="1"/>
        <v>5</v>
      </c>
    </row>
    <row r="45" spans="1:36" ht="15.75" thickBot="1" x14ac:dyDescent="0.3">
      <c r="A45" s="336" t="s">
        <v>276</v>
      </c>
      <c r="B45" s="337">
        <v>0</v>
      </c>
      <c r="C45" s="362">
        <v>0</v>
      </c>
      <c r="D45" s="338">
        <f t="shared" si="0"/>
        <v>0</v>
      </c>
      <c r="E45" s="188" t="s">
        <v>276</v>
      </c>
      <c r="F45" s="189">
        <v>0</v>
      </c>
      <c r="G45" s="262">
        <v>0</v>
      </c>
      <c r="H45" s="190">
        <f t="shared" si="1"/>
        <v>0</v>
      </c>
      <c r="AG45" s="4"/>
      <c r="AH45" s="4"/>
      <c r="AI45" s="4"/>
    </row>
    <row r="46" spans="1:36" ht="15.75" thickBot="1" x14ac:dyDescent="0.3">
      <c r="A46" s="336" t="s">
        <v>277</v>
      </c>
      <c r="B46" s="337">
        <v>4</v>
      </c>
      <c r="C46" s="362">
        <v>0</v>
      </c>
      <c r="D46" s="338">
        <f t="shared" si="0"/>
        <v>4</v>
      </c>
      <c r="E46" s="188" t="s">
        <v>277</v>
      </c>
      <c r="F46" s="189">
        <v>20</v>
      </c>
      <c r="G46" s="262">
        <v>0</v>
      </c>
      <c r="H46" s="190">
        <f t="shared" si="1"/>
        <v>20</v>
      </c>
    </row>
    <row r="47" spans="1:36" ht="15.75" thickBot="1" x14ac:dyDescent="0.3">
      <c r="A47" s="336" t="s">
        <v>278</v>
      </c>
      <c r="B47" s="337">
        <v>2</v>
      </c>
      <c r="C47" s="362">
        <v>0</v>
      </c>
      <c r="D47" s="338">
        <f t="shared" si="0"/>
        <v>2</v>
      </c>
      <c r="E47" s="188" t="s">
        <v>278</v>
      </c>
      <c r="F47" s="189">
        <v>10</v>
      </c>
      <c r="G47" s="262">
        <v>0</v>
      </c>
      <c r="H47" s="190">
        <f t="shared" si="1"/>
        <v>10</v>
      </c>
    </row>
    <row r="48" spans="1:36" ht="15.75" thickBot="1" x14ac:dyDescent="0.3">
      <c r="A48" s="336" t="s">
        <v>107</v>
      </c>
      <c r="B48" s="337">
        <v>0</v>
      </c>
      <c r="C48" s="362">
        <v>0</v>
      </c>
      <c r="D48" s="338">
        <f t="shared" si="0"/>
        <v>0</v>
      </c>
      <c r="E48" s="188" t="s">
        <v>107</v>
      </c>
      <c r="F48" s="189">
        <v>0</v>
      </c>
      <c r="G48" s="262">
        <v>0</v>
      </c>
      <c r="H48" s="190">
        <f t="shared" si="1"/>
        <v>0</v>
      </c>
    </row>
    <row r="49" spans="1:8" ht="15.75" thickBot="1" x14ac:dyDescent="0.3">
      <c r="A49" s="336" t="s">
        <v>3</v>
      </c>
      <c r="B49" s="337">
        <f>SUM(B3:B48)</f>
        <v>80</v>
      </c>
      <c r="C49" s="362">
        <f>SUM(C3:C48)</f>
        <v>10</v>
      </c>
      <c r="D49" s="338">
        <f>SUM(D3:D48)</f>
        <v>90</v>
      </c>
      <c r="E49" s="188" t="s">
        <v>3</v>
      </c>
      <c r="F49" s="189">
        <f>SUM(F3:F48)</f>
        <v>597</v>
      </c>
      <c r="G49" s="262">
        <f>SUM(G3:G48)</f>
        <v>82</v>
      </c>
      <c r="H49" s="190">
        <f>SUM(H3:H48)</f>
        <v>679</v>
      </c>
    </row>
    <row r="50" spans="1:8" x14ac:dyDescent="0.25">
      <c r="B50" s="182"/>
      <c r="E50" s="40"/>
      <c r="F50" s="187"/>
      <c r="G50" s="37"/>
      <c r="H50" s="37"/>
    </row>
    <row r="51" spans="1:8" ht="15" customHeight="1" thickBot="1" x14ac:dyDescent="0.3">
      <c r="A51" t="s">
        <v>30</v>
      </c>
      <c r="B51" s="182"/>
      <c r="E51" s="36"/>
      <c r="F51" s="184"/>
      <c r="G51" s="39"/>
      <c r="H51" s="39"/>
    </row>
    <row r="52" spans="1:8" ht="15" customHeight="1" thickBot="1" x14ac:dyDescent="0.3">
      <c r="A52" s="333" t="s">
        <v>0</v>
      </c>
      <c r="B52" s="334" t="s">
        <v>815</v>
      </c>
      <c r="C52" s="361" t="s">
        <v>72</v>
      </c>
      <c r="D52" s="335" t="s">
        <v>1</v>
      </c>
      <c r="E52" s="191" t="s">
        <v>2</v>
      </c>
      <c r="F52" s="192" t="s">
        <v>815</v>
      </c>
      <c r="G52" s="261" t="s">
        <v>72</v>
      </c>
      <c r="H52" s="193" t="s">
        <v>1</v>
      </c>
    </row>
    <row r="53" spans="1:8" ht="15.75" thickBot="1" x14ac:dyDescent="0.3">
      <c r="A53" s="336" t="s">
        <v>161</v>
      </c>
      <c r="B53" s="337">
        <v>9</v>
      </c>
      <c r="C53" s="362">
        <v>1</v>
      </c>
      <c r="D53" s="338">
        <f t="shared" ref="D53:D98" si="8">SUM(B53:C53)</f>
        <v>10</v>
      </c>
      <c r="E53" s="188" t="s">
        <v>272</v>
      </c>
      <c r="F53" s="189">
        <v>91</v>
      </c>
      <c r="G53" s="262">
        <v>28</v>
      </c>
      <c r="H53" s="190">
        <f t="shared" ref="H53:H98" si="9">SUM(F53:G53)</f>
        <v>119</v>
      </c>
    </row>
    <row r="54" spans="1:8" ht="15.75" thickBot="1" x14ac:dyDescent="0.3">
      <c r="A54" s="336" t="s">
        <v>786</v>
      </c>
      <c r="B54" s="337">
        <v>5</v>
      </c>
      <c r="C54" s="362">
        <v>2</v>
      </c>
      <c r="D54" s="338">
        <f t="shared" si="8"/>
        <v>7</v>
      </c>
      <c r="E54" s="188" t="s">
        <v>652</v>
      </c>
      <c r="F54" s="189">
        <v>60</v>
      </c>
      <c r="G54" s="262">
        <v>10</v>
      </c>
      <c r="H54" s="190">
        <f t="shared" si="9"/>
        <v>70</v>
      </c>
    </row>
    <row r="55" spans="1:8" ht="15.75" thickBot="1" x14ac:dyDescent="0.3">
      <c r="A55" s="336" t="s">
        <v>848</v>
      </c>
      <c r="B55" s="337">
        <v>7</v>
      </c>
      <c r="C55" s="362">
        <v>0</v>
      </c>
      <c r="D55" s="338">
        <f t="shared" si="8"/>
        <v>7</v>
      </c>
      <c r="E55" s="188" t="s">
        <v>161</v>
      </c>
      <c r="F55" s="189">
        <v>45</v>
      </c>
      <c r="G55" s="262">
        <v>9</v>
      </c>
      <c r="H55" s="190">
        <f t="shared" si="9"/>
        <v>54</v>
      </c>
    </row>
    <row r="56" spans="1:8" ht="15.75" thickBot="1" x14ac:dyDescent="0.3">
      <c r="A56" s="336" t="s">
        <v>267</v>
      </c>
      <c r="B56" s="337">
        <v>6</v>
      </c>
      <c r="C56" s="362">
        <v>1</v>
      </c>
      <c r="D56" s="338">
        <f t="shared" si="8"/>
        <v>7</v>
      </c>
      <c r="E56" s="188" t="s">
        <v>786</v>
      </c>
      <c r="F56" s="189">
        <v>25</v>
      </c>
      <c r="G56" s="262">
        <v>10</v>
      </c>
      <c r="H56" s="190">
        <f t="shared" si="9"/>
        <v>35</v>
      </c>
    </row>
    <row r="57" spans="1:8" ht="15.75" thickBot="1" x14ac:dyDescent="0.3">
      <c r="A57" s="336" t="s">
        <v>213</v>
      </c>
      <c r="B57" s="337">
        <v>5</v>
      </c>
      <c r="C57" s="362">
        <v>0</v>
      </c>
      <c r="D57" s="338">
        <f t="shared" si="8"/>
        <v>5</v>
      </c>
      <c r="E57" s="188" t="s">
        <v>848</v>
      </c>
      <c r="F57" s="189">
        <v>35</v>
      </c>
      <c r="G57" s="262">
        <v>0</v>
      </c>
      <c r="H57" s="190">
        <f t="shared" si="9"/>
        <v>35</v>
      </c>
    </row>
    <row r="58" spans="1:8" ht="15.75" thickBot="1" x14ac:dyDescent="0.3">
      <c r="A58" s="336" t="s">
        <v>266</v>
      </c>
      <c r="B58" s="337">
        <v>5</v>
      </c>
      <c r="C58" s="362">
        <v>0</v>
      </c>
      <c r="D58" s="338">
        <f t="shared" si="8"/>
        <v>5</v>
      </c>
      <c r="E58" s="188" t="s">
        <v>267</v>
      </c>
      <c r="F58" s="189">
        <v>30</v>
      </c>
      <c r="G58" s="262">
        <v>5</v>
      </c>
      <c r="H58" s="190">
        <f t="shared" si="9"/>
        <v>35</v>
      </c>
    </row>
    <row r="59" spans="1:8" ht="15.75" thickBot="1" x14ac:dyDescent="0.3">
      <c r="A59" s="336" t="s">
        <v>737</v>
      </c>
      <c r="B59" s="337">
        <v>5</v>
      </c>
      <c r="C59" s="362">
        <v>0</v>
      </c>
      <c r="D59" s="338">
        <f t="shared" si="8"/>
        <v>5</v>
      </c>
      <c r="E59" s="188" t="s">
        <v>6</v>
      </c>
      <c r="F59" s="189">
        <v>28</v>
      </c>
      <c r="G59" s="262">
        <v>0</v>
      </c>
      <c r="H59" s="190">
        <f t="shared" si="9"/>
        <v>28</v>
      </c>
    </row>
    <row r="60" spans="1:8" ht="15.75" thickBot="1" x14ac:dyDescent="0.3">
      <c r="A60" s="336" t="s">
        <v>271</v>
      </c>
      <c r="B60" s="337">
        <v>4</v>
      </c>
      <c r="C60" s="362">
        <v>1</v>
      </c>
      <c r="D60" s="338">
        <f t="shared" si="8"/>
        <v>5</v>
      </c>
      <c r="E60" s="188" t="s">
        <v>843</v>
      </c>
      <c r="F60" s="189">
        <v>25</v>
      </c>
      <c r="G60" s="262">
        <v>0</v>
      </c>
      <c r="H60" s="190">
        <f t="shared" si="9"/>
        <v>25</v>
      </c>
    </row>
    <row r="61" spans="1:8" ht="15.75" thickBot="1" x14ac:dyDescent="0.3">
      <c r="A61" s="336" t="s">
        <v>6</v>
      </c>
      <c r="B61" s="337">
        <v>4</v>
      </c>
      <c r="C61" s="362">
        <v>0</v>
      </c>
      <c r="D61" s="338">
        <f t="shared" si="8"/>
        <v>4</v>
      </c>
      <c r="E61" s="188" t="s">
        <v>266</v>
      </c>
      <c r="F61" s="189">
        <v>25</v>
      </c>
      <c r="G61" s="262">
        <v>0</v>
      </c>
      <c r="H61" s="190">
        <f t="shared" si="9"/>
        <v>25</v>
      </c>
    </row>
    <row r="62" spans="1:8" ht="15.75" thickBot="1" x14ac:dyDescent="0.3">
      <c r="A62" s="336" t="s">
        <v>269</v>
      </c>
      <c r="B62" s="337">
        <v>4</v>
      </c>
      <c r="C62" s="362">
        <v>0</v>
      </c>
      <c r="D62" s="338">
        <f t="shared" si="8"/>
        <v>4</v>
      </c>
      <c r="E62" s="188" t="s">
        <v>737</v>
      </c>
      <c r="F62" s="189">
        <v>25</v>
      </c>
      <c r="G62" s="262">
        <v>0</v>
      </c>
      <c r="H62" s="190">
        <f t="shared" si="9"/>
        <v>25</v>
      </c>
    </row>
    <row r="63" spans="1:8" ht="15.75" thickBot="1" x14ac:dyDescent="0.3">
      <c r="A63" s="336" t="s">
        <v>277</v>
      </c>
      <c r="B63" s="337">
        <v>4</v>
      </c>
      <c r="C63" s="362">
        <v>0</v>
      </c>
      <c r="D63" s="338">
        <f t="shared" si="8"/>
        <v>4</v>
      </c>
      <c r="E63" s="188" t="s">
        <v>271</v>
      </c>
      <c r="F63" s="189">
        <v>20</v>
      </c>
      <c r="G63" s="262">
        <v>5</v>
      </c>
      <c r="H63" s="190">
        <f t="shared" si="9"/>
        <v>25</v>
      </c>
    </row>
    <row r="64" spans="1:8" ht="15.75" thickBot="1" x14ac:dyDescent="0.3">
      <c r="A64" s="336" t="s">
        <v>46</v>
      </c>
      <c r="B64" s="337">
        <v>3</v>
      </c>
      <c r="C64" s="362">
        <v>0</v>
      </c>
      <c r="D64" s="338">
        <f t="shared" si="8"/>
        <v>3</v>
      </c>
      <c r="E64" s="188" t="s">
        <v>537</v>
      </c>
      <c r="F64" s="189">
        <v>24</v>
      </c>
      <c r="G64" s="262">
        <v>0</v>
      </c>
      <c r="H64" s="190">
        <f t="shared" si="9"/>
        <v>24</v>
      </c>
    </row>
    <row r="65" spans="1:8" ht="15.75" thickBot="1" x14ac:dyDescent="0.3">
      <c r="A65" s="336" t="s">
        <v>652</v>
      </c>
      <c r="B65" s="337">
        <v>1</v>
      </c>
      <c r="C65" s="362">
        <v>2</v>
      </c>
      <c r="D65" s="338">
        <f t="shared" si="8"/>
        <v>3</v>
      </c>
      <c r="E65" s="188" t="s">
        <v>269</v>
      </c>
      <c r="F65" s="189">
        <v>20</v>
      </c>
      <c r="G65" s="262">
        <v>0</v>
      </c>
      <c r="H65" s="190">
        <f t="shared" si="9"/>
        <v>20</v>
      </c>
    </row>
    <row r="66" spans="1:8" ht="15.75" thickBot="1" x14ac:dyDescent="0.3">
      <c r="A66" s="336" t="s">
        <v>270</v>
      </c>
      <c r="B66" s="337">
        <v>2</v>
      </c>
      <c r="C66" s="362">
        <v>1</v>
      </c>
      <c r="D66" s="338">
        <f t="shared" si="8"/>
        <v>3</v>
      </c>
      <c r="E66" s="188" t="s">
        <v>277</v>
      </c>
      <c r="F66" s="189">
        <v>20</v>
      </c>
      <c r="G66" s="262">
        <v>0</v>
      </c>
      <c r="H66" s="190">
        <f t="shared" si="9"/>
        <v>20</v>
      </c>
    </row>
    <row r="67" spans="1:8" ht="15.75" thickBot="1" x14ac:dyDescent="0.3">
      <c r="A67" s="336" t="s">
        <v>715</v>
      </c>
      <c r="B67" s="337">
        <v>2</v>
      </c>
      <c r="C67" s="362">
        <v>1</v>
      </c>
      <c r="D67" s="338">
        <f t="shared" si="8"/>
        <v>3</v>
      </c>
      <c r="E67" s="188" t="s">
        <v>535</v>
      </c>
      <c r="F67" s="189">
        <v>19</v>
      </c>
      <c r="G67" s="262">
        <v>0</v>
      </c>
      <c r="H67" s="190">
        <f t="shared" si="9"/>
        <v>19</v>
      </c>
    </row>
    <row r="68" spans="1:8" ht="15.75" thickBot="1" x14ac:dyDescent="0.3">
      <c r="A68" s="336" t="s">
        <v>837</v>
      </c>
      <c r="B68" s="337">
        <v>2</v>
      </c>
      <c r="C68" s="362">
        <v>0</v>
      </c>
      <c r="D68" s="338">
        <f t="shared" si="8"/>
        <v>2</v>
      </c>
      <c r="E68" s="188" t="s">
        <v>46</v>
      </c>
      <c r="F68" s="189">
        <v>15</v>
      </c>
      <c r="G68" s="262">
        <v>0</v>
      </c>
      <c r="H68" s="190">
        <f t="shared" si="9"/>
        <v>15</v>
      </c>
    </row>
    <row r="69" spans="1:8" ht="15.75" thickBot="1" x14ac:dyDescent="0.3">
      <c r="A69" s="336" t="s">
        <v>262</v>
      </c>
      <c r="B69" s="337">
        <v>2</v>
      </c>
      <c r="C69" s="362">
        <v>0</v>
      </c>
      <c r="D69" s="338">
        <f t="shared" si="8"/>
        <v>2</v>
      </c>
      <c r="E69" s="188" t="s">
        <v>270</v>
      </c>
      <c r="F69" s="189">
        <v>10</v>
      </c>
      <c r="G69" s="262">
        <v>5</v>
      </c>
      <c r="H69" s="190">
        <f t="shared" si="9"/>
        <v>15</v>
      </c>
    </row>
    <row r="70" spans="1:8" ht="15.75" thickBot="1" x14ac:dyDescent="0.3">
      <c r="A70" s="336" t="s">
        <v>278</v>
      </c>
      <c r="B70" s="337">
        <v>2</v>
      </c>
      <c r="C70" s="362">
        <v>0</v>
      </c>
      <c r="D70" s="338">
        <f t="shared" si="8"/>
        <v>2</v>
      </c>
      <c r="E70" s="188" t="s">
        <v>715</v>
      </c>
      <c r="F70" s="189">
        <v>10</v>
      </c>
      <c r="G70" s="262">
        <v>5</v>
      </c>
      <c r="H70" s="190">
        <f t="shared" si="9"/>
        <v>15</v>
      </c>
    </row>
    <row r="71" spans="1:8" ht="15.75" thickBot="1" x14ac:dyDescent="0.3">
      <c r="A71" s="336" t="s">
        <v>712</v>
      </c>
      <c r="B71" s="337">
        <v>1</v>
      </c>
      <c r="C71" s="362">
        <v>0</v>
      </c>
      <c r="D71" s="338">
        <f t="shared" si="8"/>
        <v>1</v>
      </c>
      <c r="E71" s="188" t="s">
        <v>837</v>
      </c>
      <c r="F71" s="189">
        <v>10</v>
      </c>
      <c r="G71" s="262">
        <v>0</v>
      </c>
      <c r="H71" s="190">
        <f t="shared" si="9"/>
        <v>10</v>
      </c>
    </row>
    <row r="72" spans="1:8" ht="15.75" thickBot="1" x14ac:dyDescent="0.3">
      <c r="A72" s="336" t="s">
        <v>650</v>
      </c>
      <c r="B72" s="337">
        <v>1</v>
      </c>
      <c r="C72" s="362">
        <v>0</v>
      </c>
      <c r="D72" s="338">
        <f t="shared" si="8"/>
        <v>1</v>
      </c>
      <c r="E72" s="188" t="s">
        <v>262</v>
      </c>
      <c r="F72" s="189">
        <v>10</v>
      </c>
      <c r="G72" s="262">
        <v>0</v>
      </c>
      <c r="H72" s="190">
        <f t="shared" si="9"/>
        <v>10</v>
      </c>
    </row>
    <row r="73" spans="1:8" ht="15.75" thickBot="1" x14ac:dyDescent="0.3">
      <c r="A73" s="336" t="s">
        <v>1079</v>
      </c>
      <c r="B73" s="337">
        <v>1</v>
      </c>
      <c r="C73" s="362">
        <v>0</v>
      </c>
      <c r="D73" s="338">
        <f t="shared" si="8"/>
        <v>1</v>
      </c>
      <c r="E73" s="188" t="s">
        <v>278</v>
      </c>
      <c r="F73" s="189">
        <v>10</v>
      </c>
      <c r="G73" s="262">
        <v>0</v>
      </c>
      <c r="H73" s="194">
        <f t="shared" si="9"/>
        <v>10</v>
      </c>
    </row>
    <row r="74" spans="1:8" ht="15.75" thickBot="1" x14ac:dyDescent="0.3">
      <c r="A74" s="336" t="s">
        <v>52</v>
      </c>
      <c r="B74" s="337">
        <v>0</v>
      </c>
      <c r="C74" s="362">
        <v>1</v>
      </c>
      <c r="D74" s="338">
        <f t="shared" si="8"/>
        <v>1</v>
      </c>
      <c r="E74" s="188" t="s">
        <v>712</v>
      </c>
      <c r="F74" s="189">
        <v>5</v>
      </c>
      <c r="G74" s="262">
        <v>0</v>
      </c>
      <c r="H74" s="194">
        <f t="shared" si="9"/>
        <v>5</v>
      </c>
    </row>
    <row r="75" spans="1:8" ht="15.75" thickBot="1" x14ac:dyDescent="0.3">
      <c r="A75" s="336" t="s">
        <v>263</v>
      </c>
      <c r="B75" s="337">
        <v>1</v>
      </c>
      <c r="C75" s="362">
        <v>0</v>
      </c>
      <c r="D75" s="338">
        <f t="shared" si="8"/>
        <v>1</v>
      </c>
      <c r="E75" s="188" t="s">
        <v>650</v>
      </c>
      <c r="F75" s="189">
        <v>5</v>
      </c>
      <c r="G75" s="262">
        <v>0</v>
      </c>
      <c r="H75" s="194">
        <f t="shared" si="9"/>
        <v>5</v>
      </c>
    </row>
    <row r="76" spans="1:8" ht="15.75" thickBot="1" x14ac:dyDescent="0.3">
      <c r="A76" s="336" t="s">
        <v>1028</v>
      </c>
      <c r="B76" s="337">
        <v>1</v>
      </c>
      <c r="C76" s="362">
        <v>0</v>
      </c>
      <c r="D76" s="338">
        <f t="shared" si="8"/>
        <v>1</v>
      </c>
      <c r="E76" s="188" t="s">
        <v>1079</v>
      </c>
      <c r="F76" s="189">
        <v>5</v>
      </c>
      <c r="G76" s="262">
        <v>0</v>
      </c>
      <c r="H76" s="194">
        <f t="shared" si="9"/>
        <v>5</v>
      </c>
    </row>
    <row r="77" spans="1:8" ht="15.75" thickBot="1" x14ac:dyDescent="0.3">
      <c r="A77" s="336" t="s">
        <v>265</v>
      </c>
      <c r="B77" s="337">
        <v>1</v>
      </c>
      <c r="C77" s="362">
        <v>0</v>
      </c>
      <c r="D77" s="338">
        <f t="shared" si="8"/>
        <v>1</v>
      </c>
      <c r="E77" s="188" t="s">
        <v>52</v>
      </c>
      <c r="F77" s="189">
        <v>0</v>
      </c>
      <c r="G77" s="262">
        <v>5</v>
      </c>
      <c r="H77" s="194">
        <f t="shared" si="9"/>
        <v>5</v>
      </c>
    </row>
    <row r="78" spans="1:8" ht="15.75" thickBot="1" x14ac:dyDescent="0.3">
      <c r="A78" s="336" t="s">
        <v>84</v>
      </c>
      <c r="B78" s="337">
        <v>1</v>
      </c>
      <c r="C78" s="362">
        <v>0</v>
      </c>
      <c r="D78" s="338">
        <f t="shared" si="8"/>
        <v>1</v>
      </c>
      <c r="E78" s="188" t="s">
        <v>263</v>
      </c>
      <c r="F78" s="189">
        <v>5</v>
      </c>
      <c r="G78" s="262">
        <v>0</v>
      </c>
      <c r="H78" s="190">
        <f t="shared" si="9"/>
        <v>5</v>
      </c>
    </row>
    <row r="79" spans="1:8" ht="15.75" thickBot="1" x14ac:dyDescent="0.3">
      <c r="A79" s="336" t="s">
        <v>274</v>
      </c>
      <c r="B79" s="337">
        <v>1</v>
      </c>
      <c r="C79" s="362">
        <v>0</v>
      </c>
      <c r="D79" s="338">
        <f t="shared" si="8"/>
        <v>1</v>
      </c>
      <c r="E79" s="188" t="s">
        <v>1028</v>
      </c>
      <c r="F79" s="189">
        <v>5</v>
      </c>
      <c r="G79" s="262">
        <v>0</v>
      </c>
      <c r="H79" s="190">
        <f t="shared" si="9"/>
        <v>5</v>
      </c>
    </row>
    <row r="80" spans="1:8" ht="15.75" thickBot="1" x14ac:dyDescent="0.3">
      <c r="A80" s="336" t="s">
        <v>82</v>
      </c>
      <c r="B80" s="337">
        <v>0</v>
      </c>
      <c r="C80" s="362">
        <v>0</v>
      </c>
      <c r="D80" s="338">
        <f t="shared" si="8"/>
        <v>0</v>
      </c>
      <c r="E80" s="188" t="s">
        <v>265</v>
      </c>
      <c r="F80" s="189">
        <v>5</v>
      </c>
      <c r="G80" s="262">
        <v>0</v>
      </c>
      <c r="H80" s="190">
        <f t="shared" si="9"/>
        <v>5</v>
      </c>
    </row>
    <row r="81" spans="1:8" ht="15.75" thickBot="1" x14ac:dyDescent="0.3">
      <c r="A81" s="336" t="s">
        <v>839</v>
      </c>
      <c r="B81" s="337">
        <v>0</v>
      </c>
      <c r="C81" s="362">
        <v>0</v>
      </c>
      <c r="D81" s="338">
        <f t="shared" si="8"/>
        <v>0</v>
      </c>
      <c r="E81" s="188" t="s">
        <v>84</v>
      </c>
      <c r="F81" s="189">
        <v>5</v>
      </c>
      <c r="G81" s="262">
        <v>0</v>
      </c>
      <c r="H81" s="190">
        <f t="shared" si="9"/>
        <v>5</v>
      </c>
    </row>
    <row r="82" spans="1:8" ht="15.75" thickBot="1" x14ac:dyDescent="0.3">
      <c r="A82" s="336" t="s">
        <v>648</v>
      </c>
      <c r="B82" s="337">
        <v>0</v>
      </c>
      <c r="C82" s="362">
        <v>0</v>
      </c>
      <c r="D82" s="338">
        <f t="shared" si="8"/>
        <v>0</v>
      </c>
      <c r="E82" s="188" t="s">
        <v>274</v>
      </c>
      <c r="F82" s="189">
        <v>5</v>
      </c>
      <c r="G82" s="262">
        <v>0</v>
      </c>
      <c r="H82" s="190">
        <f t="shared" si="9"/>
        <v>5</v>
      </c>
    </row>
    <row r="83" spans="1:8" ht="15.75" thickBot="1" x14ac:dyDescent="0.3">
      <c r="A83" s="336" t="s">
        <v>535</v>
      </c>
      <c r="B83" s="337">
        <v>0</v>
      </c>
      <c r="C83" s="362">
        <v>0</v>
      </c>
      <c r="D83" s="338">
        <f t="shared" si="8"/>
        <v>0</v>
      </c>
      <c r="E83" s="188" t="s">
        <v>82</v>
      </c>
      <c r="F83" s="189">
        <v>0</v>
      </c>
      <c r="G83" s="262">
        <v>0</v>
      </c>
      <c r="H83" s="190">
        <f t="shared" si="9"/>
        <v>0</v>
      </c>
    </row>
    <row r="84" spans="1:8" ht="15.75" thickBot="1" x14ac:dyDescent="0.3">
      <c r="A84" s="336" t="s">
        <v>22</v>
      </c>
      <c r="B84" s="337">
        <v>0</v>
      </c>
      <c r="C84" s="362">
        <v>0</v>
      </c>
      <c r="D84" s="338">
        <f t="shared" si="8"/>
        <v>0</v>
      </c>
      <c r="E84" s="188" t="s">
        <v>839</v>
      </c>
      <c r="F84" s="189">
        <v>0</v>
      </c>
      <c r="G84" s="262">
        <v>0</v>
      </c>
      <c r="H84" s="190">
        <f t="shared" si="9"/>
        <v>0</v>
      </c>
    </row>
    <row r="85" spans="1:8" ht="15.75" thickBot="1" x14ac:dyDescent="0.3">
      <c r="A85" s="336" t="s">
        <v>841</v>
      </c>
      <c r="B85" s="337">
        <v>0</v>
      </c>
      <c r="C85" s="362">
        <v>0</v>
      </c>
      <c r="D85" s="338">
        <f t="shared" si="8"/>
        <v>0</v>
      </c>
      <c r="E85" s="188" t="s">
        <v>648</v>
      </c>
      <c r="F85" s="189">
        <v>0</v>
      </c>
      <c r="G85" s="262">
        <v>0</v>
      </c>
      <c r="H85" s="190">
        <f t="shared" si="9"/>
        <v>0</v>
      </c>
    </row>
    <row r="86" spans="1:8" ht="15.75" thickBot="1" x14ac:dyDescent="0.3">
      <c r="A86" s="336" t="s">
        <v>173</v>
      </c>
      <c r="B86" s="337">
        <v>0</v>
      </c>
      <c r="C86" s="362">
        <v>0</v>
      </c>
      <c r="D86" s="338">
        <f t="shared" si="8"/>
        <v>0</v>
      </c>
      <c r="E86" s="188" t="s">
        <v>22</v>
      </c>
      <c r="F86" s="189">
        <v>0</v>
      </c>
      <c r="G86" s="262">
        <v>0</v>
      </c>
      <c r="H86" s="190">
        <f t="shared" si="9"/>
        <v>0</v>
      </c>
    </row>
    <row r="87" spans="1:8" ht="15.75" thickBot="1" x14ac:dyDescent="0.3">
      <c r="A87" s="336" t="s">
        <v>537</v>
      </c>
      <c r="B87" s="337">
        <v>0</v>
      </c>
      <c r="C87" s="362">
        <v>0</v>
      </c>
      <c r="D87" s="338">
        <f t="shared" si="8"/>
        <v>0</v>
      </c>
      <c r="E87" s="188" t="s">
        <v>841</v>
      </c>
      <c r="F87" s="189">
        <v>0</v>
      </c>
      <c r="G87" s="262">
        <v>0</v>
      </c>
      <c r="H87" s="190">
        <f t="shared" si="9"/>
        <v>0</v>
      </c>
    </row>
    <row r="88" spans="1:8" ht="15.75" thickBot="1" x14ac:dyDescent="0.3">
      <c r="A88" s="336" t="s">
        <v>680</v>
      </c>
      <c r="B88" s="337">
        <v>0</v>
      </c>
      <c r="C88" s="362">
        <v>0</v>
      </c>
      <c r="D88" s="338">
        <f t="shared" si="8"/>
        <v>0</v>
      </c>
      <c r="E88" s="188" t="s">
        <v>173</v>
      </c>
      <c r="F88" s="189">
        <v>0</v>
      </c>
      <c r="G88" s="262">
        <v>0</v>
      </c>
      <c r="H88" s="190">
        <f t="shared" si="9"/>
        <v>0</v>
      </c>
    </row>
    <row r="89" spans="1:8" ht="15.75" thickBot="1" x14ac:dyDescent="0.3">
      <c r="A89" s="336" t="s">
        <v>844</v>
      </c>
      <c r="B89" s="337">
        <v>0</v>
      </c>
      <c r="C89" s="362">
        <v>0</v>
      </c>
      <c r="D89" s="338">
        <f t="shared" si="8"/>
        <v>0</v>
      </c>
      <c r="E89" s="188" t="s">
        <v>680</v>
      </c>
      <c r="F89" s="189">
        <v>0</v>
      </c>
      <c r="G89" s="262">
        <v>0</v>
      </c>
      <c r="H89" s="190">
        <f t="shared" si="9"/>
        <v>0</v>
      </c>
    </row>
    <row r="90" spans="1:8" ht="15.75" thickBot="1" x14ac:dyDescent="0.3">
      <c r="A90" s="336" t="s">
        <v>846</v>
      </c>
      <c r="B90" s="337">
        <v>0</v>
      </c>
      <c r="C90" s="362">
        <v>0</v>
      </c>
      <c r="D90" s="338">
        <f t="shared" si="8"/>
        <v>0</v>
      </c>
      <c r="E90" s="188" t="s">
        <v>844</v>
      </c>
      <c r="F90" s="189">
        <v>0</v>
      </c>
      <c r="G90" s="262">
        <v>0</v>
      </c>
      <c r="H90" s="190">
        <f t="shared" si="9"/>
        <v>0</v>
      </c>
    </row>
    <row r="91" spans="1:8" ht="15.75" thickBot="1" x14ac:dyDescent="0.3">
      <c r="A91" s="336" t="s">
        <v>264</v>
      </c>
      <c r="B91" s="337">
        <v>0</v>
      </c>
      <c r="C91" s="362">
        <v>0</v>
      </c>
      <c r="D91" s="338">
        <f t="shared" si="8"/>
        <v>0</v>
      </c>
      <c r="E91" s="188" t="s">
        <v>846</v>
      </c>
      <c r="F91" s="189">
        <v>0</v>
      </c>
      <c r="G91" s="262">
        <v>0</v>
      </c>
      <c r="H91" s="190">
        <f t="shared" si="9"/>
        <v>0</v>
      </c>
    </row>
    <row r="92" spans="1:8" ht="15.75" thickBot="1" x14ac:dyDescent="0.3">
      <c r="A92" s="336" t="s">
        <v>776</v>
      </c>
      <c r="B92" s="337">
        <v>0</v>
      </c>
      <c r="C92" s="362">
        <v>0</v>
      </c>
      <c r="D92" s="338">
        <f t="shared" si="8"/>
        <v>0</v>
      </c>
      <c r="E92" s="188" t="s">
        <v>264</v>
      </c>
      <c r="F92" s="189">
        <v>0</v>
      </c>
      <c r="G92" s="262">
        <v>0</v>
      </c>
      <c r="H92" s="190">
        <f t="shared" si="9"/>
        <v>0</v>
      </c>
    </row>
    <row r="93" spans="1:8" ht="15.75" thickBot="1" x14ac:dyDescent="0.3">
      <c r="A93" s="336" t="s">
        <v>268</v>
      </c>
      <c r="B93" s="337">
        <v>0</v>
      </c>
      <c r="C93" s="362">
        <v>0</v>
      </c>
      <c r="D93" s="338">
        <f t="shared" si="8"/>
        <v>0</v>
      </c>
      <c r="E93" s="188" t="s">
        <v>776</v>
      </c>
      <c r="F93" s="189">
        <v>0</v>
      </c>
      <c r="G93" s="262">
        <v>0</v>
      </c>
      <c r="H93" s="190">
        <f t="shared" si="9"/>
        <v>0</v>
      </c>
    </row>
    <row r="94" spans="1:8" ht="15.75" thickBot="1" x14ac:dyDescent="0.3">
      <c r="A94" s="336" t="s">
        <v>556</v>
      </c>
      <c r="B94" s="337">
        <v>0</v>
      </c>
      <c r="C94" s="362">
        <v>0</v>
      </c>
      <c r="D94" s="338">
        <f t="shared" si="8"/>
        <v>0</v>
      </c>
      <c r="E94" s="188" t="s">
        <v>268</v>
      </c>
      <c r="F94" s="189">
        <v>0</v>
      </c>
      <c r="G94" s="262">
        <v>0</v>
      </c>
      <c r="H94" s="190">
        <f t="shared" si="9"/>
        <v>0</v>
      </c>
    </row>
    <row r="95" spans="1:8" ht="15.75" thickBot="1" x14ac:dyDescent="0.3">
      <c r="A95" s="336" t="s">
        <v>272</v>
      </c>
      <c r="B95" s="337">
        <v>0</v>
      </c>
      <c r="C95" s="362">
        <v>0</v>
      </c>
      <c r="D95" s="338">
        <f t="shared" si="8"/>
        <v>0</v>
      </c>
      <c r="E95" s="188" t="s">
        <v>556</v>
      </c>
      <c r="F95" s="189">
        <v>0</v>
      </c>
      <c r="G95" s="262">
        <v>0</v>
      </c>
      <c r="H95" s="190">
        <f t="shared" si="9"/>
        <v>0</v>
      </c>
    </row>
    <row r="96" spans="1:8" ht="15.75" thickBot="1" x14ac:dyDescent="0.3">
      <c r="A96" s="336" t="s">
        <v>273</v>
      </c>
      <c r="B96" s="337">
        <v>0</v>
      </c>
      <c r="C96" s="362">
        <v>0</v>
      </c>
      <c r="D96" s="338">
        <f t="shared" si="8"/>
        <v>0</v>
      </c>
      <c r="E96" s="188" t="s">
        <v>273</v>
      </c>
      <c r="F96" s="189">
        <v>0</v>
      </c>
      <c r="G96" s="262">
        <v>0</v>
      </c>
      <c r="H96" s="190">
        <f t="shared" si="9"/>
        <v>0</v>
      </c>
    </row>
    <row r="97" spans="1:8" ht="15.75" thickBot="1" x14ac:dyDescent="0.3">
      <c r="A97" s="336" t="s">
        <v>276</v>
      </c>
      <c r="B97" s="337">
        <v>0</v>
      </c>
      <c r="C97" s="362">
        <v>0</v>
      </c>
      <c r="D97" s="338">
        <f t="shared" si="8"/>
        <v>0</v>
      </c>
      <c r="E97" s="188" t="s">
        <v>276</v>
      </c>
      <c r="F97" s="189">
        <v>0</v>
      </c>
      <c r="G97" s="262">
        <v>0</v>
      </c>
      <c r="H97" s="190">
        <f t="shared" si="9"/>
        <v>0</v>
      </c>
    </row>
    <row r="98" spans="1:8" ht="15.75" thickBot="1" x14ac:dyDescent="0.3">
      <c r="A98" s="336" t="s">
        <v>107</v>
      </c>
      <c r="B98" s="337">
        <v>0</v>
      </c>
      <c r="C98" s="362">
        <v>0</v>
      </c>
      <c r="D98" s="338">
        <f t="shared" si="8"/>
        <v>0</v>
      </c>
      <c r="E98" s="188" t="s">
        <v>107</v>
      </c>
      <c r="F98" s="189">
        <v>0</v>
      </c>
      <c r="G98" s="262">
        <v>0</v>
      </c>
      <c r="H98" s="190">
        <f t="shared" si="9"/>
        <v>0</v>
      </c>
    </row>
    <row r="99" spans="1:8" ht="15" customHeight="1" thickBot="1" x14ac:dyDescent="0.3">
      <c r="A99" s="336" t="s">
        <v>3</v>
      </c>
      <c r="B99" s="337">
        <f>SUM(B53:B98)</f>
        <v>80</v>
      </c>
      <c r="C99" s="362">
        <f>SUM(C53:C98)</f>
        <v>10</v>
      </c>
      <c r="D99" s="338">
        <f>SUM(D53:D98)</f>
        <v>90</v>
      </c>
      <c r="E99" s="188" t="s">
        <v>3</v>
      </c>
      <c r="F99" s="189">
        <f>SUM(F53:F98)</f>
        <v>597</v>
      </c>
      <c r="G99" s="262">
        <f>SUM(G53:G98)</f>
        <v>82</v>
      </c>
      <c r="H99" s="190">
        <f>SUM(H53:H98)</f>
        <v>679</v>
      </c>
    </row>
    <row r="100" spans="1:8" x14ac:dyDescent="0.25">
      <c r="A100" s="535" t="s">
        <v>95</v>
      </c>
      <c r="B100" s="536"/>
      <c r="C100" s="536"/>
      <c r="D100" s="536"/>
      <c r="E100" s="536"/>
      <c r="F100" s="536"/>
      <c r="G100" s="536"/>
      <c r="H100" s="536"/>
    </row>
  </sheetData>
  <sortState xmlns:xlrd2="http://schemas.microsoft.com/office/spreadsheetml/2017/richdata2" ref="E53:H98">
    <sortCondition descending="1" ref="H53:H98"/>
  </sortState>
  <mergeCells count="28">
    <mergeCell ref="A100:H100"/>
    <mergeCell ref="R1:T2"/>
    <mergeCell ref="M10:O11"/>
    <mergeCell ref="AD1:AF2"/>
    <mergeCell ref="AD10:AF11"/>
    <mergeCell ref="AD18:AF19"/>
    <mergeCell ref="I24:W24"/>
    <mergeCell ref="P18:R19"/>
    <mergeCell ref="A1:H1"/>
    <mergeCell ref="S18:U19"/>
    <mergeCell ref="I18:I19"/>
    <mergeCell ref="J18:L19"/>
    <mergeCell ref="P1:Q2"/>
    <mergeCell ref="I10:I11"/>
    <mergeCell ref="I1:I2"/>
    <mergeCell ref="J1:L2"/>
    <mergeCell ref="M1:O2"/>
    <mergeCell ref="J10:L11"/>
    <mergeCell ref="S10:U11"/>
    <mergeCell ref="P10:R11"/>
    <mergeCell ref="M18:O19"/>
    <mergeCell ref="AM10:AO11"/>
    <mergeCell ref="AJ1:AL2"/>
    <mergeCell ref="AM1:AO2"/>
    <mergeCell ref="AJ10:AL11"/>
    <mergeCell ref="U1:W2"/>
    <mergeCell ref="AG10:AI11"/>
    <mergeCell ref="AG1:A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02"/>
  <sheetViews>
    <sheetView workbookViewId="0">
      <selection activeCell="N36" sqref="N36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5.42578125" customWidth="1"/>
    <col min="4" max="4" width="4.7109375" customWidth="1"/>
    <col min="5" max="5" width="16.42578125" customWidth="1"/>
    <col min="6" max="8" width="5.28515625" customWidth="1"/>
    <col min="9" max="9" width="15.7109375" customWidth="1"/>
    <col min="10" max="16" width="5.42578125" customWidth="1"/>
    <col min="17" max="17" width="5.7109375" customWidth="1"/>
    <col min="18" max="29" width="5.42578125" customWidth="1"/>
    <col min="30" max="44" width="5.7109375" customWidth="1"/>
    <col min="46" max="46" width="9.28515625" bestFit="1" customWidth="1"/>
  </cols>
  <sheetData>
    <row r="1" spans="1:50" ht="15" customHeight="1" thickBot="1" x14ac:dyDescent="0.3">
      <c r="A1" s="108" t="s">
        <v>806</v>
      </c>
      <c r="B1" s="80"/>
      <c r="C1" s="80"/>
      <c r="D1" s="80"/>
      <c r="E1" s="80"/>
      <c r="F1" s="80"/>
      <c r="G1" s="80"/>
      <c r="H1" s="81"/>
      <c r="I1" s="531" t="s">
        <v>658</v>
      </c>
      <c r="J1" s="525" t="s">
        <v>127</v>
      </c>
      <c r="K1" s="526"/>
      <c r="L1" s="527"/>
      <c r="M1" s="525" t="s">
        <v>110</v>
      </c>
      <c r="N1" s="526"/>
      <c r="O1" s="527"/>
      <c r="P1" s="525" t="s">
        <v>657</v>
      </c>
      <c r="Q1" s="527"/>
      <c r="R1" s="543" t="s">
        <v>863</v>
      </c>
      <c r="S1" s="549"/>
      <c r="T1" s="550"/>
      <c r="U1" s="543" t="s">
        <v>817</v>
      </c>
      <c r="V1" s="549"/>
      <c r="W1" s="550"/>
      <c r="X1" s="244"/>
      <c r="Y1" s="254"/>
      <c r="Z1" s="268"/>
      <c r="AA1" s="543" t="s">
        <v>574</v>
      </c>
      <c r="AB1" s="549"/>
      <c r="AC1" s="550"/>
      <c r="AD1" s="543" t="s">
        <v>217</v>
      </c>
      <c r="AE1" s="549"/>
      <c r="AF1" s="550"/>
      <c r="AG1" s="543" t="s">
        <v>147</v>
      </c>
      <c r="AH1" s="549"/>
      <c r="AI1" s="550"/>
      <c r="AJ1" s="543" t="s">
        <v>137</v>
      </c>
      <c r="AK1" s="549"/>
      <c r="AL1" s="550"/>
      <c r="AM1" s="543" t="s">
        <v>101</v>
      </c>
      <c r="AN1" s="549"/>
      <c r="AO1" s="550"/>
      <c r="AP1" s="543" t="s">
        <v>115</v>
      </c>
      <c r="AQ1" s="549"/>
      <c r="AR1" s="550"/>
      <c r="AS1" s="4"/>
      <c r="AT1" s="4"/>
      <c r="AU1" s="4"/>
      <c r="AX1" s="4"/>
    </row>
    <row r="2" spans="1:50" ht="15" customHeight="1" thickBot="1" x14ac:dyDescent="0.3">
      <c r="A2" s="139" t="s">
        <v>0</v>
      </c>
      <c r="B2" s="154" t="s">
        <v>815</v>
      </c>
      <c r="C2" s="140" t="s">
        <v>72</v>
      </c>
      <c r="D2" s="141" t="s">
        <v>1</v>
      </c>
      <c r="E2" s="214" t="s">
        <v>2</v>
      </c>
      <c r="F2" s="147" t="s">
        <v>815</v>
      </c>
      <c r="G2" s="212" t="s">
        <v>72</v>
      </c>
      <c r="H2" s="148" t="s">
        <v>1</v>
      </c>
      <c r="I2" s="532"/>
      <c r="J2" s="528"/>
      <c r="K2" s="529"/>
      <c r="L2" s="530"/>
      <c r="M2" s="528"/>
      <c r="N2" s="529"/>
      <c r="O2" s="530"/>
      <c r="P2" s="528"/>
      <c r="Q2" s="530"/>
      <c r="R2" s="551"/>
      <c r="S2" s="552"/>
      <c r="T2" s="553"/>
      <c r="U2" s="551"/>
      <c r="V2" s="552"/>
      <c r="W2" s="553"/>
      <c r="X2" s="244"/>
      <c r="Y2" s="254"/>
      <c r="Z2" s="268"/>
      <c r="AA2" s="551"/>
      <c r="AB2" s="552"/>
      <c r="AC2" s="553"/>
      <c r="AD2" s="551"/>
      <c r="AE2" s="552"/>
      <c r="AF2" s="553"/>
      <c r="AG2" s="551"/>
      <c r="AH2" s="552"/>
      <c r="AI2" s="553"/>
      <c r="AJ2" s="551"/>
      <c r="AK2" s="552"/>
      <c r="AL2" s="553"/>
      <c r="AM2" s="551"/>
      <c r="AN2" s="552"/>
      <c r="AO2" s="553"/>
      <c r="AP2" s="551"/>
      <c r="AQ2" s="552"/>
      <c r="AR2" s="553"/>
      <c r="AS2" s="4"/>
      <c r="AT2" s="4"/>
      <c r="AU2" s="4"/>
      <c r="AV2" s="4"/>
      <c r="AW2" s="4"/>
    </row>
    <row r="3" spans="1:50" ht="15" customHeight="1" thickBot="1" x14ac:dyDescent="0.3">
      <c r="A3" s="47" t="s">
        <v>56</v>
      </c>
      <c r="B3" s="96">
        <v>1</v>
      </c>
      <c r="C3" s="45">
        <v>0</v>
      </c>
      <c r="D3" s="5">
        <f t="shared" ref="D3:D49" si="0">SUM(B3:C3)</f>
        <v>1</v>
      </c>
      <c r="E3" s="215" t="s">
        <v>56</v>
      </c>
      <c r="F3" s="97">
        <v>5</v>
      </c>
      <c r="G3" s="210">
        <v>0</v>
      </c>
      <c r="H3" s="78">
        <f t="shared" ref="H3:H49" si="1">SUM(F3:G3)</f>
        <v>5</v>
      </c>
      <c r="I3" s="33" t="s">
        <v>51</v>
      </c>
      <c r="J3" s="3" t="s">
        <v>129</v>
      </c>
      <c r="K3" s="3" t="s">
        <v>27</v>
      </c>
      <c r="L3" s="3" t="s">
        <v>28</v>
      </c>
      <c r="M3" s="3" t="s">
        <v>129</v>
      </c>
      <c r="N3" s="3" t="s">
        <v>27</v>
      </c>
      <c r="O3" s="3" t="s">
        <v>28</v>
      </c>
      <c r="P3" s="3" t="s">
        <v>40</v>
      </c>
      <c r="Q3" s="3" t="s">
        <v>166</v>
      </c>
      <c r="R3" s="7" t="s">
        <v>129</v>
      </c>
      <c r="S3" s="7" t="s">
        <v>27</v>
      </c>
      <c r="T3" s="7" t="s">
        <v>28</v>
      </c>
      <c r="U3" s="221" t="s">
        <v>129</v>
      </c>
      <c r="V3" s="7" t="s">
        <v>27</v>
      </c>
      <c r="W3" s="7" t="s">
        <v>28</v>
      </c>
      <c r="X3" s="113"/>
      <c r="Y3" s="114"/>
      <c r="Z3" s="269"/>
      <c r="AA3" s="221" t="s">
        <v>129</v>
      </c>
      <c r="AB3" s="7" t="s">
        <v>27</v>
      </c>
      <c r="AC3" s="7" t="s">
        <v>28</v>
      </c>
      <c r="AD3" s="221" t="s">
        <v>129</v>
      </c>
      <c r="AE3" s="7" t="s">
        <v>27</v>
      </c>
      <c r="AF3" s="7" t="s">
        <v>28</v>
      </c>
      <c r="AG3" s="6" t="s">
        <v>129</v>
      </c>
      <c r="AH3" s="7" t="s">
        <v>27</v>
      </c>
      <c r="AI3" s="7" t="s">
        <v>28</v>
      </c>
      <c r="AJ3" s="7" t="s">
        <v>129</v>
      </c>
      <c r="AK3" s="7" t="s">
        <v>27</v>
      </c>
      <c r="AL3" s="7" t="s">
        <v>28</v>
      </c>
      <c r="AM3" s="7" t="s">
        <v>129</v>
      </c>
      <c r="AN3" s="7" t="s">
        <v>27</v>
      </c>
      <c r="AO3" s="7" t="s">
        <v>28</v>
      </c>
      <c r="AP3" s="7" t="s">
        <v>129</v>
      </c>
      <c r="AQ3" s="7" t="s">
        <v>27</v>
      </c>
      <c r="AR3" s="7" t="s">
        <v>28</v>
      </c>
    </row>
    <row r="4" spans="1:50" ht="15" customHeight="1" thickBot="1" x14ac:dyDescent="0.3">
      <c r="A4" s="47" t="s">
        <v>123</v>
      </c>
      <c r="B4" s="96">
        <v>0</v>
      </c>
      <c r="C4" s="45">
        <v>0</v>
      </c>
      <c r="D4" s="5">
        <f t="shared" si="0"/>
        <v>0</v>
      </c>
      <c r="E4" s="215" t="s">
        <v>123</v>
      </c>
      <c r="F4" s="97">
        <v>0</v>
      </c>
      <c r="G4" s="210">
        <v>0</v>
      </c>
      <c r="H4" s="78">
        <f t="shared" si="1"/>
        <v>0</v>
      </c>
      <c r="I4" s="164" t="s">
        <v>781</v>
      </c>
      <c r="J4" s="45" t="s">
        <v>34</v>
      </c>
      <c r="K4" s="45" t="s">
        <v>34</v>
      </c>
      <c r="L4" s="45" t="s">
        <v>34</v>
      </c>
      <c r="M4" s="109" t="s">
        <v>34</v>
      </c>
      <c r="N4" s="109" t="s">
        <v>34</v>
      </c>
      <c r="O4" s="110" t="s">
        <v>34</v>
      </c>
      <c r="P4" s="45">
        <v>-2</v>
      </c>
      <c r="Q4" s="45">
        <v>-2</v>
      </c>
      <c r="R4" s="7">
        <v>0</v>
      </c>
      <c r="S4" s="7">
        <v>2</v>
      </c>
      <c r="T4" s="7">
        <f t="shared" ref="T4" si="2">SUM(R4/S4)*100</f>
        <v>0</v>
      </c>
      <c r="U4" s="221" t="s">
        <v>34</v>
      </c>
      <c r="V4" s="7" t="s">
        <v>34</v>
      </c>
      <c r="W4" s="7" t="s">
        <v>34</v>
      </c>
      <c r="X4" s="113"/>
      <c r="Y4" s="114"/>
      <c r="Z4" s="269"/>
      <c r="AA4" s="221" t="s">
        <v>34</v>
      </c>
      <c r="AB4" s="7" t="s">
        <v>34</v>
      </c>
      <c r="AC4" s="7" t="s">
        <v>34</v>
      </c>
      <c r="AD4" s="221" t="s">
        <v>34</v>
      </c>
      <c r="AE4" s="7" t="s">
        <v>34</v>
      </c>
      <c r="AF4" s="7" t="s">
        <v>34</v>
      </c>
      <c r="AG4" s="221" t="s">
        <v>34</v>
      </c>
      <c r="AH4" s="7" t="s">
        <v>34</v>
      </c>
      <c r="AI4" s="7" t="s">
        <v>34</v>
      </c>
      <c r="AJ4" s="7" t="s">
        <v>34</v>
      </c>
      <c r="AK4" s="7" t="s">
        <v>34</v>
      </c>
      <c r="AL4" s="7" t="s">
        <v>34</v>
      </c>
      <c r="AM4" s="7" t="s">
        <v>34</v>
      </c>
      <c r="AN4" s="7" t="s">
        <v>34</v>
      </c>
      <c r="AO4" s="7" t="s">
        <v>34</v>
      </c>
      <c r="AP4" s="7" t="s">
        <v>34</v>
      </c>
      <c r="AQ4" s="7" t="s">
        <v>34</v>
      </c>
      <c r="AR4" s="7" t="s">
        <v>34</v>
      </c>
      <c r="AS4" s="4"/>
      <c r="AT4" s="4"/>
      <c r="AU4" s="4"/>
      <c r="AV4" s="4"/>
      <c r="AW4" s="4"/>
    </row>
    <row r="5" spans="1:50" ht="15" customHeight="1" thickBot="1" x14ac:dyDescent="0.3">
      <c r="A5" s="47" t="s">
        <v>542</v>
      </c>
      <c r="B5" s="96">
        <v>1</v>
      </c>
      <c r="C5" s="45">
        <v>0</v>
      </c>
      <c r="D5" s="5">
        <f t="shared" si="0"/>
        <v>1</v>
      </c>
      <c r="E5" s="215" t="s">
        <v>542</v>
      </c>
      <c r="F5" s="97">
        <v>5</v>
      </c>
      <c r="G5" s="210">
        <v>0</v>
      </c>
      <c r="H5" s="78">
        <f t="shared" si="1"/>
        <v>5</v>
      </c>
      <c r="I5" s="164" t="s">
        <v>678</v>
      </c>
      <c r="J5" s="45" t="s">
        <v>34</v>
      </c>
      <c r="K5" s="45" t="s">
        <v>34</v>
      </c>
      <c r="L5" s="45" t="s">
        <v>34</v>
      </c>
      <c r="M5" s="109" t="s">
        <v>34</v>
      </c>
      <c r="N5" s="109" t="s">
        <v>34</v>
      </c>
      <c r="O5" s="110" t="s">
        <v>34</v>
      </c>
      <c r="P5" s="45" t="s">
        <v>41</v>
      </c>
      <c r="Q5" s="45">
        <v>-2</v>
      </c>
      <c r="R5" s="7" t="s">
        <v>34</v>
      </c>
      <c r="S5" s="7" t="s">
        <v>34</v>
      </c>
      <c r="T5" s="7" t="s">
        <v>34</v>
      </c>
      <c r="U5" s="221">
        <v>4</v>
      </c>
      <c r="V5" s="7">
        <v>4</v>
      </c>
      <c r="W5" s="7">
        <v>100</v>
      </c>
      <c r="X5" s="113"/>
      <c r="Y5" s="114"/>
      <c r="Z5" s="269"/>
      <c r="AA5" s="221" t="s">
        <v>34</v>
      </c>
      <c r="AB5" s="7" t="s">
        <v>34</v>
      </c>
      <c r="AC5" s="7" t="s">
        <v>34</v>
      </c>
      <c r="AD5" s="221">
        <v>5</v>
      </c>
      <c r="AE5" s="7">
        <v>7</v>
      </c>
      <c r="AF5" s="232">
        <v>71.428571428571431</v>
      </c>
      <c r="AG5" s="221">
        <v>1</v>
      </c>
      <c r="AH5" s="7">
        <v>1</v>
      </c>
      <c r="AI5" s="7">
        <v>100</v>
      </c>
      <c r="AJ5" s="7">
        <v>3</v>
      </c>
      <c r="AK5" s="7">
        <v>5</v>
      </c>
      <c r="AL5" s="7">
        <v>60</v>
      </c>
      <c r="AM5" s="7" t="s">
        <v>34</v>
      </c>
      <c r="AN5" s="7" t="s">
        <v>34</v>
      </c>
      <c r="AO5" s="7" t="s">
        <v>34</v>
      </c>
      <c r="AP5" s="7" t="s">
        <v>34</v>
      </c>
      <c r="AQ5" s="7" t="s">
        <v>34</v>
      </c>
      <c r="AR5" s="7" t="s">
        <v>34</v>
      </c>
      <c r="AS5" s="4"/>
      <c r="AT5" s="4"/>
      <c r="AU5" s="4"/>
      <c r="AV5" s="4"/>
      <c r="AW5" s="4"/>
    </row>
    <row r="6" spans="1:50" ht="15" customHeight="1" thickBot="1" x14ac:dyDescent="0.3">
      <c r="A6" s="47" t="s">
        <v>778</v>
      </c>
      <c r="B6" s="96">
        <v>2</v>
      </c>
      <c r="C6" s="45">
        <v>0</v>
      </c>
      <c r="D6" s="5">
        <f t="shared" si="0"/>
        <v>2</v>
      </c>
      <c r="E6" s="215" t="s">
        <v>778</v>
      </c>
      <c r="F6" s="97">
        <v>10</v>
      </c>
      <c r="G6" s="210">
        <v>0</v>
      </c>
      <c r="H6" s="78">
        <f t="shared" si="1"/>
        <v>10</v>
      </c>
      <c r="I6" s="15" t="s">
        <v>36</v>
      </c>
      <c r="J6" s="109" t="s">
        <v>34</v>
      </c>
      <c r="K6" s="109" t="s">
        <v>34</v>
      </c>
      <c r="L6" s="109" t="s">
        <v>34</v>
      </c>
      <c r="M6" s="109" t="s">
        <v>34</v>
      </c>
      <c r="N6" s="109" t="s">
        <v>34</v>
      </c>
      <c r="O6" s="110" t="s">
        <v>34</v>
      </c>
      <c r="P6" s="109">
        <v>-3</v>
      </c>
      <c r="Q6" s="109">
        <v>-3</v>
      </c>
      <c r="R6" s="7" t="s">
        <v>34</v>
      </c>
      <c r="S6" s="7" t="s">
        <v>34</v>
      </c>
      <c r="T6" s="7" t="s">
        <v>34</v>
      </c>
      <c r="U6" s="221" t="s">
        <v>34</v>
      </c>
      <c r="V6" s="7" t="s">
        <v>34</v>
      </c>
      <c r="W6" s="7" t="s">
        <v>34</v>
      </c>
      <c r="X6" s="113"/>
      <c r="Y6" s="114"/>
      <c r="Z6" s="269"/>
      <c r="AA6" s="221">
        <v>2</v>
      </c>
      <c r="AB6" s="7">
        <v>7</v>
      </c>
      <c r="AC6" s="232">
        <f t="shared" ref="AC6:AC7" si="3">SUM(AA6/AB6)*100</f>
        <v>28.571428571428569</v>
      </c>
      <c r="AD6" s="221">
        <v>27</v>
      </c>
      <c r="AE6" s="7">
        <v>36</v>
      </c>
      <c r="AF6" s="232">
        <f>SUM(AD6/AE6)*100</f>
        <v>75</v>
      </c>
      <c r="AG6" s="221">
        <v>3</v>
      </c>
      <c r="AH6" s="7">
        <v>6</v>
      </c>
      <c r="AI6" s="232">
        <f>SUM(AG6/AH6)*100</f>
        <v>50</v>
      </c>
      <c r="AJ6" s="7">
        <v>44</v>
      </c>
      <c r="AK6" s="7">
        <v>56</v>
      </c>
      <c r="AL6" s="232">
        <f>SUM(AJ6/AK6)*100</f>
        <v>78.571428571428569</v>
      </c>
      <c r="AM6" s="7">
        <v>14</v>
      </c>
      <c r="AN6" s="7">
        <v>22</v>
      </c>
      <c r="AO6" s="232">
        <f>SUM(AM6/AN6)*100</f>
        <v>63.636363636363633</v>
      </c>
      <c r="AP6" s="7">
        <v>1</v>
      </c>
      <c r="AQ6" s="7">
        <v>1</v>
      </c>
      <c r="AR6" s="7">
        <v>100</v>
      </c>
      <c r="AS6" s="4"/>
      <c r="AT6" s="4"/>
      <c r="AU6" s="4"/>
      <c r="AV6" s="4"/>
      <c r="AW6" s="4"/>
    </row>
    <row r="7" spans="1:50" ht="15" customHeight="1" thickBot="1" x14ac:dyDescent="0.3">
      <c r="A7" s="47" t="s">
        <v>75</v>
      </c>
      <c r="B7" s="96">
        <v>2</v>
      </c>
      <c r="C7" s="45">
        <v>0</v>
      </c>
      <c r="D7" s="5">
        <f t="shared" si="0"/>
        <v>2</v>
      </c>
      <c r="E7" s="215" t="s">
        <v>75</v>
      </c>
      <c r="F7" s="97">
        <v>10</v>
      </c>
      <c r="G7" s="210">
        <v>0</v>
      </c>
      <c r="H7" s="78">
        <f t="shared" si="1"/>
        <v>10</v>
      </c>
      <c r="I7" s="111" t="s">
        <v>158</v>
      </c>
      <c r="J7" s="109">
        <v>79</v>
      </c>
      <c r="K7" s="109">
        <v>105</v>
      </c>
      <c r="L7" s="110">
        <f t="shared" ref="L7:L9" si="4">SUM(J7/K7)*100</f>
        <v>75.238095238095241</v>
      </c>
      <c r="M7" s="109">
        <v>6</v>
      </c>
      <c r="N7" s="109">
        <v>6</v>
      </c>
      <c r="O7" s="110">
        <f t="shared" ref="O7" si="5">SUM(M7/N7)*100</f>
        <v>100</v>
      </c>
      <c r="P7" s="109">
        <v>7</v>
      </c>
      <c r="Q7" s="109">
        <v>7</v>
      </c>
      <c r="R7" s="7">
        <v>64</v>
      </c>
      <c r="S7" s="7">
        <v>71</v>
      </c>
      <c r="T7" s="232">
        <f t="shared" ref="T7" si="6">SUM(R7/S7)*100</f>
        <v>90.140845070422543</v>
      </c>
      <c r="U7" s="221">
        <v>40</v>
      </c>
      <c r="V7" s="7">
        <v>48</v>
      </c>
      <c r="W7" s="232">
        <f t="shared" ref="W7" si="7">SUM(U7/V7)*100</f>
        <v>83.333333333333343</v>
      </c>
      <c r="X7" s="113"/>
      <c r="Y7" s="114"/>
      <c r="Z7" s="269"/>
      <c r="AA7" s="221">
        <v>32</v>
      </c>
      <c r="AB7" s="7">
        <v>38</v>
      </c>
      <c r="AC7" s="232">
        <f t="shared" si="3"/>
        <v>84.210526315789465</v>
      </c>
      <c r="AD7" s="6">
        <v>7</v>
      </c>
      <c r="AE7" s="6">
        <v>8</v>
      </c>
      <c r="AF7" s="232">
        <f>SUM(AD7/AE7)*100</f>
        <v>87.5</v>
      </c>
      <c r="AG7" s="221" t="s">
        <v>34</v>
      </c>
      <c r="AH7" s="7" t="s">
        <v>34</v>
      </c>
      <c r="AI7" s="7" t="s">
        <v>34</v>
      </c>
      <c r="AJ7" s="7" t="s">
        <v>34</v>
      </c>
      <c r="AK7" s="7" t="s">
        <v>34</v>
      </c>
      <c r="AL7" s="7" t="s">
        <v>34</v>
      </c>
      <c r="AM7" s="7" t="s">
        <v>34</v>
      </c>
      <c r="AN7" s="7" t="s">
        <v>34</v>
      </c>
      <c r="AO7" s="7" t="s">
        <v>34</v>
      </c>
      <c r="AP7" s="7" t="s">
        <v>34</v>
      </c>
      <c r="AQ7" s="7" t="s">
        <v>34</v>
      </c>
      <c r="AR7" s="7" t="s">
        <v>34</v>
      </c>
      <c r="AS7" s="4"/>
      <c r="AT7" s="4"/>
      <c r="AU7" s="4"/>
      <c r="AV7" s="4"/>
      <c r="AW7" s="4"/>
    </row>
    <row r="8" spans="1:50" ht="15" customHeight="1" thickBot="1" x14ac:dyDescent="0.3">
      <c r="A8" s="47" t="s">
        <v>281</v>
      </c>
      <c r="B8" s="96">
        <v>4</v>
      </c>
      <c r="C8" s="45">
        <v>0</v>
      </c>
      <c r="D8" s="5">
        <f t="shared" si="0"/>
        <v>4</v>
      </c>
      <c r="E8" s="215" t="s">
        <v>281</v>
      </c>
      <c r="F8" s="97">
        <v>20</v>
      </c>
      <c r="G8" s="210">
        <v>0</v>
      </c>
      <c r="H8" s="78">
        <f t="shared" si="1"/>
        <v>20</v>
      </c>
      <c r="I8" s="111" t="s">
        <v>534</v>
      </c>
      <c r="J8" s="109">
        <v>5</v>
      </c>
      <c r="K8" s="109">
        <v>8</v>
      </c>
      <c r="L8" s="110">
        <f>SUM(J8/K8)*100</f>
        <v>62.5</v>
      </c>
      <c r="M8" s="109" t="s">
        <v>34</v>
      </c>
      <c r="N8" s="109" t="s">
        <v>34</v>
      </c>
      <c r="O8" s="110" t="s">
        <v>34</v>
      </c>
      <c r="P8" s="109">
        <v>2</v>
      </c>
      <c r="Q8" s="109">
        <v>2</v>
      </c>
      <c r="R8" s="7">
        <v>3</v>
      </c>
      <c r="S8" s="7">
        <v>5</v>
      </c>
      <c r="T8" s="7">
        <f t="shared" ref="T8" si="8">SUM(R8/S8)*100</f>
        <v>60</v>
      </c>
      <c r="U8" s="221" t="s">
        <v>34</v>
      </c>
      <c r="V8" s="7" t="s">
        <v>34</v>
      </c>
      <c r="W8" s="7" t="s">
        <v>34</v>
      </c>
      <c r="X8" s="113"/>
      <c r="Y8" s="114"/>
      <c r="Z8" s="269"/>
      <c r="AA8" s="221" t="s">
        <v>34</v>
      </c>
      <c r="AB8" s="7" t="s">
        <v>34</v>
      </c>
      <c r="AC8" s="7" t="s">
        <v>34</v>
      </c>
      <c r="AD8" s="221" t="s">
        <v>34</v>
      </c>
      <c r="AE8" s="7" t="s">
        <v>34</v>
      </c>
      <c r="AF8" s="7" t="s">
        <v>34</v>
      </c>
      <c r="AG8" s="221" t="s">
        <v>34</v>
      </c>
      <c r="AH8" s="7" t="s">
        <v>34</v>
      </c>
      <c r="AI8" s="7" t="s">
        <v>34</v>
      </c>
      <c r="AJ8" s="7" t="s">
        <v>34</v>
      </c>
      <c r="AK8" s="7" t="s">
        <v>34</v>
      </c>
      <c r="AL8" s="7" t="s">
        <v>34</v>
      </c>
      <c r="AM8" s="7" t="s">
        <v>34</v>
      </c>
      <c r="AN8" s="7" t="s">
        <v>34</v>
      </c>
      <c r="AO8" s="7" t="s">
        <v>34</v>
      </c>
      <c r="AP8" s="7" t="s">
        <v>34</v>
      </c>
      <c r="AQ8" s="7" t="s">
        <v>34</v>
      </c>
      <c r="AR8" s="7" t="s">
        <v>34</v>
      </c>
      <c r="AS8" s="4"/>
      <c r="AT8" s="4"/>
      <c r="AU8" s="4"/>
      <c r="AV8" s="4"/>
      <c r="AW8" s="4"/>
    </row>
    <row r="9" spans="1:50" ht="15" customHeight="1" thickBot="1" x14ac:dyDescent="0.3">
      <c r="A9" s="47" t="s">
        <v>141</v>
      </c>
      <c r="B9" s="96">
        <v>6</v>
      </c>
      <c r="C9" s="45">
        <v>1</v>
      </c>
      <c r="D9" s="5">
        <f t="shared" si="0"/>
        <v>7</v>
      </c>
      <c r="E9" s="215" t="s">
        <v>141</v>
      </c>
      <c r="F9" s="97">
        <v>30</v>
      </c>
      <c r="G9" s="210">
        <v>5</v>
      </c>
      <c r="H9" s="78">
        <f t="shared" si="1"/>
        <v>35</v>
      </c>
      <c r="I9" s="402" t="s">
        <v>861</v>
      </c>
      <c r="J9" s="403">
        <v>2</v>
      </c>
      <c r="K9" s="403">
        <v>3</v>
      </c>
      <c r="L9" s="404">
        <f t="shared" si="4"/>
        <v>66.666666666666657</v>
      </c>
      <c r="M9" s="109" t="s">
        <v>34</v>
      </c>
      <c r="N9" s="109" t="s">
        <v>34</v>
      </c>
      <c r="O9" s="110" t="s">
        <v>34</v>
      </c>
      <c r="P9" s="109">
        <v>1</v>
      </c>
      <c r="Q9" s="109">
        <v>1</v>
      </c>
      <c r="R9" s="221" t="s">
        <v>34</v>
      </c>
      <c r="S9" s="7" t="s">
        <v>34</v>
      </c>
      <c r="T9" s="7" t="s">
        <v>34</v>
      </c>
      <c r="U9" s="221" t="s">
        <v>34</v>
      </c>
      <c r="V9" s="7" t="s">
        <v>34</v>
      </c>
      <c r="W9" s="7" t="s">
        <v>34</v>
      </c>
      <c r="X9" s="113"/>
      <c r="Y9" s="114"/>
      <c r="Z9" s="269"/>
      <c r="AA9" s="221" t="s">
        <v>34</v>
      </c>
      <c r="AB9" s="7" t="s">
        <v>34</v>
      </c>
      <c r="AC9" s="7" t="s">
        <v>34</v>
      </c>
      <c r="AD9" s="221" t="s">
        <v>34</v>
      </c>
      <c r="AE9" s="7" t="s">
        <v>34</v>
      </c>
      <c r="AF9" s="7" t="s">
        <v>34</v>
      </c>
      <c r="AG9" s="221" t="s">
        <v>34</v>
      </c>
      <c r="AH9" s="7" t="s">
        <v>34</v>
      </c>
      <c r="AI9" s="7" t="s">
        <v>34</v>
      </c>
      <c r="AJ9" s="7" t="s">
        <v>34</v>
      </c>
      <c r="AK9" s="7" t="s">
        <v>34</v>
      </c>
      <c r="AL9" s="7" t="s">
        <v>34</v>
      </c>
      <c r="AM9" s="7" t="s">
        <v>34</v>
      </c>
      <c r="AN9" s="7" t="s">
        <v>34</v>
      </c>
      <c r="AO9" s="7" t="s">
        <v>34</v>
      </c>
      <c r="AP9" s="7" t="s">
        <v>34</v>
      </c>
      <c r="AQ9" s="7" t="s">
        <v>34</v>
      </c>
      <c r="AR9" s="7" t="s">
        <v>34</v>
      </c>
    </row>
    <row r="10" spans="1:50" ht="15" customHeight="1" thickBot="1" x14ac:dyDescent="0.3">
      <c r="A10" s="47" t="s">
        <v>42</v>
      </c>
      <c r="B10" s="96">
        <v>6</v>
      </c>
      <c r="C10" s="45">
        <v>2</v>
      </c>
      <c r="D10" s="5">
        <f t="shared" si="0"/>
        <v>8</v>
      </c>
      <c r="E10" s="215" t="s">
        <v>42</v>
      </c>
      <c r="F10" s="97">
        <v>30</v>
      </c>
      <c r="G10" s="210">
        <v>10</v>
      </c>
      <c r="H10" s="78">
        <f t="shared" si="1"/>
        <v>40</v>
      </c>
      <c r="I10" s="69"/>
      <c r="AP10" s="4"/>
      <c r="AQ10" s="4"/>
      <c r="AR10" s="4"/>
      <c r="AT10" s="4"/>
      <c r="AU10" s="4"/>
    </row>
    <row r="11" spans="1:50" ht="15" customHeight="1" thickBot="1" x14ac:dyDescent="0.3">
      <c r="A11" s="47" t="s">
        <v>76</v>
      </c>
      <c r="B11" s="96">
        <v>1</v>
      </c>
      <c r="C11" s="45">
        <v>0</v>
      </c>
      <c r="D11" s="5">
        <f t="shared" si="0"/>
        <v>1</v>
      </c>
      <c r="E11" s="215" t="s">
        <v>76</v>
      </c>
      <c r="F11" s="97">
        <v>5</v>
      </c>
      <c r="G11" s="210">
        <v>0</v>
      </c>
      <c r="H11" s="78">
        <f t="shared" si="1"/>
        <v>5</v>
      </c>
      <c r="I11" s="517" t="s">
        <v>659</v>
      </c>
      <c r="J11" s="525" t="s">
        <v>33</v>
      </c>
      <c r="K11" s="526"/>
      <c r="L11" s="527"/>
      <c r="M11" s="543" t="s">
        <v>836</v>
      </c>
      <c r="N11" s="549"/>
      <c r="O11" s="550"/>
      <c r="P11" s="543" t="s">
        <v>817</v>
      </c>
      <c r="Q11" s="549"/>
      <c r="R11" s="550"/>
      <c r="S11" s="543" t="s">
        <v>574</v>
      </c>
      <c r="T11" s="549"/>
      <c r="U11" s="550"/>
      <c r="V11" s="244"/>
      <c r="W11" s="254"/>
      <c r="X11" s="254"/>
      <c r="Y11" s="254"/>
      <c r="Z11" s="367"/>
      <c r="AA11" s="543" t="s">
        <v>217</v>
      </c>
      <c r="AB11" s="549"/>
      <c r="AC11" s="550"/>
      <c r="AD11" s="543" t="s">
        <v>147</v>
      </c>
      <c r="AE11" s="549"/>
      <c r="AF11" s="550"/>
      <c r="AG11" s="543" t="s">
        <v>188</v>
      </c>
      <c r="AH11" s="549"/>
      <c r="AI11" s="550"/>
      <c r="AJ11" s="543" t="s">
        <v>114</v>
      </c>
      <c r="AK11" s="549"/>
      <c r="AL11" s="550"/>
      <c r="AM11" s="226"/>
      <c r="AN11" s="226"/>
    </row>
    <row r="12" spans="1:50" ht="15" customHeight="1" thickBot="1" x14ac:dyDescent="0.3">
      <c r="A12" s="47" t="s">
        <v>770</v>
      </c>
      <c r="B12" s="96">
        <v>4</v>
      </c>
      <c r="C12" s="45">
        <v>1</v>
      </c>
      <c r="D12" s="5">
        <f t="shared" si="0"/>
        <v>5</v>
      </c>
      <c r="E12" s="215" t="s">
        <v>770</v>
      </c>
      <c r="F12" s="97">
        <v>20</v>
      </c>
      <c r="G12" s="210">
        <v>5</v>
      </c>
      <c r="H12" s="78">
        <f t="shared" si="1"/>
        <v>25</v>
      </c>
      <c r="I12" s="518"/>
      <c r="J12" s="528"/>
      <c r="K12" s="529"/>
      <c r="L12" s="530"/>
      <c r="M12" s="551"/>
      <c r="N12" s="552"/>
      <c r="O12" s="553"/>
      <c r="P12" s="551"/>
      <c r="Q12" s="552"/>
      <c r="R12" s="553"/>
      <c r="S12" s="551"/>
      <c r="T12" s="552"/>
      <c r="U12" s="553"/>
      <c r="V12" s="244"/>
      <c r="W12" s="254"/>
      <c r="X12" s="254"/>
      <c r="Y12" s="254"/>
      <c r="Z12" s="367"/>
      <c r="AA12" s="551"/>
      <c r="AB12" s="552"/>
      <c r="AC12" s="553"/>
      <c r="AD12" s="551"/>
      <c r="AE12" s="552"/>
      <c r="AF12" s="553"/>
      <c r="AG12" s="551"/>
      <c r="AH12" s="552"/>
      <c r="AI12" s="553"/>
      <c r="AJ12" s="551"/>
      <c r="AK12" s="552"/>
      <c r="AL12" s="553"/>
      <c r="AM12" s="226"/>
      <c r="AN12" s="226"/>
      <c r="AT12" s="4"/>
      <c r="AU12" s="4"/>
      <c r="AV12" s="4"/>
      <c r="AW12" s="4"/>
      <c r="AX12" s="4"/>
    </row>
    <row r="13" spans="1:50" ht="15" customHeight="1" thickBot="1" x14ac:dyDescent="0.3">
      <c r="A13" s="47" t="s">
        <v>749</v>
      </c>
      <c r="B13" s="96">
        <v>1</v>
      </c>
      <c r="C13" s="45">
        <v>0</v>
      </c>
      <c r="D13" s="5">
        <f t="shared" si="0"/>
        <v>1</v>
      </c>
      <c r="E13" s="215" t="s">
        <v>749</v>
      </c>
      <c r="F13" s="97">
        <v>5</v>
      </c>
      <c r="G13" s="210">
        <v>0</v>
      </c>
      <c r="H13" s="78">
        <f t="shared" si="1"/>
        <v>5</v>
      </c>
      <c r="I13" s="33" t="s">
        <v>51</v>
      </c>
      <c r="J13" s="3" t="s">
        <v>129</v>
      </c>
      <c r="K13" s="3" t="s">
        <v>27</v>
      </c>
      <c r="L13" s="3" t="s">
        <v>28</v>
      </c>
      <c r="M13" s="7" t="s">
        <v>129</v>
      </c>
      <c r="N13" s="7" t="s">
        <v>27</v>
      </c>
      <c r="O13" s="7" t="s">
        <v>28</v>
      </c>
      <c r="P13" s="7" t="s">
        <v>129</v>
      </c>
      <c r="Q13" s="7" t="s">
        <v>27</v>
      </c>
      <c r="R13" s="7" t="s">
        <v>28</v>
      </c>
      <c r="S13" s="221" t="s">
        <v>129</v>
      </c>
      <c r="T13" s="7" t="s">
        <v>27</v>
      </c>
      <c r="U13" s="7" t="s">
        <v>28</v>
      </c>
      <c r="V13" s="356"/>
      <c r="W13" s="354"/>
      <c r="X13" s="354"/>
      <c r="Y13" s="354"/>
      <c r="Z13" s="367"/>
      <c r="AA13" s="221" t="s">
        <v>129</v>
      </c>
      <c r="AB13" s="7" t="s">
        <v>27</v>
      </c>
      <c r="AC13" s="7" t="s">
        <v>28</v>
      </c>
      <c r="AD13" s="221" t="s">
        <v>129</v>
      </c>
      <c r="AE13" s="7" t="s">
        <v>27</v>
      </c>
      <c r="AF13" s="7" t="s">
        <v>28</v>
      </c>
      <c r="AG13" s="221" t="s">
        <v>129</v>
      </c>
      <c r="AH13" s="7" t="s">
        <v>27</v>
      </c>
      <c r="AI13" s="7" t="s">
        <v>28</v>
      </c>
      <c r="AJ13" s="221" t="s">
        <v>129</v>
      </c>
      <c r="AK13" s="7" t="s">
        <v>27</v>
      </c>
      <c r="AL13" s="7" t="s">
        <v>28</v>
      </c>
      <c r="AM13" s="226"/>
      <c r="AN13" s="226"/>
      <c r="AS13" s="289"/>
      <c r="AT13" s="4"/>
      <c r="AU13" s="4"/>
      <c r="AV13" s="4"/>
      <c r="AW13" s="4"/>
      <c r="AX13" s="4"/>
    </row>
    <row r="14" spans="1:50" ht="15" customHeight="1" thickBot="1" x14ac:dyDescent="0.3">
      <c r="A14" s="47" t="s">
        <v>104</v>
      </c>
      <c r="B14" s="96">
        <v>0</v>
      </c>
      <c r="C14" s="45">
        <v>0</v>
      </c>
      <c r="D14" s="5">
        <f t="shared" si="0"/>
        <v>0</v>
      </c>
      <c r="E14" s="215" t="s">
        <v>104</v>
      </c>
      <c r="F14" s="97">
        <v>0</v>
      </c>
      <c r="G14" s="210">
        <v>0</v>
      </c>
      <c r="H14" s="78">
        <f t="shared" si="1"/>
        <v>0</v>
      </c>
      <c r="I14" s="164" t="s">
        <v>678</v>
      </c>
      <c r="J14" s="45" t="s">
        <v>34</v>
      </c>
      <c r="K14" s="45" t="s">
        <v>34</v>
      </c>
      <c r="L14" s="45" t="s">
        <v>34</v>
      </c>
      <c r="M14" s="7">
        <v>0</v>
      </c>
      <c r="N14" s="7">
        <v>1</v>
      </c>
      <c r="O14" s="7">
        <f t="shared" ref="O14" si="9">SUM(M14/N14)*100</f>
        <v>0</v>
      </c>
      <c r="P14" s="7">
        <v>0</v>
      </c>
      <c r="Q14" s="7">
        <v>1</v>
      </c>
      <c r="R14" s="7">
        <v>0</v>
      </c>
      <c r="S14" s="221">
        <v>0</v>
      </c>
      <c r="T14" s="7">
        <v>2</v>
      </c>
      <c r="U14" s="7">
        <v>0</v>
      </c>
      <c r="V14" s="356"/>
      <c r="W14" s="354"/>
      <c r="X14" s="354"/>
      <c r="Y14" s="354"/>
      <c r="Z14" s="367"/>
      <c r="AA14" s="221">
        <v>4</v>
      </c>
      <c r="AB14" s="7">
        <v>7</v>
      </c>
      <c r="AC14" s="7">
        <v>57</v>
      </c>
      <c r="AD14" s="221">
        <v>1</v>
      </c>
      <c r="AE14" s="7">
        <v>3</v>
      </c>
      <c r="AF14" s="7">
        <v>33</v>
      </c>
      <c r="AG14" s="221">
        <v>0</v>
      </c>
      <c r="AH14" s="7">
        <v>4</v>
      </c>
      <c r="AI14" s="7">
        <v>0</v>
      </c>
      <c r="AJ14" s="221">
        <v>2</v>
      </c>
      <c r="AK14" s="7">
        <v>2</v>
      </c>
      <c r="AL14" s="7">
        <v>100</v>
      </c>
      <c r="AM14" s="290"/>
      <c r="AN14" s="290"/>
      <c r="AO14" s="289"/>
      <c r="AP14" s="289"/>
      <c r="AQ14" s="289"/>
      <c r="AR14" s="289"/>
      <c r="AT14" s="4"/>
      <c r="AU14" s="4"/>
      <c r="AV14" s="4"/>
      <c r="AW14" s="4"/>
      <c r="AX14" s="4"/>
    </row>
    <row r="15" spans="1:50" ht="15" customHeight="1" thickBot="1" x14ac:dyDescent="0.3">
      <c r="A15" s="47" t="s">
        <v>89</v>
      </c>
      <c r="B15" s="96">
        <v>1</v>
      </c>
      <c r="C15" s="45">
        <v>0</v>
      </c>
      <c r="D15" s="5">
        <f t="shared" si="0"/>
        <v>1</v>
      </c>
      <c r="E15" s="215" t="s">
        <v>89</v>
      </c>
      <c r="F15" s="97">
        <v>5</v>
      </c>
      <c r="G15" s="210">
        <v>0</v>
      </c>
      <c r="H15" s="78">
        <f t="shared" si="1"/>
        <v>5</v>
      </c>
      <c r="I15" s="15" t="s">
        <v>36</v>
      </c>
      <c r="J15" s="109" t="s">
        <v>34</v>
      </c>
      <c r="K15" s="109" t="s">
        <v>34</v>
      </c>
      <c r="L15" s="109" t="s">
        <v>34</v>
      </c>
      <c r="M15" s="7" t="s">
        <v>34</v>
      </c>
      <c r="N15" s="7" t="s">
        <v>34</v>
      </c>
      <c r="O15" s="7" t="s">
        <v>34</v>
      </c>
      <c r="P15" s="7" t="s">
        <v>34</v>
      </c>
      <c r="Q15" s="7" t="s">
        <v>34</v>
      </c>
      <c r="R15" s="7" t="s">
        <v>34</v>
      </c>
      <c r="S15" s="221" t="s">
        <v>34</v>
      </c>
      <c r="T15" s="7" t="s">
        <v>34</v>
      </c>
      <c r="U15" s="7" t="s">
        <v>34</v>
      </c>
      <c r="V15" s="356"/>
      <c r="W15" s="354"/>
      <c r="X15" s="354"/>
      <c r="Y15" s="354"/>
      <c r="Z15" s="367"/>
      <c r="AA15" s="221">
        <v>4</v>
      </c>
      <c r="AB15" s="7">
        <v>5</v>
      </c>
      <c r="AC15" s="232">
        <f>SUM(AA15/AB15)*100</f>
        <v>80</v>
      </c>
      <c r="AD15" s="221">
        <v>5</v>
      </c>
      <c r="AE15" s="7">
        <v>8</v>
      </c>
      <c r="AF15" s="232">
        <f>SUM(AD15/AE15)*100</f>
        <v>62.5</v>
      </c>
      <c r="AG15" s="221">
        <v>20</v>
      </c>
      <c r="AH15" s="7">
        <v>25</v>
      </c>
      <c r="AI15" s="232">
        <f>SUM(AG15/AH15)*100</f>
        <v>80</v>
      </c>
      <c r="AJ15" s="221">
        <v>8</v>
      </c>
      <c r="AK15" s="7">
        <v>9</v>
      </c>
      <c r="AL15" s="232">
        <f>SUM(AJ15/AK15)*100</f>
        <v>88.888888888888886</v>
      </c>
      <c r="AM15" s="226"/>
      <c r="AN15" s="226"/>
      <c r="AS15" s="107"/>
      <c r="AT15" s="4"/>
      <c r="AU15" s="4"/>
      <c r="AV15" s="4"/>
      <c r="AW15" s="4"/>
      <c r="AX15" s="4"/>
    </row>
    <row r="16" spans="1:50" ht="15" customHeight="1" thickBot="1" x14ac:dyDescent="0.3">
      <c r="A16" s="47" t="s">
        <v>70</v>
      </c>
      <c r="B16" s="96">
        <v>2</v>
      </c>
      <c r="C16" s="45">
        <v>3</v>
      </c>
      <c r="D16" s="5">
        <f t="shared" si="0"/>
        <v>5</v>
      </c>
      <c r="E16" s="215" t="s">
        <v>70</v>
      </c>
      <c r="F16" s="97">
        <v>10</v>
      </c>
      <c r="G16" s="210">
        <v>15</v>
      </c>
      <c r="H16" s="78">
        <f t="shared" si="1"/>
        <v>25</v>
      </c>
      <c r="I16" s="159" t="s">
        <v>259</v>
      </c>
      <c r="J16" s="109" t="s">
        <v>34</v>
      </c>
      <c r="K16" s="109" t="s">
        <v>34</v>
      </c>
      <c r="L16" s="109" t="s">
        <v>34</v>
      </c>
      <c r="M16" s="7" t="s">
        <v>34</v>
      </c>
      <c r="N16" s="7" t="s">
        <v>34</v>
      </c>
      <c r="O16" s="7" t="s">
        <v>34</v>
      </c>
      <c r="P16" s="7" t="s">
        <v>34</v>
      </c>
      <c r="Q16" s="7" t="s">
        <v>34</v>
      </c>
      <c r="R16" s="7" t="s">
        <v>34</v>
      </c>
      <c r="S16" s="221" t="s">
        <v>34</v>
      </c>
      <c r="T16" s="7" t="s">
        <v>34</v>
      </c>
      <c r="U16" s="7" t="s">
        <v>34</v>
      </c>
      <c r="V16" s="356"/>
      <c r="W16" s="354"/>
      <c r="X16" s="354"/>
      <c r="Y16" s="354"/>
      <c r="Z16" s="367"/>
      <c r="AA16" s="221" t="s">
        <v>34</v>
      </c>
      <c r="AB16" s="7" t="s">
        <v>34</v>
      </c>
      <c r="AC16" s="7" t="s">
        <v>34</v>
      </c>
      <c r="AD16" s="221" t="s">
        <v>34</v>
      </c>
      <c r="AE16" s="7" t="s">
        <v>34</v>
      </c>
      <c r="AF16" s="7" t="s">
        <v>34</v>
      </c>
      <c r="AG16" s="6">
        <v>1</v>
      </c>
      <c r="AH16" s="7">
        <v>1</v>
      </c>
      <c r="AI16" s="232">
        <f>SUM(AG16/AH16)*100</f>
        <v>100</v>
      </c>
      <c r="AJ16" s="7" t="s">
        <v>34</v>
      </c>
      <c r="AK16" s="7" t="s">
        <v>34</v>
      </c>
      <c r="AL16" s="7" t="s">
        <v>34</v>
      </c>
      <c r="AM16" s="246"/>
      <c r="AN16" s="106"/>
      <c r="AO16" s="107"/>
      <c r="AP16" s="107"/>
      <c r="AQ16" s="107"/>
      <c r="AR16" s="107"/>
    </row>
    <row r="17" spans="1:47" ht="15" customHeight="1" thickBot="1" x14ac:dyDescent="0.3">
      <c r="A17" s="47" t="s">
        <v>602</v>
      </c>
      <c r="B17" s="96">
        <v>0</v>
      </c>
      <c r="C17" s="45">
        <v>0</v>
      </c>
      <c r="D17" s="5">
        <f t="shared" si="0"/>
        <v>0</v>
      </c>
      <c r="E17" s="215" t="s">
        <v>602</v>
      </c>
      <c r="F17" s="97">
        <v>0</v>
      </c>
      <c r="G17" s="210">
        <v>0</v>
      </c>
      <c r="H17" s="78">
        <f t="shared" si="1"/>
        <v>0</v>
      </c>
      <c r="I17" s="15" t="s">
        <v>158</v>
      </c>
      <c r="J17" s="109">
        <v>13</v>
      </c>
      <c r="K17" s="109">
        <v>16</v>
      </c>
      <c r="L17" s="110">
        <f t="shared" ref="L17:L18" si="10">SUM(J17/K17)*100</f>
        <v>81.25</v>
      </c>
      <c r="M17" s="7">
        <v>39</v>
      </c>
      <c r="N17" s="7">
        <v>41</v>
      </c>
      <c r="O17" s="232">
        <f t="shared" ref="O17" si="11">SUM(M17/N17)*100</f>
        <v>95.121951219512198</v>
      </c>
      <c r="P17" s="7">
        <v>3</v>
      </c>
      <c r="Q17" s="7">
        <v>7</v>
      </c>
      <c r="R17" s="232">
        <f t="shared" ref="R17" si="12">SUM(P17/Q17)*100</f>
        <v>42.857142857142854</v>
      </c>
      <c r="S17" s="221">
        <v>2</v>
      </c>
      <c r="T17" s="7">
        <v>2</v>
      </c>
      <c r="U17" s="232">
        <f t="shared" ref="U17" si="13">SUM(S17/T17)*100</f>
        <v>100</v>
      </c>
      <c r="V17" s="356"/>
      <c r="W17" s="354"/>
      <c r="X17" s="354"/>
      <c r="Y17" s="354"/>
      <c r="Z17" s="367"/>
      <c r="AA17" s="221">
        <v>1</v>
      </c>
      <c r="AB17" s="7">
        <v>2</v>
      </c>
      <c r="AC17" s="232">
        <f>SUM(AA17/AB17)*100</f>
        <v>50</v>
      </c>
      <c r="AD17" s="221" t="s">
        <v>34</v>
      </c>
      <c r="AE17" s="7" t="s">
        <v>34</v>
      </c>
      <c r="AF17" s="7" t="s">
        <v>34</v>
      </c>
      <c r="AG17" s="6" t="s">
        <v>34</v>
      </c>
      <c r="AH17" s="7" t="s">
        <v>34</v>
      </c>
      <c r="AI17" s="7" t="s">
        <v>34</v>
      </c>
      <c r="AJ17" s="221" t="s">
        <v>34</v>
      </c>
      <c r="AK17" s="7" t="s">
        <v>34</v>
      </c>
      <c r="AL17" s="7" t="s">
        <v>34</v>
      </c>
      <c r="AM17" s="226"/>
      <c r="AN17" s="226"/>
      <c r="AT17" s="4"/>
      <c r="AU17" s="4"/>
    </row>
    <row r="18" spans="1:47" ht="15" customHeight="1" thickBot="1" x14ac:dyDescent="0.3">
      <c r="A18" s="47" t="s">
        <v>781</v>
      </c>
      <c r="B18" s="96">
        <v>1</v>
      </c>
      <c r="C18" s="45">
        <v>0</v>
      </c>
      <c r="D18" s="5">
        <f t="shared" si="0"/>
        <v>1</v>
      </c>
      <c r="E18" s="215" t="s">
        <v>781</v>
      </c>
      <c r="F18" s="97">
        <v>5</v>
      </c>
      <c r="G18" s="210">
        <v>0</v>
      </c>
      <c r="H18" s="78">
        <f t="shared" si="1"/>
        <v>5</v>
      </c>
      <c r="I18" s="402" t="s">
        <v>534</v>
      </c>
      <c r="J18" s="469">
        <v>1</v>
      </c>
      <c r="K18" s="469">
        <v>1</v>
      </c>
      <c r="L18" s="470">
        <f t="shared" si="10"/>
        <v>100</v>
      </c>
      <c r="M18" s="7" t="s">
        <v>34</v>
      </c>
      <c r="N18" s="7" t="s">
        <v>34</v>
      </c>
      <c r="O18" s="7" t="s">
        <v>34</v>
      </c>
      <c r="P18" s="7" t="s">
        <v>34</v>
      </c>
      <c r="Q18" s="7" t="s">
        <v>34</v>
      </c>
      <c r="R18" s="7" t="s">
        <v>34</v>
      </c>
      <c r="S18" s="221" t="s">
        <v>34</v>
      </c>
      <c r="T18" s="7" t="s">
        <v>34</v>
      </c>
      <c r="U18" s="7" t="s">
        <v>34</v>
      </c>
      <c r="V18" s="461"/>
      <c r="W18" s="459"/>
      <c r="X18" s="459"/>
      <c r="Y18" s="459"/>
      <c r="Z18" s="367"/>
      <c r="AA18" s="221" t="s">
        <v>34</v>
      </c>
      <c r="AB18" s="7" t="s">
        <v>34</v>
      </c>
      <c r="AC18" s="7" t="s">
        <v>34</v>
      </c>
      <c r="AD18" s="221" t="s">
        <v>34</v>
      </c>
      <c r="AE18" s="7" t="s">
        <v>34</v>
      </c>
      <c r="AF18" s="7" t="s">
        <v>34</v>
      </c>
      <c r="AG18" s="6" t="s">
        <v>34</v>
      </c>
      <c r="AH18" s="7" t="s">
        <v>34</v>
      </c>
      <c r="AI18" s="7" t="s">
        <v>34</v>
      </c>
      <c r="AJ18" s="7" t="s">
        <v>34</v>
      </c>
      <c r="AK18" s="7" t="s">
        <v>34</v>
      </c>
      <c r="AL18" s="7" t="s">
        <v>34</v>
      </c>
      <c r="AM18" s="462"/>
      <c r="AN18" s="462"/>
      <c r="AO18" s="460"/>
      <c r="AP18" s="460"/>
      <c r="AQ18" s="460"/>
      <c r="AR18" s="460"/>
    </row>
    <row r="19" spans="1:47" ht="15" customHeight="1" thickBot="1" x14ac:dyDescent="0.3">
      <c r="A19" s="47" t="s">
        <v>678</v>
      </c>
      <c r="B19" s="96">
        <v>5</v>
      </c>
      <c r="C19" s="45">
        <v>1</v>
      </c>
      <c r="D19" s="5">
        <f t="shared" si="0"/>
        <v>6</v>
      </c>
      <c r="E19" s="215" t="s">
        <v>678</v>
      </c>
      <c r="F19" s="97">
        <v>25</v>
      </c>
      <c r="G19" s="210">
        <v>5</v>
      </c>
      <c r="H19" s="78">
        <f t="shared" si="1"/>
        <v>30</v>
      </c>
      <c r="I19" s="70"/>
      <c r="J19" s="71"/>
      <c r="K19" s="71"/>
      <c r="L19" s="72"/>
      <c r="M19" s="247"/>
      <c r="N19" s="247"/>
      <c r="O19" s="247"/>
      <c r="P19" s="226"/>
      <c r="Q19" s="226"/>
      <c r="R19" s="226"/>
      <c r="S19" s="226"/>
      <c r="T19" s="226"/>
      <c r="U19" s="226"/>
      <c r="V19" s="308"/>
      <c r="W19" s="308"/>
      <c r="X19" s="308"/>
      <c r="Y19" s="354"/>
      <c r="Z19" s="308"/>
      <c r="AA19" s="309"/>
      <c r="AB19" s="309"/>
      <c r="AC19" s="309"/>
      <c r="AD19" s="226"/>
      <c r="AE19" s="226"/>
      <c r="AF19" s="226"/>
      <c r="AG19" s="226"/>
      <c r="AH19" s="226"/>
      <c r="AI19" s="226"/>
      <c r="AJ19" s="226"/>
      <c r="AK19" s="226"/>
      <c r="AN19" s="4"/>
      <c r="AO19" s="4"/>
      <c r="AP19" s="4"/>
      <c r="AS19" s="4"/>
    </row>
    <row r="20" spans="1:47" ht="15" customHeight="1" thickBot="1" x14ac:dyDescent="0.3">
      <c r="A20" s="47" t="s">
        <v>859</v>
      </c>
      <c r="B20" s="96">
        <v>0</v>
      </c>
      <c r="C20" s="45">
        <v>0</v>
      </c>
      <c r="D20" s="5">
        <f t="shared" si="0"/>
        <v>0</v>
      </c>
      <c r="E20" s="215" t="s">
        <v>859</v>
      </c>
      <c r="F20" s="97">
        <v>0</v>
      </c>
      <c r="G20" s="210">
        <v>0</v>
      </c>
      <c r="H20" s="78">
        <f t="shared" si="1"/>
        <v>0</v>
      </c>
      <c r="I20" s="515" t="s">
        <v>218</v>
      </c>
      <c r="J20" s="543" t="s">
        <v>836</v>
      </c>
      <c r="K20" s="549"/>
      <c r="L20" s="550"/>
      <c r="M20" s="543" t="s">
        <v>817</v>
      </c>
      <c r="N20" s="549"/>
      <c r="O20" s="550"/>
      <c r="P20" s="543" t="s">
        <v>574</v>
      </c>
      <c r="Q20" s="549"/>
      <c r="R20" s="550"/>
      <c r="S20" s="543" t="s">
        <v>217</v>
      </c>
      <c r="T20" s="549"/>
      <c r="U20" s="550"/>
      <c r="V20" s="308"/>
      <c r="W20" s="308"/>
      <c r="X20" s="308"/>
      <c r="Y20" s="354"/>
      <c r="Z20" s="308"/>
      <c r="AA20" s="543" t="s">
        <v>137</v>
      </c>
      <c r="AB20" s="549"/>
      <c r="AC20" s="550"/>
      <c r="AD20" s="543" t="s">
        <v>101</v>
      </c>
      <c r="AE20" s="549"/>
      <c r="AF20" s="550"/>
      <c r="AG20" s="226"/>
      <c r="AH20" s="226"/>
      <c r="AI20" s="226"/>
      <c r="AJ20" s="226"/>
      <c r="AK20" s="226"/>
      <c r="AT20" s="4"/>
      <c r="AU20" s="4"/>
    </row>
    <row r="21" spans="1:47" ht="15" customHeight="1" thickBot="1" x14ac:dyDescent="0.3">
      <c r="A21" s="47" t="s">
        <v>15</v>
      </c>
      <c r="B21" s="96">
        <v>0</v>
      </c>
      <c r="C21" s="45">
        <v>0</v>
      </c>
      <c r="D21" s="5">
        <f t="shared" si="0"/>
        <v>0</v>
      </c>
      <c r="E21" s="216" t="s">
        <v>15</v>
      </c>
      <c r="F21" s="97">
        <v>0</v>
      </c>
      <c r="G21" s="210">
        <v>0</v>
      </c>
      <c r="H21" s="78">
        <f t="shared" si="1"/>
        <v>0</v>
      </c>
      <c r="I21" s="516"/>
      <c r="J21" s="551"/>
      <c r="K21" s="552"/>
      <c r="L21" s="553"/>
      <c r="M21" s="551"/>
      <c r="N21" s="552"/>
      <c r="O21" s="553"/>
      <c r="P21" s="551"/>
      <c r="Q21" s="552"/>
      <c r="R21" s="553"/>
      <c r="S21" s="551"/>
      <c r="T21" s="552"/>
      <c r="U21" s="553"/>
      <c r="V21" s="308"/>
      <c r="W21" s="308"/>
      <c r="X21" s="308"/>
      <c r="Y21" s="354"/>
      <c r="Z21" s="308"/>
      <c r="AA21" s="551"/>
      <c r="AB21" s="552"/>
      <c r="AC21" s="553"/>
      <c r="AD21" s="551"/>
      <c r="AE21" s="552"/>
      <c r="AF21" s="553"/>
      <c r="AG21" s="226"/>
      <c r="AH21" s="226"/>
      <c r="AI21" s="226"/>
      <c r="AJ21" s="226"/>
      <c r="AK21" s="226"/>
      <c r="AQ21" s="4"/>
      <c r="AR21" s="4"/>
      <c r="AS21" s="4"/>
    </row>
    <row r="22" spans="1:47" ht="15" customHeight="1" thickBot="1" x14ac:dyDescent="0.3">
      <c r="A22" s="47" t="s">
        <v>605</v>
      </c>
      <c r="B22" s="96">
        <v>0</v>
      </c>
      <c r="C22" s="45">
        <v>0</v>
      </c>
      <c r="D22" s="5">
        <f t="shared" si="0"/>
        <v>0</v>
      </c>
      <c r="E22" s="215" t="s">
        <v>605</v>
      </c>
      <c r="F22" s="97">
        <v>0</v>
      </c>
      <c r="G22" s="210">
        <v>0</v>
      </c>
      <c r="H22" s="78">
        <f t="shared" si="1"/>
        <v>0</v>
      </c>
      <c r="I22" s="33" t="s">
        <v>51</v>
      </c>
      <c r="J22" s="7" t="s">
        <v>129</v>
      </c>
      <c r="K22" s="7" t="s">
        <v>27</v>
      </c>
      <c r="L22" s="7" t="s">
        <v>28</v>
      </c>
      <c r="M22" s="7" t="s">
        <v>129</v>
      </c>
      <c r="N22" s="7" t="s">
        <v>27</v>
      </c>
      <c r="O22" s="7" t="s">
        <v>28</v>
      </c>
      <c r="P22" s="7" t="s">
        <v>129</v>
      </c>
      <c r="Q22" s="7" t="s">
        <v>27</v>
      </c>
      <c r="R22" s="7" t="s">
        <v>28</v>
      </c>
      <c r="S22" s="221" t="s">
        <v>129</v>
      </c>
      <c r="T22" s="7" t="s">
        <v>27</v>
      </c>
      <c r="U22" s="7" t="s">
        <v>28</v>
      </c>
      <c r="V22" s="308"/>
      <c r="W22" s="308"/>
      <c r="X22" s="308"/>
      <c r="Y22" s="354"/>
      <c r="Z22" s="308"/>
      <c r="AA22" s="221" t="s">
        <v>129</v>
      </c>
      <c r="AB22" s="7" t="s">
        <v>27</v>
      </c>
      <c r="AC22" s="7" t="s">
        <v>28</v>
      </c>
      <c r="AD22" s="6" t="s">
        <v>129</v>
      </c>
      <c r="AE22" s="7" t="s">
        <v>27</v>
      </c>
      <c r="AF22" s="7" t="s">
        <v>28</v>
      </c>
      <c r="AG22" s="226"/>
      <c r="AH22" s="226"/>
      <c r="AI22" s="226"/>
      <c r="AJ22" s="226"/>
      <c r="AK22" s="226"/>
      <c r="AS22" s="4"/>
    </row>
    <row r="23" spans="1:47" ht="15" customHeight="1" thickBot="1" x14ac:dyDescent="0.3">
      <c r="A23" s="47" t="s">
        <v>544</v>
      </c>
      <c r="B23" s="96">
        <v>0</v>
      </c>
      <c r="C23" s="45">
        <v>0</v>
      </c>
      <c r="D23" s="5">
        <f t="shared" si="0"/>
        <v>0</v>
      </c>
      <c r="E23" s="215" t="s">
        <v>544</v>
      </c>
      <c r="F23" s="97">
        <v>0</v>
      </c>
      <c r="G23" s="210">
        <v>0</v>
      </c>
      <c r="H23" s="78">
        <f t="shared" si="1"/>
        <v>0</v>
      </c>
      <c r="I23" s="15" t="s">
        <v>158</v>
      </c>
      <c r="J23" s="7">
        <v>11</v>
      </c>
      <c r="K23" s="7">
        <v>11</v>
      </c>
      <c r="L23" s="7">
        <f>(J23/K23)*100</f>
        <v>100</v>
      </c>
      <c r="M23" s="7">
        <v>5</v>
      </c>
      <c r="N23" s="7">
        <v>9</v>
      </c>
      <c r="O23" s="232">
        <f>SUM(M23/N23)*100</f>
        <v>55.555555555555557</v>
      </c>
      <c r="P23" s="7">
        <v>22</v>
      </c>
      <c r="Q23" s="7">
        <v>30</v>
      </c>
      <c r="R23" s="232">
        <f t="shared" ref="R23" si="14">SUM(P23/Q23)*100</f>
        <v>73.333333333333329</v>
      </c>
      <c r="S23" s="6">
        <v>21</v>
      </c>
      <c r="T23" s="6">
        <v>32</v>
      </c>
      <c r="U23" s="232">
        <f>SUM(S23/T23)*100</f>
        <v>65.625</v>
      </c>
      <c r="V23" s="308"/>
      <c r="W23" s="308"/>
      <c r="X23" s="308"/>
      <c r="Y23" s="354"/>
      <c r="Z23" s="308"/>
      <c r="AA23" s="6" t="s">
        <v>34</v>
      </c>
      <c r="AB23" s="6" t="s">
        <v>34</v>
      </c>
      <c r="AC23" s="6" t="s">
        <v>34</v>
      </c>
      <c r="AD23" s="6" t="s">
        <v>34</v>
      </c>
      <c r="AE23" s="6" t="s">
        <v>34</v>
      </c>
      <c r="AF23" s="6" t="s">
        <v>34</v>
      </c>
      <c r="AG23" s="226"/>
      <c r="AH23" s="226"/>
      <c r="AI23" s="226"/>
      <c r="AJ23" s="226"/>
      <c r="AK23" s="226"/>
      <c r="AQ23" s="4"/>
      <c r="AR23" s="4"/>
      <c r="AT23" s="4"/>
      <c r="AU23" s="4"/>
    </row>
    <row r="24" spans="1:47" ht="15" customHeight="1" thickBot="1" x14ac:dyDescent="0.3">
      <c r="A24" s="47" t="s">
        <v>700</v>
      </c>
      <c r="B24" s="96">
        <v>1</v>
      </c>
      <c r="C24" s="45">
        <v>0</v>
      </c>
      <c r="D24" s="5">
        <f t="shared" si="0"/>
        <v>1</v>
      </c>
      <c r="E24" s="215" t="s">
        <v>700</v>
      </c>
      <c r="F24" s="97">
        <v>5</v>
      </c>
      <c r="G24" s="210">
        <v>0</v>
      </c>
      <c r="H24" s="78">
        <f t="shared" si="1"/>
        <v>5</v>
      </c>
      <c r="I24" s="15" t="s">
        <v>534</v>
      </c>
      <c r="J24" s="7">
        <v>1</v>
      </c>
      <c r="K24" s="7">
        <v>2</v>
      </c>
      <c r="L24" s="7">
        <f>(J24/K24)*100</f>
        <v>50</v>
      </c>
      <c r="M24" s="7">
        <v>4</v>
      </c>
      <c r="N24" s="7">
        <v>6</v>
      </c>
      <c r="O24" s="232">
        <f>SUM(M24/N24)*100</f>
        <v>66.666666666666657</v>
      </c>
      <c r="P24" s="7" t="s">
        <v>34</v>
      </c>
      <c r="Q24" s="7" t="s">
        <v>34</v>
      </c>
      <c r="R24" s="7" t="s">
        <v>34</v>
      </c>
      <c r="S24" s="221" t="s">
        <v>34</v>
      </c>
      <c r="T24" s="7" t="s">
        <v>34</v>
      </c>
      <c r="U24" s="7" t="s">
        <v>34</v>
      </c>
      <c r="V24" s="308"/>
      <c r="W24" s="308"/>
      <c r="X24" s="308"/>
      <c r="Y24" s="354"/>
      <c r="Z24" s="308"/>
      <c r="AA24" s="221" t="s">
        <v>34</v>
      </c>
      <c r="AB24" s="7" t="s">
        <v>34</v>
      </c>
      <c r="AC24" s="7" t="s">
        <v>34</v>
      </c>
      <c r="AD24" s="6" t="s">
        <v>34</v>
      </c>
      <c r="AE24" s="7" t="s">
        <v>34</v>
      </c>
      <c r="AF24" s="7" t="s">
        <v>34</v>
      </c>
      <c r="AG24" s="226"/>
      <c r="AH24" s="226"/>
      <c r="AI24" s="226"/>
      <c r="AJ24" s="226"/>
      <c r="AK24" s="226"/>
      <c r="AQ24" s="4"/>
      <c r="AR24" s="4"/>
      <c r="AS24" s="4"/>
      <c r="AT24" s="4"/>
    </row>
    <row r="25" spans="1:47" ht="15" customHeight="1" thickBot="1" x14ac:dyDescent="0.3">
      <c r="A25" s="47" t="s">
        <v>558</v>
      </c>
      <c r="B25" s="96">
        <v>1</v>
      </c>
      <c r="C25" s="45">
        <v>0</v>
      </c>
      <c r="D25" s="5">
        <f t="shared" si="0"/>
        <v>1</v>
      </c>
      <c r="E25" s="215" t="s">
        <v>558</v>
      </c>
      <c r="F25" s="97">
        <v>5</v>
      </c>
      <c r="G25" s="210">
        <v>0</v>
      </c>
      <c r="H25" s="78">
        <f t="shared" si="1"/>
        <v>5</v>
      </c>
      <c r="I25" s="15" t="s">
        <v>36</v>
      </c>
      <c r="J25" s="7" t="s">
        <v>34</v>
      </c>
      <c r="K25" s="7" t="s">
        <v>34</v>
      </c>
      <c r="L25" s="7" t="s">
        <v>34</v>
      </c>
      <c r="M25" s="7" t="s">
        <v>34</v>
      </c>
      <c r="N25" s="7" t="s">
        <v>34</v>
      </c>
      <c r="O25" s="7" t="s">
        <v>34</v>
      </c>
      <c r="P25" s="7" t="s">
        <v>34</v>
      </c>
      <c r="Q25" s="7" t="s">
        <v>34</v>
      </c>
      <c r="R25" s="7" t="s">
        <v>34</v>
      </c>
      <c r="S25" s="221" t="s">
        <v>34</v>
      </c>
      <c r="T25" s="7" t="s">
        <v>34</v>
      </c>
      <c r="U25" s="7" t="s">
        <v>34</v>
      </c>
      <c r="V25" s="308"/>
      <c r="W25" s="308"/>
      <c r="X25" s="308"/>
      <c r="Y25" s="354"/>
      <c r="Z25" s="308"/>
      <c r="AA25" s="221" t="s">
        <v>34</v>
      </c>
      <c r="AB25" s="7" t="s">
        <v>34</v>
      </c>
      <c r="AC25" s="7" t="s">
        <v>34</v>
      </c>
      <c r="AD25" s="6">
        <v>6</v>
      </c>
      <c r="AE25" s="7">
        <v>14</v>
      </c>
      <c r="AF25" s="232">
        <f>SUM(AD25/AE25)*100</f>
        <v>42.857142857142854</v>
      </c>
      <c r="AG25" s="226"/>
      <c r="AH25" s="226"/>
      <c r="AI25" s="226"/>
      <c r="AJ25" s="226"/>
      <c r="AK25" s="226"/>
      <c r="AQ25" s="4"/>
      <c r="AR25" s="4"/>
    </row>
    <row r="26" spans="1:47" ht="15" customHeight="1" thickBot="1" x14ac:dyDescent="0.3">
      <c r="A26" s="47" t="s">
        <v>425</v>
      </c>
      <c r="B26" s="96">
        <v>0</v>
      </c>
      <c r="C26" s="45">
        <v>0</v>
      </c>
      <c r="D26" s="5">
        <f t="shared" si="0"/>
        <v>0</v>
      </c>
      <c r="E26" s="215" t="s">
        <v>425</v>
      </c>
      <c r="F26" s="97">
        <v>0</v>
      </c>
      <c r="G26" s="210">
        <v>0</v>
      </c>
      <c r="H26" s="78">
        <f t="shared" si="1"/>
        <v>0</v>
      </c>
      <c r="I26" s="540" t="s">
        <v>857</v>
      </c>
      <c r="J26" s="558"/>
      <c r="K26" s="558"/>
      <c r="L26" s="558"/>
      <c r="M26" s="558"/>
      <c r="N26" s="558"/>
      <c r="O26" s="558"/>
      <c r="P26" s="558"/>
      <c r="Q26" s="558"/>
      <c r="R26" s="558"/>
      <c r="S26" s="558"/>
      <c r="T26" s="558"/>
      <c r="U26" s="558"/>
      <c r="V26" s="542"/>
      <c r="W26" s="542"/>
      <c r="X26" s="542"/>
      <c r="AM26" s="4"/>
      <c r="AN26" s="4"/>
      <c r="AO26" s="4"/>
      <c r="AP26" s="4"/>
      <c r="AQ26" s="4"/>
    </row>
    <row r="27" spans="1:47" ht="15" customHeight="1" thickBot="1" x14ac:dyDescent="0.3">
      <c r="A27" s="47" t="s">
        <v>105</v>
      </c>
      <c r="B27" s="96">
        <v>0</v>
      </c>
      <c r="C27" s="45">
        <v>0</v>
      </c>
      <c r="D27" s="5">
        <f t="shared" si="0"/>
        <v>0</v>
      </c>
      <c r="E27" s="215" t="s">
        <v>105</v>
      </c>
      <c r="F27" s="97">
        <v>0</v>
      </c>
      <c r="G27" s="210">
        <v>0</v>
      </c>
      <c r="H27" s="78">
        <f t="shared" si="1"/>
        <v>0</v>
      </c>
      <c r="I27" s="537" t="s">
        <v>971</v>
      </c>
      <c r="J27" s="536"/>
      <c r="K27" s="536"/>
      <c r="L27" s="536"/>
      <c r="M27" s="536"/>
      <c r="N27" s="536"/>
      <c r="O27" s="536"/>
      <c r="P27" s="536"/>
      <c r="Q27" s="536"/>
      <c r="R27" s="536"/>
      <c r="S27" s="536"/>
      <c r="T27" s="536"/>
      <c r="U27" s="536"/>
      <c r="V27" s="536"/>
      <c r="W27" s="536"/>
      <c r="X27" s="536"/>
      <c r="Y27" s="536"/>
      <c r="AM27" s="4"/>
      <c r="AN27" s="4"/>
      <c r="AO27" s="4"/>
      <c r="AP27" s="4"/>
      <c r="AQ27" s="4"/>
    </row>
    <row r="28" spans="1:47" ht="15" customHeight="1" thickBot="1" x14ac:dyDescent="0.3">
      <c r="A28" s="47" t="s">
        <v>78</v>
      </c>
      <c r="B28" s="96">
        <v>2</v>
      </c>
      <c r="C28" s="45">
        <v>0</v>
      </c>
      <c r="D28" s="5">
        <f t="shared" si="0"/>
        <v>2</v>
      </c>
      <c r="E28" s="215" t="s">
        <v>78</v>
      </c>
      <c r="F28" s="97">
        <v>10</v>
      </c>
      <c r="G28" s="210">
        <v>0</v>
      </c>
      <c r="H28" s="78">
        <f t="shared" si="1"/>
        <v>10</v>
      </c>
      <c r="I28" s="537"/>
      <c r="J28" s="536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6"/>
      <c r="V28" s="536"/>
      <c r="W28" s="536"/>
      <c r="X28" s="536"/>
      <c r="AM28" s="4"/>
      <c r="AN28" s="4"/>
      <c r="AO28" s="4"/>
    </row>
    <row r="29" spans="1:47" ht="15" customHeight="1" thickBot="1" x14ac:dyDescent="0.3">
      <c r="A29" s="47" t="s">
        <v>172</v>
      </c>
      <c r="B29" s="96">
        <v>8</v>
      </c>
      <c r="C29" s="45">
        <v>3</v>
      </c>
      <c r="D29" s="5">
        <f t="shared" si="0"/>
        <v>11</v>
      </c>
      <c r="E29" s="215" t="s">
        <v>172</v>
      </c>
      <c r="F29" s="97">
        <v>40</v>
      </c>
      <c r="G29" s="210">
        <v>15</v>
      </c>
      <c r="H29" s="78">
        <f t="shared" si="1"/>
        <v>55</v>
      </c>
      <c r="AA29" t="s">
        <v>51</v>
      </c>
    </row>
    <row r="30" spans="1:47" ht="15" customHeight="1" thickBot="1" x14ac:dyDescent="0.3">
      <c r="A30" s="47" t="s">
        <v>6</v>
      </c>
      <c r="B30" s="96">
        <v>1</v>
      </c>
      <c r="C30" s="45">
        <v>1</v>
      </c>
      <c r="D30" s="5">
        <f t="shared" si="0"/>
        <v>2</v>
      </c>
      <c r="E30" s="215" t="s">
        <v>6</v>
      </c>
      <c r="F30" s="97">
        <v>7</v>
      </c>
      <c r="G30" s="210">
        <v>7</v>
      </c>
      <c r="H30" s="78">
        <f t="shared" si="1"/>
        <v>14</v>
      </c>
    </row>
    <row r="31" spans="1:47" ht="15" customHeight="1" thickBot="1" x14ac:dyDescent="0.3">
      <c r="A31" s="47" t="s">
        <v>716</v>
      </c>
      <c r="B31" s="96">
        <v>0</v>
      </c>
      <c r="C31" s="45">
        <v>0</v>
      </c>
      <c r="D31" s="5">
        <f t="shared" si="0"/>
        <v>0</v>
      </c>
      <c r="E31" s="215" t="s">
        <v>716</v>
      </c>
      <c r="F31" s="97">
        <v>0</v>
      </c>
      <c r="G31" s="210">
        <v>0</v>
      </c>
      <c r="H31" s="78">
        <f t="shared" si="1"/>
        <v>0</v>
      </c>
    </row>
    <row r="32" spans="1:47" ht="15" customHeight="1" thickBot="1" x14ac:dyDescent="0.3">
      <c r="A32" s="47" t="s">
        <v>106</v>
      </c>
      <c r="B32" s="96">
        <v>0</v>
      </c>
      <c r="C32" s="45">
        <v>0</v>
      </c>
      <c r="D32" s="5">
        <f t="shared" si="0"/>
        <v>0</v>
      </c>
      <c r="E32" s="215" t="s">
        <v>106</v>
      </c>
      <c r="F32" s="97">
        <v>0</v>
      </c>
      <c r="G32" s="210">
        <v>0</v>
      </c>
      <c r="H32" s="78">
        <f t="shared" si="1"/>
        <v>0</v>
      </c>
      <c r="AP32" s="4"/>
      <c r="AQ32" s="4"/>
    </row>
    <row r="33" spans="1:43" ht="15" customHeight="1" thickBot="1" x14ac:dyDescent="0.3">
      <c r="A33" s="47" t="s">
        <v>158</v>
      </c>
      <c r="B33" s="96">
        <v>3</v>
      </c>
      <c r="C33" s="45">
        <v>0</v>
      </c>
      <c r="D33" s="5">
        <f t="shared" si="0"/>
        <v>3</v>
      </c>
      <c r="E33" s="215" t="s">
        <v>158</v>
      </c>
      <c r="F33" s="97">
        <v>184</v>
      </c>
      <c r="G33" s="210">
        <v>27</v>
      </c>
      <c r="H33" s="78">
        <f t="shared" si="1"/>
        <v>211</v>
      </c>
      <c r="AM33" s="4"/>
      <c r="AN33" s="4"/>
      <c r="AO33" s="4"/>
    </row>
    <row r="34" spans="1:43" ht="15" customHeight="1" thickBot="1" x14ac:dyDescent="0.3">
      <c r="A34" s="47" t="s">
        <v>159</v>
      </c>
      <c r="B34" s="96">
        <v>21</v>
      </c>
      <c r="C34" s="45">
        <v>1</v>
      </c>
      <c r="D34" s="5">
        <f t="shared" si="0"/>
        <v>22</v>
      </c>
      <c r="E34" s="215" t="s">
        <v>159</v>
      </c>
      <c r="F34" s="97">
        <v>105</v>
      </c>
      <c r="G34" s="210">
        <v>5</v>
      </c>
      <c r="H34" s="78">
        <f t="shared" si="1"/>
        <v>110</v>
      </c>
    </row>
    <row r="35" spans="1:43" ht="15" customHeight="1" thickBot="1" x14ac:dyDescent="0.3">
      <c r="A35" s="47" t="s">
        <v>534</v>
      </c>
      <c r="B35" s="96">
        <v>2</v>
      </c>
      <c r="C35" s="45">
        <v>0</v>
      </c>
      <c r="D35" s="5">
        <f t="shared" si="0"/>
        <v>2</v>
      </c>
      <c r="E35" s="215" t="s">
        <v>534</v>
      </c>
      <c r="F35" s="97">
        <v>22</v>
      </c>
      <c r="G35" s="210">
        <v>2</v>
      </c>
      <c r="H35" s="78">
        <f t="shared" si="1"/>
        <v>24</v>
      </c>
    </row>
    <row r="36" spans="1:43" ht="15" customHeight="1" thickBot="1" x14ac:dyDescent="0.3">
      <c r="A36" s="47" t="s">
        <v>466</v>
      </c>
      <c r="B36" s="96">
        <v>6</v>
      </c>
      <c r="C36" s="45">
        <v>0</v>
      </c>
      <c r="D36" s="5">
        <f t="shared" si="0"/>
        <v>6</v>
      </c>
      <c r="E36" s="215" t="s">
        <v>466</v>
      </c>
      <c r="F36" s="97">
        <v>30</v>
      </c>
      <c r="G36" s="210">
        <v>0</v>
      </c>
      <c r="H36" s="78">
        <f t="shared" si="1"/>
        <v>30</v>
      </c>
      <c r="AP36" s="4"/>
      <c r="AQ36" s="4"/>
    </row>
    <row r="37" spans="1:43" ht="15" customHeight="1" thickBot="1" x14ac:dyDescent="0.3">
      <c r="A37" s="47" t="s">
        <v>36</v>
      </c>
      <c r="B37" s="96">
        <v>3</v>
      </c>
      <c r="C37" s="45">
        <v>0</v>
      </c>
      <c r="D37" s="5">
        <f t="shared" si="0"/>
        <v>3</v>
      </c>
      <c r="E37" s="215" t="s">
        <v>36</v>
      </c>
      <c r="F37" s="97">
        <v>15</v>
      </c>
      <c r="G37" s="210">
        <v>0</v>
      </c>
      <c r="H37" s="78">
        <f t="shared" si="1"/>
        <v>15</v>
      </c>
      <c r="AM37" s="4"/>
      <c r="AN37" s="4"/>
      <c r="AO37" s="4"/>
      <c r="AP37" s="4"/>
      <c r="AQ37" s="4"/>
    </row>
    <row r="38" spans="1:43" ht="15" customHeight="1" thickBot="1" x14ac:dyDescent="0.3">
      <c r="A38" s="47" t="s">
        <v>791</v>
      </c>
      <c r="B38" s="96">
        <v>0</v>
      </c>
      <c r="C38" s="45">
        <v>0</v>
      </c>
      <c r="D38" s="5">
        <f t="shared" si="0"/>
        <v>0</v>
      </c>
      <c r="E38" s="215" t="s">
        <v>791</v>
      </c>
      <c r="F38" s="97">
        <v>0</v>
      </c>
      <c r="G38" s="210">
        <v>0</v>
      </c>
      <c r="H38" s="78">
        <f t="shared" si="1"/>
        <v>0</v>
      </c>
      <c r="AM38" s="4"/>
      <c r="AN38" s="4"/>
      <c r="AO38" s="4"/>
    </row>
    <row r="39" spans="1:43" ht="15" customHeight="1" thickBot="1" x14ac:dyDescent="0.3">
      <c r="A39" s="47" t="s">
        <v>646</v>
      </c>
      <c r="B39" s="96">
        <v>0</v>
      </c>
      <c r="C39" s="45">
        <v>0</v>
      </c>
      <c r="D39" s="5">
        <f t="shared" si="0"/>
        <v>0</v>
      </c>
      <c r="E39" s="215" t="s">
        <v>646</v>
      </c>
      <c r="F39" s="97">
        <v>0</v>
      </c>
      <c r="G39" s="210">
        <v>0</v>
      </c>
      <c r="H39" s="78">
        <f t="shared" si="1"/>
        <v>0</v>
      </c>
      <c r="AP39" s="4"/>
      <c r="AQ39" s="4"/>
    </row>
    <row r="40" spans="1:43" ht="15" customHeight="1" thickBot="1" x14ac:dyDescent="0.3">
      <c r="A40" s="47" t="s">
        <v>77</v>
      </c>
      <c r="B40" s="96">
        <v>0</v>
      </c>
      <c r="C40" s="45">
        <v>0</v>
      </c>
      <c r="D40" s="5">
        <f t="shared" si="0"/>
        <v>0</v>
      </c>
      <c r="E40" s="215" t="s">
        <v>77</v>
      </c>
      <c r="F40" s="97">
        <v>0</v>
      </c>
      <c r="G40" s="210">
        <v>0</v>
      </c>
      <c r="H40" s="78">
        <f t="shared" si="1"/>
        <v>0</v>
      </c>
      <c r="AM40" s="4"/>
      <c r="AN40" s="4"/>
      <c r="AO40" s="4"/>
      <c r="AP40" s="4"/>
      <c r="AQ40" s="4"/>
    </row>
    <row r="41" spans="1:43" ht="15" customHeight="1" thickBot="1" x14ac:dyDescent="0.3">
      <c r="A41" s="47" t="s">
        <v>80</v>
      </c>
      <c r="B41" s="96">
        <v>5</v>
      </c>
      <c r="C41" s="45">
        <v>0</v>
      </c>
      <c r="D41" s="5">
        <f t="shared" si="0"/>
        <v>5</v>
      </c>
      <c r="E41" s="215" t="s">
        <v>80</v>
      </c>
      <c r="F41" s="97">
        <v>25</v>
      </c>
      <c r="G41" s="210">
        <v>0</v>
      </c>
      <c r="H41" s="78">
        <f t="shared" si="1"/>
        <v>25</v>
      </c>
      <c r="AM41" s="4"/>
      <c r="AN41" s="4"/>
      <c r="AO41" s="4"/>
    </row>
    <row r="42" spans="1:43" ht="15" customHeight="1" thickBot="1" x14ac:dyDescent="0.3">
      <c r="A42" s="47" t="s">
        <v>624</v>
      </c>
      <c r="B42" s="96">
        <v>5</v>
      </c>
      <c r="C42" s="45">
        <v>0</v>
      </c>
      <c r="D42" s="5">
        <f t="shared" si="0"/>
        <v>5</v>
      </c>
      <c r="E42" s="215" t="s">
        <v>624</v>
      </c>
      <c r="F42" s="97">
        <v>25</v>
      </c>
      <c r="G42" s="210">
        <v>0</v>
      </c>
      <c r="H42" s="78">
        <f t="shared" si="1"/>
        <v>25</v>
      </c>
    </row>
    <row r="43" spans="1:43" ht="15" customHeight="1" thickBot="1" x14ac:dyDescent="0.3">
      <c r="A43" s="47" t="s">
        <v>861</v>
      </c>
      <c r="B43" s="96">
        <v>0</v>
      </c>
      <c r="C43" s="45">
        <v>0</v>
      </c>
      <c r="D43" s="5">
        <f t="shared" si="0"/>
        <v>0</v>
      </c>
      <c r="E43" s="215" t="s">
        <v>861</v>
      </c>
      <c r="F43" s="97">
        <v>4</v>
      </c>
      <c r="G43" s="210">
        <v>0</v>
      </c>
      <c r="H43" s="78">
        <f t="shared" si="1"/>
        <v>4</v>
      </c>
    </row>
    <row r="44" spans="1:43" ht="15" customHeight="1" thickBot="1" x14ac:dyDescent="0.3">
      <c r="A44" s="47" t="s">
        <v>35</v>
      </c>
      <c r="B44" s="96">
        <v>3</v>
      </c>
      <c r="C44" s="45">
        <v>0</v>
      </c>
      <c r="D44" s="5">
        <f t="shared" si="0"/>
        <v>3</v>
      </c>
      <c r="E44" s="215" t="s">
        <v>35</v>
      </c>
      <c r="F44" s="97">
        <v>15</v>
      </c>
      <c r="G44" s="210">
        <v>0</v>
      </c>
      <c r="H44" s="78">
        <f t="shared" si="1"/>
        <v>15</v>
      </c>
    </row>
    <row r="45" spans="1:43" ht="15" customHeight="1" thickBot="1" x14ac:dyDescent="0.3">
      <c r="A45" s="47" t="s">
        <v>7</v>
      </c>
      <c r="B45" s="96">
        <v>2</v>
      </c>
      <c r="C45" s="45">
        <v>0</v>
      </c>
      <c r="D45" s="5">
        <f t="shared" si="0"/>
        <v>2</v>
      </c>
      <c r="E45" s="215" t="s">
        <v>7</v>
      </c>
      <c r="F45" s="97">
        <v>10</v>
      </c>
      <c r="G45" s="210">
        <v>0</v>
      </c>
      <c r="H45" s="78">
        <f t="shared" si="1"/>
        <v>10</v>
      </c>
    </row>
    <row r="46" spans="1:43" ht="15" customHeight="1" thickBot="1" x14ac:dyDescent="0.3">
      <c r="A46" s="47" t="s">
        <v>779</v>
      </c>
      <c r="B46" s="96">
        <v>0</v>
      </c>
      <c r="C46" s="45">
        <v>0</v>
      </c>
      <c r="D46" s="5">
        <f t="shared" si="0"/>
        <v>0</v>
      </c>
      <c r="E46" s="215" t="s">
        <v>779</v>
      </c>
      <c r="F46" s="97">
        <v>0</v>
      </c>
      <c r="G46" s="210">
        <v>0</v>
      </c>
      <c r="H46" s="78">
        <f t="shared" si="1"/>
        <v>0</v>
      </c>
    </row>
    <row r="47" spans="1:43" ht="15" customHeight="1" thickBot="1" x14ac:dyDescent="0.3">
      <c r="A47" s="47" t="s">
        <v>57</v>
      </c>
      <c r="B47" s="96">
        <v>1</v>
      </c>
      <c r="C47" s="45">
        <v>2</v>
      </c>
      <c r="D47" s="5">
        <f t="shared" si="0"/>
        <v>3</v>
      </c>
      <c r="E47" s="215" t="s">
        <v>57</v>
      </c>
      <c r="F47" s="97">
        <v>5</v>
      </c>
      <c r="G47" s="210">
        <v>10</v>
      </c>
      <c r="H47" s="78">
        <f t="shared" si="1"/>
        <v>15</v>
      </c>
    </row>
    <row r="48" spans="1:43" ht="15" customHeight="1" thickBot="1" x14ac:dyDescent="0.3">
      <c r="A48" s="47" t="s">
        <v>604</v>
      </c>
      <c r="B48" s="96">
        <v>0</v>
      </c>
      <c r="C48" s="45">
        <v>0</v>
      </c>
      <c r="D48" s="5">
        <f t="shared" si="0"/>
        <v>0</v>
      </c>
      <c r="E48" s="215" t="s">
        <v>604</v>
      </c>
      <c r="F48" s="97">
        <v>0</v>
      </c>
      <c r="G48" s="210">
        <v>0</v>
      </c>
      <c r="H48" s="78">
        <f t="shared" si="1"/>
        <v>0</v>
      </c>
    </row>
    <row r="49" spans="1:8" ht="15" customHeight="1" thickBot="1" x14ac:dyDescent="0.3">
      <c r="A49" s="47" t="s">
        <v>68</v>
      </c>
      <c r="B49" s="96">
        <v>2</v>
      </c>
      <c r="C49" s="45">
        <v>1</v>
      </c>
      <c r="D49" s="5">
        <f t="shared" si="0"/>
        <v>3</v>
      </c>
      <c r="E49" s="215" t="s">
        <v>68</v>
      </c>
      <c r="F49" s="97">
        <v>10</v>
      </c>
      <c r="G49" s="210">
        <v>5</v>
      </c>
      <c r="H49" s="78">
        <f t="shared" si="1"/>
        <v>15</v>
      </c>
    </row>
    <row r="50" spans="1:8" ht="15" customHeight="1" thickBot="1" x14ac:dyDescent="0.3">
      <c r="A50" s="47" t="s">
        <v>3</v>
      </c>
      <c r="B50" s="96">
        <f>SUM(B3:B49)</f>
        <v>103</v>
      </c>
      <c r="C50" s="45">
        <f>SUM(C3:C49)</f>
        <v>16</v>
      </c>
      <c r="D50" s="5">
        <f>SUM(D3:D49)</f>
        <v>119</v>
      </c>
      <c r="E50" s="215" t="s">
        <v>3</v>
      </c>
      <c r="F50" s="97">
        <f>SUM(F3:F49)</f>
        <v>702</v>
      </c>
      <c r="G50" s="210">
        <f>SUM(G3:G49)</f>
        <v>111</v>
      </c>
      <c r="H50" s="78">
        <f>SUM(H3:H49)</f>
        <v>813</v>
      </c>
    </row>
    <row r="51" spans="1:8" ht="15" customHeight="1" x14ac:dyDescent="0.25">
      <c r="B51" s="182"/>
      <c r="E51" s="42"/>
      <c r="F51" s="183"/>
      <c r="G51" s="43"/>
      <c r="H51" s="44"/>
    </row>
    <row r="52" spans="1:8" ht="15" customHeight="1" thickBot="1" x14ac:dyDescent="0.3">
      <c r="A52" t="s">
        <v>30</v>
      </c>
      <c r="B52" s="182"/>
      <c r="E52" s="89"/>
      <c r="F52" s="184"/>
      <c r="G52" s="89"/>
      <c r="H52" s="89"/>
    </row>
    <row r="53" spans="1:8" ht="15" customHeight="1" thickBot="1" x14ac:dyDescent="0.3">
      <c r="A53" s="139" t="s">
        <v>0</v>
      </c>
      <c r="B53" s="154" t="s">
        <v>815</v>
      </c>
      <c r="C53" s="140" t="s">
        <v>72</v>
      </c>
      <c r="D53" s="141" t="s">
        <v>1</v>
      </c>
      <c r="E53" s="214" t="s">
        <v>2</v>
      </c>
      <c r="F53" s="147" t="s">
        <v>815</v>
      </c>
      <c r="G53" s="212" t="s">
        <v>72</v>
      </c>
      <c r="H53" s="148" t="s">
        <v>1</v>
      </c>
    </row>
    <row r="54" spans="1:8" ht="15.75" thickBot="1" x14ac:dyDescent="0.3">
      <c r="A54" s="47" t="s">
        <v>159</v>
      </c>
      <c r="B54" s="96">
        <v>21</v>
      </c>
      <c r="C54" s="45">
        <v>1</v>
      </c>
      <c r="D54" s="5">
        <f t="shared" ref="D54:D100" si="15">SUM(B54:C54)</f>
        <v>22</v>
      </c>
      <c r="E54" s="215" t="s">
        <v>158</v>
      </c>
      <c r="F54" s="97">
        <v>184</v>
      </c>
      <c r="G54" s="210">
        <v>27</v>
      </c>
      <c r="H54" s="78">
        <f t="shared" ref="H54:H100" si="16">SUM(F54:G54)</f>
        <v>211</v>
      </c>
    </row>
    <row r="55" spans="1:8" ht="15.75" thickBot="1" x14ac:dyDescent="0.3">
      <c r="A55" s="47" t="s">
        <v>172</v>
      </c>
      <c r="B55" s="96">
        <v>8</v>
      </c>
      <c r="C55" s="45">
        <v>3</v>
      </c>
      <c r="D55" s="5">
        <f t="shared" si="15"/>
        <v>11</v>
      </c>
      <c r="E55" s="215" t="s">
        <v>159</v>
      </c>
      <c r="F55" s="97">
        <v>105</v>
      </c>
      <c r="G55" s="210">
        <v>5</v>
      </c>
      <c r="H55" s="78">
        <f t="shared" si="16"/>
        <v>110</v>
      </c>
    </row>
    <row r="56" spans="1:8" ht="15.75" thickBot="1" x14ac:dyDescent="0.3">
      <c r="A56" s="47" t="s">
        <v>42</v>
      </c>
      <c r="B56" s="96">
        <v>6</v>
      </c>
      <c r="C56" s="45">
        <v>2</v>
      </c>
      <c r="D56" s="5">
        <f t="shared" si="15"/>
        <v>8</v>
      </c>
      <c r="E56" s="215" t="s">
        <v>172</v>
      </c>
      <c r="F56" s="97">
        <v>40</v>
      </c>
      <c r="G56" s="210">
        <v>15</v>
      </c>
      <c r="H56" s="78">
        <f t="shared" si="16"/>
        <v>55</v>
      </c>
    </row>
    <row r="57" spans="1:8" ht="15.75" thickBot="1" x14ac:dyDescent="0.3">
      <c r="A57" s="47" t="s">
        <v>141</v>
      </c>
      <c r="B57" s="96">
        <v>6</v>
      </c>
      <c r="C57" s="45">
        <v>1</v>
      </c>
      <c r="D57" s="5">
        <f t="shared" si="15"/>
        <v>7</v>
      </c>
      <c r="E57" s="215" t="s">
        <v>42</v>
      </c>
      <c r="F57" s="97">
        <v>30</v>
      </c>
      <c r="G57" s="210">
        <v>10</v>
      </c>
      <c r="H57" s="78">
        <f t="shared" si="16"/>
        <v>40</v>
      </c>
    </row>
    <row r="58" spans="1:8" ht="15.75" thickBot="1" x14ac:dyDescent="0.3">
      <c r="A58" s="47" t="s">
        <v>678</v>
      </c>
      <c r="B58" s="96">
        <v>5</v>
      </c>
      <c r="C58" s="45">
        <v>1</v>
      </c>
      <c r="D58" s="5">
        <f t="shared" si="15"/>
        <v>6</v>
      </c>
      <c r="E58" s="215" t="s">
        <v>141</v>
      </c>
      <c r="F58" s="97">
        <v>30</v>
      </c>
      <c r="G58" s="210">
        <v>5</v>
      </c>
      <c r="H58" s="78">
        <f t="shared" si="16"/>
        <v>35</v>
      </c>
    </row>
    <row r="59" spans="1:8" ht="15.75" thickBot="1" x14ac:dyDescent="0.3">
      <c r="A59" s="47" t="s">
        <v>466</v>
      </c>
      <c r="B59" s="96">
        <v>6</v>
      </c>
      <c r="C59" s="45">
        <v>0</v>
      </c>
      <c r="D59" s="5">
        <f t="shared" si="15"/>
        <v>6</v>
      </c>
      <c r="E59" s="215" t="s">
        <v>678</v>
      </c>
      <c r="F59" s="97">
        <v>25</v>
      </c>
      <c r="G59" s="210">
        <v>5</v>
      </c>
      <c r="H59" s="78">
        <f t="shared" si="16"/>
        <v>30</v>
      </c>
    </row>
    <row r="60" spans="1:8" ht="15.75" thickBot="1" x14ac:dyDescent="0.3">
      <c r="A60" s="47" t="s">
        <v>770</v>
      </c>
      <c r="B60" s="96">
        <v>4</v>
      </c>
      <c r="C60" s="45">
        <v>1</v>
      </c>
      <c r="D60" s="5">
        <f t="shared" si="15"/>
        <v>5</v>
      </c>
      <c r="E60" s="215" t="s">
        <v>466</v>
      </c>
      <c r="F60" s="97">
        <v>30</v>
      </c>
      <c r="G60" s="210">
        <v>0</v>
      </c>
      <c r="H60" s="78">
        <f t="shared" si="16"/>
        <v>30</v>
      </c>
    </row>
    <row r="61" spans="1:8" ht="15.75" thickBot="1" x14ac:dyDescent="0.3">
      <c r="A61" s="47" t="s">
        <v>70</v>
      </c>
      <c r="B61" s="96">
        <v>2</v>
      </c>
      <c r="C61" s="45">
        <v>3</v>
      </c>
      <c r="D61" s="5">
        <f t="shared" si="15"/>
        <v>5</v>
      </c>
      <c r="E61" s="215" t="s">
        <v>770</v>
      </c>
      <c r="F61" s="97">
        <v>20</v>
      </c>
      <c r="G61" s="210">
        <v>5</v>
      </c>
      <c r="H61" s="78">
        <f t="shared" si="16"/>
        <v>25</v>
      </c>
    </row>
    <row r="62" spans="1:8" ht="15.75" thickBot="1" x14ac:dyDescent="0.3">
      <c r="A62" s="47" t="s">
        <v>80</v>
      </c>
      <c r="B62" s="96">
        <v>5</v>
      </c>
      <c r="C62" s="45">
        <v>0</v>
      </c>
      <c r="D62" s="5">
        <f t="shared" si="15"/>
        <v>5</v>
      </c>
      <c r="E62" s="215" t="s">
        <v>70</v>
      </c>
      <c r="F62" s="97">
        <v>10</v>
      </c>
      <c r="G62" s="210">
        <v>15</v>
      </c>
      <c r="H62" s="78">
        <f t="shared" si="16"/>
        <v>25</v>
      </c>
    </row>
    <row r="63" spans="1:8" ht="15.75" thickBot="1" x14ac:dyDescent="0.3">
      <c r="A63" s="47" t="s">
        <v>624</v>
      </c>
      <c r="B63" s="96">
        <v>5</v>
      </c>
      <c r="C63" s="45">
        <v>0</v>
      </c>
      <c r="D63" s="5">
        <f t="shared" si="15"/>
        <v>5</v>
      </c>
      <c r="E63" s="215" t="s">
        <v>80</v>
      </c>
      <c r="F63" s="97">
        <v>25</v>
      </c>
      <c r="G63" s="210">
        <v>0</v>
      </c>
      <c r="H63" s="78">
        <f t="shared" si="16"/>
        <v>25</v>
      </c>
    </row>
    <row r="64" spans="1:8" ht="15.75" thickBot="1" x14ac:dyDescent="0.3">
      <c r="A64" s="47" t="s">
        <v>281</v>
      </c>
      <c r="B64" s="96">
        <v>4</v>
      </c>
      <c r="C64" s="45">
        <v>0</v>
      </c>
      <c r="D64" s="5">
        <f t="shared" si="15"/>
        <v>4</v>
      </c>
      <c r="E64" s="215" t="s">
        <v>624</v>
      </c>
      <c r="F64" s="97">
        <v>25</v>
      </c>
      <c r="G64" s="210">
        <v>0</v>
      </c>
      <c r="H64" s="78">
        <f t="shared" si="16"/>
        <v>25</v>
      </c>
    </row>
    <row r="65" spans="1:8" ht="15.75" thickBot="1" x14ac:dyDescent="0.3">
      <c r="A65" s="47" t="s">
        <v>158</v>
      </c>
      <c r="B65" s="96">
        <v>3</v>
      </c>
      <c r="C65" s="45">
        <v>0</v>
      </c>
      <c r="D65" s="5">
        <f t="shared" si="15"/>
        <v>3</v>
      </c>
      <c r="E65" s="215" t="s">
        <v>534</v>
      </c>
      <c r="F65" s="97">
        <v>22</v>
      </c>
      <c r="G65" s="210">
        <v>2</v>
      </c>
      <c r="H65" s="78">
        <f t="shared" si="16"/>
        <v>24</v>
      </c>
    </row>
    <row r="66" spans="1:8" ht="15.75" thickBot="1" x14ac:dyDescent="0.3">
      <c r="A66" s="47" t="s">
        <v>36</v>
      </c>
      <c r="B66" s="96">
        <v>3</v>
      </c>
      <c r="C66" s="45">
        <v>0</v>
      </c>
      <c r="D66" s="5">
        <f t="shared" si="15"/>
        <v>3</v>
      </c>
      <c r="E66" s="215" t="s">
        <v>281</v>
      </c>
      <c r="F66" s="97">
        <v>20</v>
      </c>
      <c r="G66" s="210">
        <v>0</v>
      </c>
      <c r="H66" s="78">
        <f t="shared" si="16"/>
        <v>20</v>
      </c>
    </row>
    <row r="67" spans="1:8" ht="15.75" thickBot="1" x14ac:dyDescent="0.3">
      <c r="A67" s="47" t="s">
        <v>35</v>
      </c>
      <c r="B67" s="96">
        <v>3</v>
      </c>
      <c r="C67" s="45">
        <v>0</v>
      </c>
      <c r="D67" s="5">
        <f t="shared" si="15"/>
        <v>3</v>
      </c>
      <c r="E67" s="215" t="s">
        <v>36</v>
      </c>
      <c r="F67" s="97">
        <v>15</v>
      </c>
      <c r="G67" s="210">
        <v>0</v>
      </c>
      <c r="H67" s="78">
        <f t="shared" si="16"/>
        <v>15</v>
      </c>
    </row>
    <row r="68" spans="1:8" ht="15.75" thickBot="1" x14ac:dyDescent="0.3">
      <c r="A68" s="47" t="s">
        <v>57</v>
      </c>
      <c r="B68" s="96">
        <v>1</v>
      </c>
      <c r="C68" s="45">
        <v>2</v>
      </c>
      <c r="D68" s="5">
        <f t="shared" si="15"/>
        <v>3</v>
      </c>
      <c r="E68" s="215" t="s">
        <v>35</v>
      </c>
      <c r="F68" s="97">
        <v>15</v>
      </c>
      <c r="G68" s="210">
        <v>0</v>
      </c>
      <c r="H68" s="78">
        <f t="shared" si="16"/>
        <v>15</v>
      </c>
    </row>
    <row r="69" spans="1:8" ht="15.75" thickBot="1" x14ac:dyDescent="0.3">
      <c r="A69" s="47" t="s">
        <v>68</v>
      </c>
      <c r="B69" s="96">
        <v>2</v>
      </c>
      <c r="C69" s="45">
        <v>1</v>
      </c>
      <c r="D69" s="5">
        <f t="shared" si="15"/>
        <v>3</v>
      </c>
      <c r="E69" s="215" t="s">
        <v>57</v>
      </c>
      <c r="F69" s="97">
        <v>5</v>
      </c>
      <c r="G69" s="210">
        <v>10</v>
      </c>
      <c r="H69" s="78">
        <f t="shared" si="16"/>
        <v>15</v>
      </c>
    </row>
    <row r="70" spans="1:8" ht="15.75" thickBot="1" x14ac:dyDescent="0.3">
      <c r="A70" s="47" t="s">
        <v>778</v>
      </c>
      <c r="B70" s="96">
        <v>2</v>
      </c>
      <c r="C70" s="45">
        <v>0</v>
      </c>
      <c r="D70" s="5">
        <f t="shared" si="15"/>
        <v>2</v>
      </c>
      <c r="E70" s="215" t="s">
        <v>68</v>
      </c>
      <c r="F70" s="97">
        <v>10</v>
      </c>
      <c r="G70" s="210">
        <v>5</v>
      </c>
      <c r="H70" s="78">
        <f t="shared" si="16"/>
        <v>15</v>
      </c>
    </row>
    <row r="71" spans="1:8" ht="15.75" thickBot="1" x14ac:dyDescent="0.3">
      <c r="A71" s="47" t="s">
        <v>75</v>
      </c>
      <c r="B71" s="96">
        <v>2</v>
      </c>
      <c r="C71" s="45">
        <v>0</v>
      </c>
      <c r="D71" s="5">
        <f t="shared" si="15"/>
        <v>2</v>
      </c>
      <c r="E71" s="215" t="s">
        <v>6</v>
      </c>
      <c r="F71" s="97">
        <v>7</v>
      </c>
      <c r="G71" s="210">
        <v>7</v>
      </c>
      <c r="H71" s="78">
        <f t="shared" si="16"/>
        <v>14</v>
      </c>
    </row>
    <row r="72" spans="1:8" ht="15.75" thickBot="1" x14ac:dyDescent="0.3">
      <c r="A72" s="47" t="s">
        <v>78</v>
      </c>
      <c r="B72" s="96">
        <v>2</v>
      </c>
      <c r="C72" s="45">
        <v>0</v>
      </c>
      <c r="D72" s="5">
        <f t="shared" si="15"/>
        <v>2</v>
      </c>
      <c r="E72" s="216" t="s">
        <v>778</v>
      </c>
      <c r="F72" s="97">
        <v>10</v>
      </c>
      <c r="G72" s="210">
        <v>0</v>
      </c>
      <c r="H72" s="78">
        <f t="shared" si="16"/>
        <v>10</v>
      </c>
    </row>
    <row r="73" spans="1:8" ht="15.75" thickBot="1" x14ac:dyDescent="0.3">
      <c r="A73" s="47" t="s">
        <v>6</v>
      </c>
      <c r="B73" s="96">
        <v>1</v>
      </c>
      <c r="C73" s="45">
        <v>1</v>
      </c>
      <c r="D73" s="5">
        <f t="shared" si="15"/>
        <v>2</v>
      </c>
      <c r="E73" s="215" t="s">
        <v>75</v>
      </c>
      <c r="F73" s="97">
        <v>10</v>
      </c>
      <c r="G73" s="210">
        <v>0</v>
      </c>
      <c r="H73" s="78">
        <f t="shared" si="16"/>
        <v>10</v>
      </c>
    </row>
    <row r="74" spans="1:8" ht="15.75" thickBot="1" x14ac:dyDescent="0.3">
      <c r="A74" s="47" t="s">
        <v>534</v>
      </c>
      <c r="B74" s="96">
        <v>2</v>
      </c>
      <c r="C74" s="45">
        <v>0</v>
      </c>
      <c r="D74" s="5">
        <f t="shared" si="15"/>
        <v>2</v>
      </c>
      <c r="E74" s="215" t="s">
        <v>78</v>
      </c>
      <c r="F74" s="97">
        <v>10</v>
      </c>
      <c r="G74" s="210">
        <v>0</v>
      </c>
      <c r="H74" s="78">
        <f t="shared" si="16"/>
        <v>10</v>
      </c>
    </row>
    <row r="75" spans="1:8" ht="15.75" thickBot="1" x14ac:dyDescent="0.3">
      <c r="A75" s="47" t="s">
        <v>7</v>
      </c>
      <c r="B75" s="96">
        <v>2</v>
      </c>
      <c r="C75" s="45">
        <v>0</v>
      </c>
      <c r="D75" s="5">
        <f t="shared" si="15"/>
        <v>2</v>
      </c>
      <c r="E75" s="215" t="s">
        <v>7</v>
      </c>
      <c r="F75" s="97">
        <v>10</v>
      </c>
      <c r="G75" s="210">
        <v>0</v>
      </c>
      <c r="H75" s="78">
        <f t="shared" si="16"/>
        <v>10</v>
      </c>
    </row>
    <row r="76" spans="1:8" ht="15.75" thickBot="1" x14ac:dyDescent="0.3">
      <c r="A76" s="47" t="s">
        <v>56</v>
      </c>
      <c r="B76" s="96">
        <v>1</v>
      </c>
      <c r="C76" s="45">
        <v>0</v>
      </c>
      <c r="D76" s="5">
        <f t="shared" si="15"/>
        <v>1</v>
      </c>
      <c r="E76" s="215" t="s">
        <v>56</v>
      </c>
      <c r="F76" s="97">
        <v>5</v>
      </c>
      <c r="G76" s="210">
        <v>0</v>
      </c>
      <c r="H76" s="78">
        <f t="shared" si="16"/>
        <v>5</v>
      </c>
    </row>
    <row r="77" spans="1:8" ht="15.75" thickBot="1" x14ac:dyDescent="0.3">
      <c r="A77" s="47" t="s">
        <v>542</v>
      </c>
      <c r="B77" s="96">
        <v>1</v>
      </c>
      <c r="C77" s="45">
        <v>0</v>
      </c>
      <c r="D77" s="5">
        <f t="shared" si="15"/>
        <v>1</v>
      </c>
      <c r="E77" s="215" t="s">
        <v>542</v>
      </c>
      <c r="F77" s="97">
        <v>5</v>
      </c>
      <c r="G77" s="210">
        <v>0</v>
      </c>
      <c r="H77" s="78">
        <f t="shared" si="16"/>
        <v>5</v>
      </c>
    </row>
    <row r="78" spans="1:8" ht="15.75" thickBot="1" x14ac:dyDescent="0.3">
      <c r="A78" s="47" t="s">
        <v>76</v>
      </c>
      <c r="B78" s="96">
        <v>1</v>
      </c>
      <c r="C78" s="45">
        <v>0</v>
      </c>
      <c r="D78" s="5">
        <f t="shared" si="15"/>
        <v>1</v>
      </c>
      <c r="E78" s="215" t="s">
        <v>76</v>
      </c>
      <c r="F78" s="97">
        <v>5</v>
      </c>
      <c r="G78" s="210">
        <v>0</v>
      </c>
      <c r="H78" s="78">
        <f t="shared" si="16"/>
        <v>5</v>
      </c>
    </row>
    <row r="79" spans="1:8" ht="15.75" thickBot="1" x14ac:dyDescent="0.3">
      <c r="A79" s="47" t="s">
        <v>749</v>
      </c>
      <c r="B79" s="96">
        <v>1</v>
      </c>
      <c r="C79" s="45">
        <v>0</v>
      </c>
      <c r="D79" s="5">
        <f t="shared" si="15"/>
        <v>1</v>
      </c>
      <c r="E79" s="215" t="s">
        <v>749</v>
      </c>
      <c r="F79" s="97">
        <v>5</v>
      </c>
      <c r="G79" s="210">
        <v>0</v>
      </c>
      <c r="H79" s="78">
        <f t="shared" si="16"/>
        <v>5</v>
      </c>
    </row>
    <row r="80" spans="1:8" ht="15.75" thickBot="1" x14ac:dyDescent="0.3">
      <c r="A80" s="47" t="s">
        <v>89</v>
      </c>
      <c r="B80" s="96">
        <v>1</v>
      </c>
      <c r="C80" s="45">
        <v>0</v>
      </c>
      <c r="D80" s="5">
        <f t="shared" si="15"/>
        <v>1</v>
      </c>
      <c r="E80" s="215" t="s">
        <v>89</v>
      </c>
      <c r="F80" s="97">
        <v>5</v>
      </c>
      <c r="G80" s="210">
        <v>0</v>
      </c>
      <c r="H80" s="78">
        <f t="shared" si="16"/>
        <v>5</v>
      </c>
    </row>
    <row r="81" spans="1:8" ht="15.75" thickBot="1" x14ac:dyDescent="0.3">
      <c r="A81" s="47" t="s">
        <v>781</v>
      </c>
      <c r="B81" s="96">
        <v>1</v>
      </c>
      <c r="C81" s="45">
        <v>0</v>
      </c>
      <c r="D81" s="5">
        <f t="shared" si="15"/>
        <v>1</v>
      </c>
      <c r="E81" s="215" t="s">
        <v>781</v>
      </c>
      <c r="F81" s="97">
        <v>5</v>
      </c>
      <c r="G81" s="210">
        <v>0</v>
      </c>
      <c r="H81" s="78">
        <f t="shared" si="16"/>
        <v>5</v>
      </c>
    </row>
    <row r="82" spans="1:8" ht="15.75" thickBot="1" x14ac:dyDescent="0.3">
      <c r="A82" s="47" t="s">
        <v>700</v>
      </c>
      <c r="B82" s="96">
        <v>1</v>
      </c>
      <c r="C82" s="45">
        <v>0</v>
      </c>
      <c r="D82" s="5">
        <f t="shared" si="15"/>
        <v>1</v>
      </c>
      <c r="E82" s="215" t="s">
        <v>700</v>
      </c>
      <c r="F82" s="97">
        <v>5</v>
      </c>
      <c r="G82" s="210">
        <v>0</v>
      </c>
      <c r="H82" s="78">
        <f t="shared" si="16"/>
        <v>5</v>
      </c>
    </row>
    <row r="83" spans="1:8" ht="15.75" thickBot="1" x14ac:dyDescent="0.3">
      <c r="A83" s="47" t="s">
        <v>558</v>
      </c>
      <c r="B83" s="96">
        <v>1</v>
      </c>
      <c r="C83" s="45">
        <v>0</v>
      </c>
      <c r="D83" s="5">
        <f t="shared" si="15"/>
        <v>1</v>
      </c>
      <c r="E83" s="215" t="s">
        <v>558</v>
      </c>
      <c r="F83" s="97">
        <v>5</v>
      </c>
      <c r="G83" s="210">
        <v>0</v>
      </c>
      <c r="H83" s="78">
        <f t="shared" si="16"/>
        <v>5</v>
      </c>
    </row>
    <row r="84" spans="1:8" ht="15.75" thickBot="1" x14ac:dyDescent="0.3">
      <c r="A84" s="47" t="s">
        <v>123</v>
      </c>
      <c r="B84" s="96">
        <v>0</v>
      </c>
      <c r="C84" s="45">
        <v>0</v>
      </c>
      <c r="D84" s="5">
        <f t="shared" si="15"/>
        <v>0</v>
      </c>
      <c r="E84" s="215" t="s">
        <v>861</v>
      </c>
      <c r="F84" s="97">
        <v>4</v>
      </c>
      <c r="G84" s="210">
        <v>0</v>
      </c>
      <c r="H84" s="78">
        <f t="shared" si="16"/>
        <v>4</v>
      </c>
    </row>
    <row r="85" spans="1:8" ht="15.75" thickBot="1" x14ac:dyDescent="0.3">
      <c r="A85" s="47" t="s">
        <v>104</v>
      </c>
      <c r="B85" s="96">
        <v>0</v>
      </c>
      <c r="C85" s="45">
        <v>0</v>
      </c>
      <c r="D85" s="5">
        <f t="shared" si="15"/>
        <v>0</v>
      </c>
      <c r="E85" s="215" t="s">
        <v>123</v>
      </c>
      <c r="F85" s="97">
        <v>0</v>
      </c>
      <c r="G85" s="210">
        <v>0</v>
      </c>
      <c r="H85" s="78">
        <f t="shared" si="16"/>
        <v>0</v>
      </c>
    </row>
    <row r="86" spans="1:8" ht="15.75" thickBot="1" x14ac:dyDescent="0.3">
      <c r="A86" s="47" t="s">
        <v>602</v>
      </c>
      <c r="B86" s="96">
        <v>0</v>
      </c>
      <c r="C86" s="45">
        <v>0</v>
      </c>
      <c r="D86" s="5">
        <f t="shared" si="15"/>
        <v>0</v>
      </c>
      <c r="E86" s="215" t="s">
        <v>104</v>
      </c>
      <c r="F86" s="97">
        <v>0</v>
      </c>
      <c r="G86" s="210">
        <v>0</v>
      </c>
      <c r="H86" s="78">
        <f t="shared" si="16"/>
        <v>0</v>
      </c>
    </row>
    <row r="87" spans="1:8" ht="15.75" thickBot="1" x14ac:dyDescent="0.3">
      <c r="A87" s="47" t="s">
        <v>859</v>
      </c>
      <c r="B87" s="96">
        <v>0</v>
      </c>
      <c r="C87" s="45">
        <v>0</v>
      </c>
      <c r="D87" s="5">
        <f t="shared" si="15"/>
        <v>0</v>
      </c>
      <c r="E87" s="215" t="s">
        <v>602</v>
      </c>
      <c r="F87" s="97">
        <v>0</v>
      </c>
      <c r="G87" s="210">
        <v>0</v>
      </c>
      <c r="H87" s="78">
        <f t="shared" si="16"/>
        <v>0</v>
      </c>
    </row>
    <row r="88" spans="1:8" ht="15.75" thickBot="1" x14ac:dyDescent="0.3">
      <c r="A88" s="47" t="s">
        <v>15</v>
      </c>
      <c r="B88" s="96">
        <v>0</v>
      </c>
      <c r="C88" s="45">
        <v>0</v>
      </c>
      <c r="D88" s="5">
        <f t="shared" si="15"/>
        <v>0</v>
      </c>
      <c r="E88" s="215" t="s">
        <v>859</v>
      </c>
      <c r="F88" s="97">
        <v>0</v>
      </c>
      <c r="G88" s="210">
        <v>0</v>
      </c>
      <c r="H88" s="78">
        <f t="shared" si="16"/>
        <v>0</v>
      </c>
    </row>
    <row r="89" spans="1:8" ht="15.75" thickBot="1" x14ac:dyDescent="0.3">
      <c r="A89" s="47" t="s">
        <v>605</v>
      </c>
      <c r="B89" s="96">
        <v>0</v>
      </c>
      <c r="C89" s="45">
        <v>0</v>
      </c>
      <c r="D89" s="5">
        <f t="shared" si="15"/>
        <v>0</v>
      </c>
      <c r="E89" s="215" t="s">
        <v>15</v>
      </c>
      <c r="F89" s="97">
        <v>0</v>
      </c>
      <c r="G89" s="210">
        <v>0</v>
      </c>
      <c r="H89" s="78">
        <f t="shared" si="16"/>
        <v>0</v>
      </c>
    </row>
    <row r="90" spans="1:8" ht="15.75" thickBot="1" x14ac:dyDescent="0.3">
      <c r="A90" s="47" t="s">
        <v>544</v>
      </c>
      <c r="B90" s="96">
        <v>0</v>
      </c>
      <c r="C90" s="45">
        <v>0</v>
      </c>
      <c r="D90" s="5">
        <f t="shared" si="15"/>
        <v>0</v>
      </c>
      <c r="E90" s="215" t="s">
        <v>605</v>
      </c>
      <c r="F90" s="97">
        <v>0</v>
      </c>
      <c r="G90" s="210">
        <v>0</v>
      </c>
      <c r="H90" s="78">
        <f t="shared" si="16"/>
        <v>0</v>
      </c>
    </row>
    <row r="91" spans="1:8" ht="15.75" thickBot="1" x14ac:dyDescent="0.3">
      <c r="A91" s="47" t="s">
        <v>425</v>
      </c>
      <c r="B91" s="96">
        <v>0</v>
      </c>
      <c r="C91" s="45">
        <v>0</v>
      </c>
      <c r="D91" s="5">
        <f t="shared" si="15"/>
        <v>0</v>
      </c>
      <c r="E91" s="215" t="s">
        <v>544</v>
      </c>
      <c r="F91" s="97">
        <v>0</v>
      </c>
      <c r="G91" s="210">
        <v>0</v>
      </c>
      <c r="H91" s="78">
        <f t="shared" si="16"/>
        <v>0</v>
      </c>
    </row>
    <row r="92" spans="1:8" ht="15.75" thickBot="1" x14ac:dyDescent="0.3">
      <c r="A92" s="47" t="s">
        <v>105</v>
      </c>
      <c r="B92" s="96">
        <v>0</v>
      </c>
      <c r="C92" s="45">
        <v>0</v>
      </c>
      <c r="D92" s="5">
        <f t="shared" si="15"/>
        <v>0</v>
      </c>
      <c r="E92" s="215" t="s">
        <v>425</v>
      </c>
      <c r="F92" s="97">
        <v>0</v>
      </c>
      <c r="G92" s="210">
        <v>0</v>
      </c>
      <c r="H92" s="78">
        <f t="shared" si="16"/>
        <v>0</v>
      </c>
    </row>
    <row r="93" spans="1:8" ht="15.75" thickBot="1" x14ac:dyDescent="0.3">
      <c r="A93" s="47" t="s">
        <v>716</v>
      </c>
      <c r="B93" s="96">
        <v>0</v>
      </c>
      <c r="C93" s="45">
        <v>0</v>
      </c>
      <c r="D93" s="5">
        <f t="shared" si="15"/>
        <v>0</v>
      </c>
      <c r="E93" s="215" t="s">
        <v>105</v>
      </c>
      <c r="F93" s="97">
        <v>0</v>
      </c>
      <c r="G93" s="210">
        <v>0</v>
      </c>
      <c r="H93" s="78">
        <f t="shared" si="16"/>
        <v>0</v>
      </c>
    </row>
    <row r="94" spans="1:8" ht="15.75" thickBot="1" x14ac:dyDescent="0.3">
      <c r="A94" s="47" t="s">
        <v>106</v>
      </c>
      <c r="B94" s="96">
        <v>0</v>
      </c>
      <c r="C94" s="45">
        <v>0</v>
      </c>
      <c r="D94" s="5">
        <f t="shared" si="15"/>
        <v>0</v>
      </c>
      <c r="E94" s="215" t="s">
        <v>716</v>
      </c>
      <c r="F94" s="97">
        <v>0</v>
      </c>
      <c r="G94" s="210">
        <v>0</v>
      </c>
      <c r="H94" s="78">
        <f t="shared" si="16"/>
        <v>0</v>
      </c>
    </row>
    <row r="95" spans="1:8" ht="15.75" thickBot="1" x14ac:dyDescent="0.3">
      <c r="A95" s="47" t="s">
        <v>791</v>
      </c>
      <c r="B95" s="96">
        <v>0</v>
      </c>
      <c r="C95" s="45">
        <v>0</v>
      </c>
      <c r="D95" s="5">
        <f t="shared" si="15"/>
        <v>0</v>
      </c>
      <c r="E95" s="215" t="s">
        <v>106</v>
      </c>
      <c r="F95" s="97">
        <v>0</v>
      </c>
      <c r="G95" s="210">
        <v>0</v>
      </c>
      <c r="H95" s="78">
        <f t="shared" si="16"/>
        <v>0</v>
      </c>
    </row>
    <row r="96" spans="1:8" ht="15.75" thickBot="1" x14ac:dyDescent="0.3">
      <c r="A96" s="47" t="s">
        <v>646</v>
      </c>
      <c r="B96" s="96">
        <v>0</v>
      </c>
      <c r="C96" s="45">
        <v>0</v>
      </c>
      <c r="D96" s="5">
        <f t="shared" si="15"/>
        <v>0</v>
      </c>
      <c r="E96" s="215" t="s">
        <v>791</v>
      </c>
      <c r="F96" s="97">
        <v>0</v>
      </c>
      <c r="G96" s="210">
        <v>0</v>
      </c>
      <c r="H96" s="78">
        <f t="shared" si="16"/>
        <v>0</v>
      </c>
    </row>
    <row r="97" spans="1:8" ht="15.75" thickBot="1" x14ac:dyDescent="0.3">
      <c r="A97" s="47" t="s">
        <v>77</v>
      </c>
      <c r="B97" s="96">
        <v>0</v>
      </c>
      <c r="C97" s="45">
        <v>0</v>
      </c>
      <c r="D97" s="5">
        <f t="shared" si="15"/>
        <v>0</v>
      </c>
      <c r="E97" s="215" t="s">
        <v>646</v>
      </c>
      <c r="F97" s="97">
        <v>0</v>
      </c>
      <c r="G97" s="210">
        <v>0</v>
      </c>
      <c r="H97" s="78">
        <f t="shared" si="16"/>
        <v>0</v>
      </c>
    </row>
    <row r="98" spans="1:8" ht="15.75" thickBot="1" x14ac:dyDescent="0.3">
      <c r="A98" s="47" t="s">
        <v>861</v>
      </c>
      <c r="B98" s="96">
        <v>0</v>
      </c>
      <c r="C98" s="45">
        <v>0</v>
      </c>
      <c r="D98" s="5">
        <f t="shared" si="15"/>
        <v>0</v>
      </c>
      <c r="E98" s="215" t="s">
        <v>77</v>
      </c>
      <c r="F98" s="97">
        <v>0</v>
      </c>
      <c r="G98" s="210">
        <v>0</v>
      </c>
      <c r="H98" s="78">
        <f t="shared" si="16"/>
        <v>0</v>
      </c>
    </row>
    <row r="99" spans="1:8" ht="15.75" thickBot="1" x14ac:dyDescent="0.3">
      <c r="A99" s="47" t="s">
        <v>779</v>
      </c>
      <c r="B99" s="96">
        <v>0</v>
      </c>
      <c r="C99" s="45">
        <v>0</v>
      </c>
      <c r="D99" s="5">
        <f t="shared" si="15"/>
        <v>0</v>
      </c>
      <c r="E99" s="215" t="s">
        <v>779</v>
      </c>
      <c r="F99" s="97">
        <v>0</v>
      </c>
      <c r="G99" s="210">
        <v>0</v>
      </c>
      <c r="H99" s="78">
        <f t="shared" si="16"/>
        <v>0</v>
      </c>
    </row>
    <row r="100" spans="1:8" ht="15.75" thickBot="1" x14ac:dyDescent="0.3">
      <c r="A100" s="47" t="s">
        <v>604</v>
      </c>
      <c r="B100" s="96">
        <v>0</v>
      </c>
      <c r="C100" s="45">
        <v>0</v>
      </c>
      <c r="D100" s="5">
        <f t="shared" si="15"/>
        <v>0</v>
      </c>
      <c r="E100" s="215" t="s">
        <v>604</v>
      </c>
      <c r="F100" s="97">
        <v>0</v>
      </c>
      <c r="G100" s="210">
        <v>0</v>
      </c>
      <c r="H100" s="78">
        <f t="shared" si="16"/>
        <v>0</v>
      </c>
    </row>
    <row r="101" spans="1:8" ht="15.75" thickBot="1" x14ac:dyDescent="0.3">
      <c r="A101" s="47" t="s">
        <v>3</v>
      </c>
      <c r="B101" s="96">
        <f>SUM(B54:B100)</f>
        <v>103</v>
      </c>
      <c r="C101" s="45">
        <f>SUM(C54:C100)</f>
        <v>16</v>
      </c>
      <c r="D101" s="5">
        <f>SUM(D54:D100)</f>
        <v>119</v>
      </c>
      <c r="E101" s="215" t="s">
        <v>3</v>
      </c>
      <c r="F101" s="97">
        <f>SUM(F54:F100)</f>
        <v>702</v>
      </c>
      <c r="G101" s="210">
        <f>SUM(G54:G100)</f>
        <v>111</v>
      </c>
      <c r="H101" s="78">
        <f>SUM(H54:H100)</f>
        <v>813</v>
      </c>
    </row>
    <row r="102" spans="1:8" x14ac:dyDescent="0.25">
      <c r="A102" s="535" t="s">
        <v>95</v>
      </c>
      <c r="B102" s="536"/>
      <c r="C102" s="536"/>
      <c r="D102" s="536"/>
      <c r="E102" s="536"/>
      <c r="F102" s="536"/>
      <c r="G102" s="536"/>
    </row>
  </sheetData>
  <sortState xmlns:xlrd2="http://schemas.microsoft.com/office/spreadsheetml/2017/richdata2" ref="E54:H100">
    <sortCondition descending="1" ref="H54:H100"/>
  </sortState>
  <mergeCells count="32">
    <mergeCell ref="A102:G102"/>
    <mergeCell ref="R1:T2"/>
    <mergeCell ref="AA1:AC2"/>
    <mergeCell ref="M11:O12"/>
    <mergeCell ref="AA11:AC12"/>
    <mergeCell ref="I27:Y27"/>
    <mergeCell ref="I28:X28"/>
    <mergeCell ref="I26:X26"/>
    <mergeCell ref="P20:R21"/>
    <mergeCell ref="P1:Q2"/>
    <mergeCell ref="I1:I2"/>
    <mergeCell ref="J1:L2"/>
    <mergeCell ref="M1:O2"/>
    <mergeCell ref="AD20:AF21"/>
    <mergeCell ref="P11:R12"/>
    <mergeCell ref="M20:O21"/>
    <mergeCell ref="I20:I21"/>
    <mergeCell ref="J20:L21"/>
    <mergeCell ref="S20:U21"/>
    <mergeCell ref="AD11:AF12"/>
    <mergeCell ref="AA20:AC21"/>
    <mergeCell ref="I11:I12"/>
    <mergeCell ref="J11:L12"/>
    <mergeCell ref="AJ11:AL12"/>
    <mergeCell ref="U1:W2"/>
    <mergeCell ref="AD1:AF2"/>
    <mergeCell ref="AP1:AR2"/>
    <mergeCell ref="AM1:AO2"/>
    <mergeCell ref="AJ1:AL2"/>
    <mergeCell ref="AG1:AI2"/>
    <mergeCell ref="S11:U12"/>
    <mergeCell ref="AG11:AI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98"/>
  <sheetViews>
    <sheetView topLeftCell="A13" zoomScaleNormal="100" workbookViewId="0">
      <selection activeCell="A98" sqref="A98:G98"/>
    </sheetView>
  </sheetViews>
  <sheetFormatPr defaultColWidth="8.85546875" defaultRowHeight="15" x14ac:dyDescent="0.25"/>
  <cols>
    <col min="1" max="1" width="16.42578125" customWidth="1"/>
    <col min="2" max="3" width="3.7109375" customWidth="1"/>
    <col min="4" max="4" width="4.7109375" customWidth="1"/>
    <col min="5" max="5" width="16.42578125" customWidth="1"/>
    <col min="6" max="8" width="5.28515625" customWidth="1"/>
    <col min="9" max="9" width="16.7109375" customWidth="1"/>
    <col min="10" max="16" width="5.42578125" customWidth="1"/>
    <col min="17" max="17" width="5.7109375" customWidth="1"/>
    <col min="18" max="29" width="5.42578125" customWidth="1"/>
    <col min="30" max="44" width="5.7109375" customWidth="1"/>
  </cols>
  <sheetData>
    <row r="1" spans="1:51" ht="15" customHeight="1" thickBot="1" x14ac:dyDescent="0.3">
      <c r="A1" s="559" t="s">
        <v>807</v>
      </c>
      <c r="B1" s="560"/>
      <c r="C1" s="560"/>
      <c r="D1" s="560"/>
      <c r="E1" s="560"/>
      <c r="F1" s="560"/>
      <c r="G1" s="560"/>
      <c r="H1" s="561"/>
      <c r="I1" s="531" t="s">
        <v>658</v>
      </c>
      <c r="J1" s="525" t="s">
        <v>33</v>
      </c>
      <c r="K1" s="526"/>
      <c r="L1" s="527"/>
      <c r="M1" s="525" t="s">
        <v>110</v>
      </c>
      <c r="N1" s="526"/>
      <c r="O1" s="527"/>
      <c r="P1" s="525" t="s">
        <v>657</v>
      </c>
      <c r="Q1" s="527"/>
      <c r="R1" s="543" t="s">
        <v>836</v>
      </c>
      <c r="S1" s="549"/>
      <c r="T1" s="550"/>
      <c r="U1" s="543" t="s">
        <v>816</v>
      </c>
      <c r="V1" s="549"/>
      <c r="W1" s="550"/>
      <c r="X1" s="244"/>
      <c r="Y1" s="254"/>
      <c r="Z1" s="268"/>
      <c r="AA1" s="543" t="s">
        <v>574</v>
      </c>
      <c r="AB1" s="549"/>
      <c r="AC1" s="550"/>
      <c r="AD1" s="543" t="s">
        <v>217</v>
      </c>
      <c r="AE1" s="549"/>
      <c r="AF1" s="550"/>
      <c r="AG1" s="543" t="s">
        <v>147</v>
      </c>
      <c r="AH1" s="549"/>
      <c r="AI1" s="550"/>
      <c r="AJ1" s="543" t="s">
        <v>137</v>
      </c>
      <c r="AK1" s="549"/>
      <c r="AL1" s="550"/>
      <c r="AM1" s="543" t="s">
        <v>114</v>
      </c>
      <c r="AN1" s="549"/>
      <c r="AO1" s="550"/>
      <c r="AP1" s="543" t="s">
        <v>128</v>
      </c>
      <c r="AQ1" s="549"/>
      <c r="AR1" s="550"/>
      <c r="AT1" s="4"/>
      <c r="AU1" s="4"/>
      <c r="AV1" s="4"/>
      <c r="AY1" s="4"/>
    </row>
    <row r="2" spans="1:51" ht="15" customHeight="1" thickBot="1" x14ac:dyDescent="0.3">
      <c r="A2" s="151" t="s">
        <v>0</v>
      </c>
      <c r="B2" s="370" t="s">
        <v>815</v>
      </c>
      <c r="C2" s="160" t="s">
        <v>72</v>
      </c>
      <c r="D2" s="152" t="s">
        <v>1</v>
      </c>
      <c r="E2" s="153" t="s">
        <v>2</v>
      </c>
      <c r="F2" s="368" t="s">
        <v>815</v>
      </c>
      <c r="G2" s="142" t="s">
        <v>72</v>
      </c>
      <c r="H2" s="138" t="s">
        <v>1</v>
      </c>
      <c r="I2" s="532"/>
      <c r="J2" s="528"/>
      <c r="K2" s="529"/>
      <c r="L2" s="530"/>
      <c r="M2" s="528"/>
      <c r="N2" s="529"/>
      <c r="O2" s="530"/>
      <c r="P2" s="528"/>
      <c r="Q2" s="530"/>
      <c r="R2" s="551"/>
      <c r="S2" s="552"/>
      <c r="T2" s="553"/>
      <c r="U2" s="551"/>
      <c r="V2" s="552"/>
      <c r="W2" s="553"/>
      <c r="X2" s="244"/>
      <c r="Y2" s="254"/>
      <c r="Z2" s="268"/>
      <c r="AA2" s="551"/>
      <c r="AB2" s="552"/>
      <c r="AC2" s="553"/>
      <c r="AD2" s="551"/>
      <c r="AE2" s="552"/>
      <c r="AF2" s="553"/>
      <c r="AG2" s="551"/>
      <c r="AH2" s="552"/>
      <c r="AI2" s="553"/>
      <c r="AJ2" s="551"/>
      <c r="AK2" s="552"/>
      <c r="AL2" s="553"/>
      <c r="AM2" s="551"/>
      <c r="AN2" s="552"/>
      <c r="AO2" s="553"/>
      <c r="AP2" s="551"/>
      <c r="AQ2" s="552"/>
      <c r="AR2" s="553"/>
    </row>
    <row r="3" spans="1:51" ht="15" customHeight="1" thickBot="1" x14ac:dyDescent="0.3">
      <c r="A3" s="48" t="s">
        <v>190</v>
      </c>
      <c r="B3" s="371">
        <v>1</v>
      </c>
      <c r="C3" s="161">
        <v>1</v>
      </c>
      <c r="D3" s="73">
        <f t="shared" ref="D3:D47" si="0">SUM(B3:C3)</f>
        <v>2</v>
      </c>
      <c r="E3" s="92" t="s">
        <v>190</v>
      </c>
      <c r="F3" s="369">
        <v>5</v>
      </c>
      <c r="G3" s="95">
        <v>5</v>
      </c>
      <c r="H3" s="94">
        <f t="shared" ref="H3:H47" si="1">SUM(F3:G3)</f>
        <v>10</v>
      </c>
      <c r="I3" s="33" t="s">
        <v>51</v>
      </c>
      <c r="J3" s="3" t="s">
        <v>129</v>
      </c>
      <c r="K3" s="3" t="s">
        <v>27</v>
      </c>
      <c r="L3" s="3" t="s">
        <v>28</v>
      </c>
      <c r="M3" s="249" t="s">
        <v>129</v>
      </c>
      <c r="N3" s="3" t="s">
        <v>27</v>
      </c>
      <c r="O3" s="3" t="s">
        <v>28</v>
      </c>
      <c r="P3" s="3" t="s">
        <v>40</v>
      </c>
      <c r="Q3" s="3" t="s">
        <v>166</v>
      </c>
      <c r="R3" s="7" t="s">
        <v>129</v>
      </c>
      <c r="S3" s="7" t="s">
        <v>27</v>
      </c>
      <c r="T3" s="7" t="s">
        <v>28</v>
      </c>
      <c r="U3" s="221" t="s">
        <v>129</v>
      </c>
      <c r="V3" s="7" t="s">
        <v>27</v>
      </c>
      <c r="W3" s="7" t="s">
        <v>28</v>
      </c>
      <c r="X3" s="113"/>
      <c r="Y3" s="114"/>
      <c r="Z3" s="269"/>
      <c r="AA3" s="221" t="s">
        <v>129</v>
      </c>
      <c r="AB3" s="7" t="s">
        <v>27</v>
      </c>
      <c r="AC3" s="7" t="s">
        <v>28</v>
      </c>
      <c r="AD3" s="221" t="s">
        <v>129</v>
      </c>
      <c r="AE3" s="7" t="s">
        <v>27</v>
      </c>
      <c r="AF3" s="7" t="s">
        <v>28</v>
      </c>
      <c r="AG3" s="221" t="s">
        <v>129</v>
      </c>
      <c r="AH3" s="7" t="s">
        <v>27</v>
      </c>
      <c r="AI3" s="7" t="s">
        <v>28</v>
      </c>
      <c r="AJ3" s="7" t="s">
        <v>129</v>
      </c>
      <c r="AK3" s="7" t="s">
        <v>27</v>
      </c>
      <c r="AL3" s="7" t="s">
        <v>28</v>
      </c>
      <c r="AM3" s="7" t="s">
        <v>129</v>
      </c>
      <c r="AN3" s="7" t="s">
        <v>27</v>
      </c>
      <c r="AO3" s="7" t="s">
        <v>28</v>
      </c>
      <c r="AP3" s="7" t="s">
        <v>129</v>
      </c>
      <c r="AQ3" s="7" t="s">
        <v>27</v>
      </c>
      <c r="AR3" s="7" t="s">
        <v>28</v>
      </c>
    </row>
    <row r="4" spans="1:51" ht="15" customHeight="1" thickBot="1" x14ac:dyDescent="0.3">
      <c r="A4" s="48" t="s">
        <v>783</v>
      </c>
      <c r="B4" s="371">
        <v>2</v>
      </c>
      <c r="C4" s="161">
        <v>0</v>
      </c>
      <c r="D4" s="73">
        <f t="shared" si="0"/>
        <v>2</v>
      </c>
      <c r="E4" s="92" t="s">
        <v>783</v>
      </c>
      <c r="F4" s="369">
        <v>10</v>
      </c>
      <c r="G4" s="95">
        <v>0</v>
      </c>
      <c r="H4" s="94">
        <f t="shared" si="1"/>
        <v>10</v>
      </c>
      <c r="I4" s="59" t="s">
        <v>603</v>
      </c>
      <c r="J4" s="14">
        <v>16</v>
      </c>
      <c r="K4" s="14">
        <v>17</v>
      </c>
      <c r="L4" s="220">
        <f t="shared" ref="L4" si="2">(J4/K4)*100</f>
        <v>94.117647058823522</v>
      </c>
      <c r="M4" s="14" t="s">
        <v>34</v>
      </c>
      <c r="N4" s="14" t="s">
        <v>34</v>
      </c>
      <c r="O4" s="220" t="s">
        <v>34</v>
      </c>
      <c r="P4" s="14">
        <v>1</v>
      </c>
      <c r="Q4" s="14">
        <v>1</v>
      </c>
      <c r="R4" s="7" t="s">
        <v>34</v>
      </c>
      <c r="S4" s="7" t="s">
        <v>34</v>
      </c>
      <c r="T4" s="7" t="s">
        <v>34</v>
      </c>
      <c r="U4" s="221" t="s">
        <v>34</v>
      </c>
      <c r="V4" s="7" t="s">
        <v>34</v>
      </c>
      <c r="W4" s="7" t="s">
        <v>34</v>
      </c>
      <c r="X4" s="113"/>
      <c r="Y4" s="114"/>
      <c r="Z4" s="269"/>
      <c r="AA4" s="221" t="s">
        <v>34</v>
      </c>
      <c r="AB4" s="7" t="s">
        <v>34</v>
      </c>
      <c r="AC4" s="7" t="s">
        <v>34</v>
      </c>
      <c r="AD4" s="221" t="s">
        <v>34</v>
      </c>
      <c r="AE4" s="7" t="s">
        <v>34</v>
      </c>
      <c r="AF4" s="7" t="s">
        <v>34</v>
      </c>
      <c r="AG4" s="6" t="s">
        <v>34</v>
      </c>
      <c r="AH4" s="7" t="s">
        <v>34</v>
      </c>
      <c r="AI4" s="7" t="s">
        <v>34</v>
      </c>
      <c r="AJ4" s="7" t="s">
        <v>34</v>
      </c>
      <c r="AK4" s="7" t="s">
        <v>34</v>
      </c>
      <c r="AL4" s="7" t="s">
        <v>34</v>
      </c>
      <c r="AM4" s="7" t="s">
        <v>34</v>
      </c>
      <c r="AN4" s="7" t="s">
        <v>34</v>
      </c>
      <c r="AO4" s="7" t="s">
        <v>34</v>
      </c>
      <c r="AP4" s="7" t="s">
        <v>34</v>
      </c>
      <c r="AQ4" s="7" t="s">
        <v>34</v>
      </c>
      <c r="AR4" s="7" t="s">
        <v>34</v>
      </c>
    </row>
    <row r="5" spans="1:51" ht="15" customHeight="1" thickBot="1" x14ac:dyDescent="0.3">
      <c r="A5" s="48" t="s">
        <v>81</v>
      </c>
      <c r="B5" s="371">
        <v>1</v>
      </c>
      <c r="C5" s="161">
        <v>1</v>
      </c>
      <c r="D5" s="73">
        <f t="shared" si="0"/>
        <v>2</v>
      </c>
      <c r="E5" s="91" t="s">
        <v>81</v>
      </c>
      <c r="F5" s="369">
        <v>5</v>
      </c>
      <c r="G5" s="95">
        <v>5</v>
      </c>
      <c r="H5" s="94">
        <f t="shared" si="1"/>
        <v>10</v>
      </c>
      <c r="I5" s="59" t="s">
        <v>530</v>
      </c>
      <c r="J5" s="14" t="s">
        <v>34</v>
      </c>
      <c r="K5" s="14" t="s">
        <v>34</v>
      </c>
      <c r="L5" s="220" t="s">
        <v>34</v>
      </c>
      <c r="M5" s="14" t="s">
        <v>34</v>
      </c>
      <c r="N5" s="14" t="s">
        <v>34</v>
      </c>
      <c r="O5" s="220" t="s">
        <v>34</v>
      </c>
      <c r="P5" s="14" t="s">
        <v>41</v>
      </c>
      <c r="Q5" s="14">
        <v>1</v>
      </c>
      <c r="R5" s="7" t="s">
        <v>34</v>
      </c>
      <c r="S5" s="7" t="s">
        <v>34</v>
      </c>
      <c r="T5" s="7" t="s">
        <v>34</v>
      </c>
      <c r="U5" s="221" t="s">
        <v>34</v>
      </c>
      <c r="V5" s="7" t="s">
        <v>34</v>
      </c>
      <c r="W5" s="7" t="s">
        <v>34</v>
      </c>
      <c r="X5" s="113"/>
      <c r="Y5" s="114"/>
      <c r="Z5" s="269"/>
      <c r="AA5" s="221" t="s">
        <v>34</v>
      </c>
      <c r="AB5" s="7" t="s">
        <v>34</v>
      </c>
      <c r="AC5" s="7" t="s">
        <v>34</v>
      </c>
      <c r="AD5" s="221" t="s">
        <v>34</v>
      </c>
      <c r="AE5" s="7" t="s">
        <v>34</v>
      </c>
      <c r="AF5" s="7" t="s">
        <v>34</v>
      </c>
      <c r="AG5" s="6" t="s">
        <v>34</v>
      </c>
      <c r="AH5" s="7" t="s">
        <v>34</v>
      </c>
      <c r="AI5" s="7" t="s">
        <v>34</v>
      </c>
      <c r="AJ5" s="7" t="s">
        <v>34</v>
      </c>
      <c r="AK5" s="7" t="s">
        <v>34</v>
      </c>
      <c r="AL5" s="7" t="s">
        <v>34</v>
      </c>
      <c r="AM5" s="7" t="s">
        <v>34</v>
      </c>
      <c r="AN5" s="7" t="s">
        <v>34</v>
      </c>
      <c r="AO5" s="7" t="s">
        <v>34</v>
      </c>
      <c r="AP5" s="7" t="s">
        <v>34</v>
      </c>
      <c r="AQ5" s="7" t="s">
        <v>34</v>
      </c>
      <c r="AR5" s="7" t="s">
        <v>34</v>
      </c>
    </row>
    <row r="6" spans="1:51" ht="15" customHeight="1" thickBot="1" x14ac:dyDescent="0.3">
      <c r="A6" s="48" t="s">
        <v>88</v>
      </c>
      <c r="B6" s="371">
        <v>1</v>
      </c>
      <c r="C6" s="161">
        <v>0</v>
      </c>
      <c r="D6" s="73">
        <f t="shared" si="0"/>
        <v>1</v>
      </c>
      <c r="E6" s="91" t="s">
        <v>88</v>
      </c>
      <c r="F6" s="369">
        <v>5</v>
      </c>
      <c r="G6" s="95">
        <v>0</v>
      </c>
      <c r="H6" s="94">
        <f t="shared" si="1"/>
        <v>5</v>
      </c>
      <c r="I6" s="59" t="s">
        <v>4</v>
      </c>
      <c r="J6" s="14">
        <v>13</v>
      </c>
      <c r="K6" s="14">
        <v>18</v>
      </c>
      <c r="L6" s="220">
        <f t="shared" ref="L6:L8" si="3">(J6/K6)*100</f>
        <v>72.222222222222214</v>
      </c>
      <c r="M6" s="14" t="s">
        <v>34</v>
      </c>
      <c r="N6" s="14" t="s">
        <v>34</v>
      </c>
      <c r="O6" s="220" t="s">
        <v>34</v>
      </c>
      <c r="P6" s="14">
        <v>6</v>
      </c>
      <c r="Q6" s="14">
        <v>6</v>
      </c>
      <c r="R6" s="7">
        <v>5</v>
      </c>
      <c r="S6" s="7">
        <v>8</v>
      </c>
      <c r="T6" s="232">
        <f t="shared" ref="T6:T8" si="4">(R6/S6)*100</f>
        <v>62.5</v>
      </c>
      <c r="U6" s="221">
        <v>5</v>
      </c>
      <c r="V6" s="7">
        <v>7</v>
      </c>
      <c r="W6" s="232">
        <v>71.428571428571431</v>
      </c>
      <c r="X6" s="113"/>
      <c r="Y6" s="114"/>
      <c r="Z6" s="269"/>
      <c r="AA6" s="221" t="s">
        <v>34</v>
      </c>
      <c r="AB6" s="7" t="s">
        <v>34</v>
      </c>
      <c r="AC6" s="7" t="s">
        <v>34</v>
      </c>
      <c r="AD6" s="221" t="s">
        <v>34</v>
      </c>
      <c r="AE6" s="7" t="s">
        <v>34</v>
      </c>
      <c r="AF6" s="7" t="s">
        <v>34</v>
      </c>
      <c r="AG6" s="221" t="s">
        <v>34</v>
      </c>
      <c r="AH6" s="7" t="s">
        <v>34</v>
      </c>
      <c r="AI6" s="7" t="s">
        <v>34</v>
      </c>
      <c r="AJ6" s="7" t="s">
        <v>34</v>
      </c>
      <c r="AK6" s="7" t="s">
        <v>34</v>
      </c>
      <c r="AL6" s="7" t="s">
        <v>34</v>
      </c>
      <c r="AM6" s="7" t="s">
        <v>34</v>
      </c>
      <c r="AN6" s="7" t="s">
        <v>34</v>
      </c>
      <c r="AO6" s="7" t="s">
        <v>34</v>
      </c>
      <c r="AP6" s="7" t="s">
        <v>34</v>
      </c>
      <c r="AQ6" s="7" t="s">
        <v>34</v>
      </c>
      <c r="AR6" s="7" t="s">
        <v>34</v>
      </c>
    </row>
    <row r="7" spans="1:51" ht="15" customHeight="1" thickBot="1" x14ac:dyDescent="0.3">
      <c r="A7" s="48" t="s">
        <v>282</v>
      </c>
      <c r="B7" s="371">
        <v>0</v>
      </c>
      <c r="C7" s="161">
        <v>0</v>
      </c>
      <c r="D7" s="73">
        <f t="shared" si="0"/>
        <v>0</v>
      </c>
      <c r="E7" s="91" t="s">
        <v>282</v>
      </c>
      <c r="F7" s="369">
        <v>0</v>
      </c>
      <c r="G7" s="95">
        <v>0</v>
      </c>
      <c r="H7" s="94">
        <f t="shared" si="1"/>
        <v>0</v>
      </c>
      <c r="I7" s="59" t="s">
        <v>61</v>
      </c>
      <c r="J7" s="14">
        <v>2</v>
      </c>
      <c r="K7" s="14">
        <v>2</v>
      </c>
      <c r="L7" s="25">
        <f t="shared" si="3"/>
        <v>100</v>
      </c>
      <c r="M7" s="14" t="s">
        <v>34</v>
      </c>
      <c r="N7" s="14" t="s">
        <v>34</v>
      </c>
      <c r="O7" s="220" t="s">
        <v>34</v>
      </c>
      <c r="P7" s="73">
        <v>2</v>
      </c>
      <c r="Q7" s="73">
        <v>-1</v>
      </c>
      <c r="R7" s="7" t="s">
        <v>34</v>
      </c>
      <c r="S7" s="7" t="s">
        <v>34</v>
      </c>
      <c r="T7" s="7" t="s">
        <v>34</v>
      </c>
      <c r="U7" s="221" t="s">
        <v>34</v>
      </c>
      <c r="V7" s="7" t="s">
        <v>34</v>
      </c>
      <c r="W7" s="7" t="s">
        <v>34</v>
      </c>
      <c r="X7" s="113"/>
      <c r="Y7" s="114"/>
      <c r="Z7" s="269"/>
      <c r="AA7" s="221" t="s">
        <v>34</v>
      </c>
      <c r="AB7" s="7" t="s">
        <v>34</v>
      </c>
      <c r="AC7" s="7" t="s">
        <v>34</v>
      </c>
      <c r="AD7" s="221" t="s">
        <v>34</v>
      </c>
      <c r="AE7" s="7" t="s">
        <v>34</v>
      </c>
      <c r="AF7" s="7" t="s">
        <v>34</v>
      </c>
      <c r="AG7" s="6" t="s">
        <v>34</v>
      </c>
      <c r="AH7" s="7" t="s">
        <v>34</v>
      </c>
      <c r="AI7" s="7" t="s">
        <v>34</v>
      </c>
      <c r="AJ7" s="7" t="s">
        <v>34</v>
      </c>
      <c r="AK7" s="7" t="s">
        <v>34</v>
      </c>
      <c r="AL7" s="7" t="s">
        <v>34</v>
      </c>
      <c r="AM7" s="7" t="s">
        <v>34</v>
      </c>
      <c r="AN7" s="7" t="s">
        <v>34</v>
      </c>
      <c r="AO7" s="7" t="s">
        <v>34</v>
      </c>
      <c r="AP7" s="7" t="s">
        <v>34</v>
      </c>
      <c r="AQ7" s="7" t="s">
        <v>34</v>
      </c>
      <c r="AR7" s="7" t="s">
        <v>34</v>
      </c>
    </row>
    <row r="8" spans="1:51" ht="15" customHeight="1" thickBot="1" x14ac:dyDescent="0.3">
      <c r="A8" s="48" t="s">
        <v>603</v>
      </c>
      <c r="B8" s="371">
        <v>0</v>
      </c>
      <c r="C8" s="161">
        <v>1</v>
      </c>
      <c r="D8" s="73">
        <f t="shared" si="0"/>
        <v>1</v>
      </c>
      <c r="E8" s="91" t="s">
        <v>603</v>
      </c>
      <c r="F8" s="369">
        <v>38</v>
      </c>
      <c r="G8" s="95">
        <v>21</v>
      </c>
      <c r="H8" s="94">
        <f t="shared" si="1"/>
        <v>59</v>
      </c>
      <c r="I8" s="59" t="s">
        <v>25</v>
      </c>
      <c r="J8" s="14">
        <v>38</v>
      </c>
      <c r="K8" s="14">
        <v>57</v>
      </c>
      <c r="L8" s="25">
        <f t="shared" si="3"/>
        <v>66.666666666666657</v>
      </c>
      <c r="M8" s="14">
        <v>4</v>
      </c>
      <c r="N8" s="14">
        <v>6</v>
      </c>
      <c r="O8" s="220">
        <f t="shared" ref="O8" si="5">(M8/N8)*100</f>
        <v>66.666666666666657</v>
      </c>
      <c r="P8" s="14">
        <v>2</v>
      </c>
      <c r="Q8" s="14">
        <v>2</v>
      </c>
      <c r="R8" s="7">
        <v>44</v>
      </c>
      <c r="S8" s="7">
        <v>68</v>
      </c>
      <c r="T8" s="232">
        <f t="shared" si="4"/>
        <v>64.705882352941174</v>
      </c>
      <c r="U8" s="221">
        <v>70</v>
      </c>
      <c r="V8" s="7">
        <v>88</v>
      </c>
      <c r="W8" s="232">
        <f>SUM(U8/V8)*100</f>
        <v>79.545454545454547</v>
      </c>
      <c r="X8" s="113"/>
      <c r="Y8" s="114"/>
      <c r="Z8" s="269"/>
      <c r="AA8" s="221">
        <v>48</v>
      </c>
      <c r="AB8" s="7">
        <v>58</v>
      </c>
      <c r="AC8" s="232">
        <f>SUM(AA8/AB8)*100</f>
        <v>82.758620689655174</v>
      </c>
      <c r="AD8" s="221">
        <v>11</v>
      </c>
      <c r="AE8" s="7">
        <v>15</v>
      </c>
      <c r="AF8" s="232">
        <f>SUM(AD8/AE8)*100</f>
        <v>73.333333333333329</v>
      </c>
      <c r="AG8" s="221">
        <v>22</v>
      </c>
      <c r="AH8" s="7">
        <v>31</v>
      </c>
      <c r="AI8" s="232">
        <f>SUM(AG8/AH8)*100</f>
        <v>70.967741935483872</v>
      </c>
      <c r="AJ8" s="7">
        <v>5</v>
      </c>
      <c r="AK8" s="7">
        <v>13</v>
      </c>
      <c r="AL8" s="232">
        <f>SUM(AJ8/AK8)*100</f>
        <v>38.461538461538467</v>
      </c>
      <c r="AM8" s="7">
        <v>23</v>
      </c>
      <c r="AN8" s="7">
        <v>29</v>
      </c>
      <c r="AO8" s="232">
        <f>SUM(AM8/AN8)*100</f>
        <v>79.310344827586206</v>
      </c>
      <c r="AP8" s="7">
        <v>8</v>
      </c>
      <c r="AQ8" s="7">
        <v>10</v>
      </c>
      <c r="AR8" s="7">
        <v>80</v>
      </c>
    </row>
    <row r="9" spans="1:51" ht="15" customHeight="1" thickBot="1" x14ac:dyDescent="0.3">
      <c r="A9" s="48" t="s">
        <v>1050</v>
      </c>
      <c r="B9" s="371">
        <v>6</v>
      </c>
      <c r="C9" s="161">
        <v>0</v>
      </c>
      <c r="D9" s="73">
        <f>SUM(B9:C9)</f>
        <v>6</v>
      </c>
      <c r="E9" s="92" t="s">
        <v>1050</v>
      </c>
      <c r="F9" s="369">
        <v>30</v>
      </c>
      <c r="G9" s="95">
        <v>0</v>
      </c>
      <c r="H9" s="94">
        <f>SUM(F9:G9)</f>
        <v>30</v>
      </c>
      <c r="I9" s="104" t="s">
        <v>208</v>
      </c>
      <c r="J9" s="14" t="s">
        <v>34</v>
      </c>
      <c r="K9" s="14" t="s">
        <v>34</v>
      </c>
      <c r="L9" s="220" t="s">
        <v>34</v>
      </c>
      <c r="M9" s="14" t="s">
        <v>34</v>
      </c>
      <c r="N9" s="14" t="s">
        <v>34</v>
      </c>
      <c r="O9" s="220" t="s">
        <v>34</v>
      </c>
      <c r="P9" s="14">
        <v>-2</v>
      </c>
      <c r="Q9" s="14">
        <v>-2</v>
      </c>
      <c r="R9" s="7" t="s">
        <v>34</v>
      </c>
      <c r="S9" s="7" t="s">
        <v>34</v>
      </c>
      <c r="T9" s="7" t="s">
        <v>34</v>
      </c>
      <c r="U9" s="221" t="s">
        <v>34</v>
      </c>
      <c r="V9" s="7" t="s">
        <v>34</v>
      </c>
      <c r="W9" s="7" t="s">
        <v>34</v>
      </c>
      <c r="X9" s="113"/>
      <c r="Y9" s="114"/>
      <c r="Z9" s="269"/>
      <c r="AA9" s="221" t="s">
        <v>34</v>
      </c>
      <c r="AB9" s="7" t="s">
        <v>34</v>
      </c>
      <c r="AC9" s="7" t="s">
        <v>34</v>
      </c>
      <c r="AD9" s="221">
        <v>25</v>
      </c>
      <c r="AE9" s="7">
        <v>36</v>
      </c>
      <c r="AF9" s="232">
        <f>SUM(AD9/AE9)*100</f>
        <v>69.444444444444443</v>
      </c>
      <c r="AG9" s="221" t="s">
        <v>34</v>
      </c>
      <c r="AH9" s="7" t="s">
        <v>34</v>
      </c>
      <c r="AI9" s="7" t="s">
        <v>34</v>
      </c>
      <c r="AJ9" s="7" t="s">
        <v>34</v>
      </c>
      <c r="AK9" s="7" t="s">
        <v>34</v>
      </c>
      <c r="AL9" s="7" t="s">
        <v>34</v>
      </c>
      <c r="AM9" s="7" t="s">
        <v>34</v>
      </c>
      <c r="AN9" s="7" t="s">
        <v>34</v>
      </c>
      <c r="AO9" s="7" t="s">
        <v>34</v>
      </c>
      <c r="AP9" s="7" t="s">
        <v>34</v>
      </c>
      <c r="AQ9" s="7" t="s">
        <v>34</v>
      </c>
      <c r="AR9" s="7" t="s">
        <v>34</v>
      </c>
    </row>
    <row r="10" spans="1:51" ht="15" customHeight="1" thickBot="1" x14ac:dyDescent="0.3">
      <c r="A10" s="48" t="s">
        <v>530</v>
      </c>
      <c r="B10" s="371">
        <v>3</v>
      </c>
      <c r="C10" s="161">
        <v>0</v>
      </c>
      <c r="D10" s="73">
        <f t="shared" si="0"/>
        <v>3</v>
      </c>
      <c r="E10" s="92" t="s">
        <v>530</v>
      </c>
      <c r="F10" s="369">
        <v>15</v>
      </c>
      <c r="G10" s="95">
        <v>0</v>
      </c>
      <c r="H10" s="94">
        <f t="shared" si="1"/>
        <v>15</v>
      </c>
      <c r="I10" s="55"/>
      <c r="J10" s="69"/>
    </row>
    <row r="11" spans="1:51" ht="15" customHeight="1" thickBot="1" x14ac:dyDescent="0.3">
      <c r="A11" s="48" t="s">
        <v>169</v>
      </c>
      <c r="B11" s="371">
        <v>1</v>
      </c>
      <c r="C11" s="161">
        <v>0</v>
      </c>
      <c r="D11" s="73">
        <f t="shared" si="0"/>
        <v>1</v>
      </c>
      <c r="E11" s="92" t="s">
        <v>169</v>
      </c>
      <c r="F11" s="369">
        <v>5</v>
      </c>
      <c r="G11" s="95">
        <v>0</v>
      </c>
      <c r="H11" s="94">
        <f t="shared" si="1"/>
        <v>5</v>
      </c>
      <c r="I11" s="517" t="s">
        <v>659</v>
      </c>
      <c r="J11" s="525" t="s">
        <v>33</v>
      </c>
      <c r="K11" s="526"/>
      <c r="L11" s="527"/>
      <c r="M11" s="543" t="s">
        <v>836</v>
      </c>
      <c r="N11" s="549"/>
      <c r="O11" s="550"/>
      <c r="P11" s="543" t="s">
        <v>816</v>
      </c>
      <c r="Q11" s="549"/>
      <c r="R11" s="550"/>
      <c r="S11" s="543" t="s">
        <v>575</v>
      </c>
      <c r="T11" s="549"/>
      <c r="U11" s="550"/>
      <c r="V11" s="254"/>
      <c r="W11" s="254"/>
      <c r="X11" s="254"/>
      <c r="Y11" s="254"/>
      <c r="Z11" s="254"/>
      <c r="AA11" s="543" t="s">
        <v>286</v>
      </c>
      <c r="AB11" s="549"/>
      <c r="AC11" s="550"/>
      <c r="AD11" s="543" t="s">
        <v>287</v>
      </c>
      <c r="AE11" s="549"/>
      <c r="AF11" s="550"/>
      <c r="AG11" s="543" t="s">
        <v>288</v>
      </c>
      <c r="AH11" s="549"/>
      <c r="AI11" s="550"/>
      <c r="AJ11" s="543" t="s">
        <v>873</v>
      </c>
      <c r="AK11" s="549"/>
      <c r="AL11" s="550"/>
    </row>
    <row r="12" spans="1:51" ht="15" customHeight="1" thickBot="1" x14ac:dyDescent="0.3">
      <c r="A12" s="48" t="s">
        <v>528</v>
      </c>
      <c r="B12" s="371">
        <v>0</v>
      </c>
      <c r="C12" s="161">
        <v>0</v>
      </c>
      <c r="D12" s="73">
        <f t="shared" si="0"/>
        <v>0</v>
      </c>
      <c r="E12" s="92" t="s">
        <v>528</v>
      </c>
      <c r="F12" s="369">
        <v>0</v>
      </c>
      <c r="G12" s="95">
        <v>0</v>
      </c>
      <c r="H12" s="94">
        <f t="shared" si="1"/>
        <v>0</v>
      </c>
      <c r="I12" s="518"/>
      <c r="J12" s="528"/>
      <c r="K12" s="529"/>
      <c r="L12" s="530"/>
      <c r="M12" s="551"/>
      <c r="N12" s="552"/>
      <c r="O12" s="553"/>
      <c r="P12" s="551"/>
      <c r="Q12" s="552"/>
      <c r="R12" s="553"/>
      <c r="S12" s="551"/>
      <c r="T12" s="552"/>
      <c r="U12" s="553"/>
      <c r="V12" s="254"/>
      <c r="W12" s="254"/>
      <c r="X12" s="254"/>
      <c r="Y12" s="254"/>
      <c r="Z12" s="254"/>
      <c r="AA12" s="551"/>
      <c r="AB12" s="552"/>
      <c r="AC12" s="553"/>
      <c r="AD12" s="551"/>
      <c r="AE12" s="552"/>
      <c r="AF12" s="553"/>
      <c r="AG12" s="551"/>
      <c r="AH12" s="552"/>
      <c r="AI12" s="553"/>
      <c r="AJ12" s="551"/>
      <c r="AK12" s="552"/>
      <c r="AL12" s="553"/>
    </row>
    <row r="13" spans="1:51" ht="15" customHeight="1" thickBot="1" x14ac:dyDescent="0.3">
      <c r="A13" s="48" t="s">
        <v>864</v>
      </c>
      <c r="B13" s="371">
        <v>2</v>
      </c>
      <c r="C13" s="161">
        <v>0</v>
      </c>
      <c r="D13" s="73">
        <f t="shared" si="0"/>
        <v>2</v>
      </c>
      <c r="E13" s="92" t="s">
        <v>864</v>
      </c>
      <c r="F13" s="369">
        <v>10</v>
      </c>
      <c r="G13" s="95">
        <v>0</v>
      </c>
      <c r="H13" s="94">
        <f t="shared" si="1"/>
        <v>10</v>
      </c>
      <c r="I13" s="33" t="s">
        <v>51</v>
      </c>
      <c r="J13" s="3" t="s">
        <v>129</v>
      </c>
      <c r="K13" s="3" t="s">
        <v>27</v>
      </c>
      <c r="L13" s="3" t="s">
        <v>28</v>
      </c>
      <c r="M13" s="7" t="s">
        <v>129</v>
      </c>
      <c r="N13" s="7" t="s">
        <v>27</v>
      </c>
      <c r="O13" s="7" t="s">
        <v>28</v>
      </c>
      <c r="P13" s="7" t="s">
        <v>129</v>
      </c>
      <c r="Q13" s="7" t="s">
        <v>27</v>
      </c>
      <c r="R13" s="7" t="s">
        <v>28</v>
      </c>
      <c r="S13" s="221" t="s">
        <v>129</v>
      </c>
      <c r="T13" s="7" t="s">
        <v>27</v>
      </c>
      <c r="U13" s="7" t="s">
        <v>28</v>
      </c>
      <c r="V13" s="354"/>
      <c r="W13" s="354"/>
      <c r="X13" s="354"/>
      <c r="Y13" s="332"/>
      <c r="Z13" s="332"/>
      <c r="AA13" s="221" t="s">
        <v>129</v>
      </c>
      <c r="AB13" s="7" t="s">
        <v>27</v>
      </c>
      <c r="AC13" s="7" t="s">
        <v>28</v>
      </c>
      <c r="AD13" s="221" t="s">
        <v>129</v>
      </c>
      <c r="AE13" s="7" t="s">
        <v>27</v>
      </c>
      <c r="AF13" s="7" t="s">
        <v>28</v>
      </c>
      <c r="AG13" s="221" t="s">
        <v>129</v>
      </c>
      <c r="AH13" s="7" t="s">
        <v>27</v>
      </c>
      <c r="AI13" s="7" t="s">
        <v>28</v>
      </c>
      <c r="AJ13" s="221" t="s">
        <v>29</v>
      </c>
      <c r="AK13" s="7" t="s">
        <v>27</v>
      </c>
      <c r="AL13" s="7" t="s">
        <v>28</v>
      </c>
    </row>
    <row r="14" spans="1:51" ht="15" customHeight="1" thickBot="1" x14ac:dyDescent="0.3">
      <c r="A14" s="48" t="s">
        <v>4</v>
      </c>
      <c r="B14" s="371">
        <v>1</v>
      </c>
      <c r="C14" s="161">
        <v>0</v>
      </c>
      <c r="D14" s="73">
        <f t="shared" si="0"/>
        <v>1</v>
      </c>
      <c r="E14" s="92" t="s">
        <v>4</v>
      </c>
      <c r="F14" s="369">
        <v>37</v>
      </c>
      <c r="G14" s="95">
        <v>9</v>
      </c>
      <c r="H14" s="94">
        <f t="shared" si="1"/>
        <v>46</v>
      </c>
      <c r="I14" s="59" t="s">
        <v>603</v>
      </c>
      <c r="J14" s="14">
        <v>6</v>
      </c>
      <c r="K14" s="14">
        <v>6</v>
      </c>
      <c r="L14" s="25">
        <f t="shared" ref="L14" si="6">(J14/K14)*100</f>
        <v>100</v>
      </c>
      <c r="M14" s="7" t="s">
        <v>34</v>
      </c>
      <c r="N14" s="7" t="s">
        <v>34</v>
      </c>
      <c r="O14" s="232" t="s">
        <v>34</v>
      </c>
      <c r="P14" s="7">
        <v>3</v>
      </c>
      <c r="Q14" s="7">
        <v>5</v>
      </c>
      <c r="R14" s="232">
        <f>SUM(P14/Q14)*100</f>
        <v>60</v>
      </c>
      <c r="S14" s="221">
        <v>21</v>
      </c>
      <c r="T14" s="7">
        <v>25</v>
      </c>
      <c r="U14" s="232">
        <f>SUM(S14/T14)*100</f>
        <v>84</v>
      </c>
      <c r="V14" s="354"/>
      <c r="W14" s="354"/>
      <c r="X14" s="354"/>
      <c r="Y14" s="332"/>
      <c r="Z14" s="332"/>
      <c r="AA14" s="221">
        <v>11</v>
      </c>
      <c r="AB14" s="7">
        <v>13</v>
      </c>
      <c r="AC14" s="232">
        <f>SUM(AA14/AB14)*100</f>
        <v>84.615384615384613</v>
      </c>
      <c r="AD14" s="221">
        <v>11</v>
      </c>
      <c r="AE14" s="7">
        <v>18</v>
      </c>
      <c r="AF14" s="232">
        <f>SUM(AD14/AE14)*100</f>
        <v>61.111111111111114</v>
      </c>
      <c r="AG14" s="221">
        <v>13</v>
      </c>
      <c r="AH14" s="7">
        <v>18</v>
      </c>
      <c r="AI14" s="232">
        <f>SUM(AG14/AH14)*100</f>
        <v>72.222222222222214</v>
      </c>
      <c r="AJ14" s="221">
        <v>6</v>
      </c>
      <c r="AK14" s="7">
        <v>9</v>
      </c>
      <c r="AL14" s="232">
        <f>SUM(AJ14/AK14)*100</f>
        <v>66.666666666666657</v>
      </c>
    </row>
    <row r="15" spans="1:51" ht="15" customHeight="1" thickBot="1" x14ac:dyDescent="0.3">
      <c r="A15" s="48" t="s">
        <v>866</v>
      </c>
      <c r="B15" s="371">
        <v>0</v>
      </c>
      <c r="C15" s="161">
        <v>0</v>
      </c>
      <c r="D15" s="73">
        <f t="shared" si="0"/>
        <v>0</v>
      </c>
      <c r="E15" s="92" t="s">
        <v>866</v>
      </c>
      <c r="F15" s="369">
        <v>0</v>
      </c>
      <c r="G15" s="95">
        <v>0</v>
      </c>
      <c r="H15" s="94">
        <f t="shared" si="1"/>
        <v>0</v>
      </c>
      <c r="I15" s="59" t="s">
        <v>53</v>
      </c>
      <c r="J15" s="14" t="s">
        <v>34</v>
      </c>
      <c r="K15" s="14" t="s">
        <v>34</v>
      </c>
      <c r="L15" s="25" t="s">
        <v>34</v>
      </c>
      <c r="M15" s="7">
        <v>12</v>
      </c>
      <c r="N15" s="7">
        <v>15</v>
      </c>
      <c r="O15" s="232">
        <f>SUM(M15/N15)*100</f>
        <v>80</v>
      </c>
      <c r="P15" s="7">
        <v>6</v>
      </c>
      <c r="Q15" s="7">
        <v>9</v>
      </c>
      <c r="R15" s="232">
        <f>SUM(P15/Q15)*100</f>
        <v>66.666666666666657</v>
      </c>
      <c r="S15" s="221">
        <v>22</v>
      </c>
      <c r="T15" s="7">
        <v>27</v>
      </c>
      <c r="U15" s="232">
        <f>SUM(S15/T15)*100</f>
        <v>81.481481481481481</v>
      </c>
      <c r="V15" s="354"/>
      <c r="W15" s="354"/>
      <c r="X15" s="354"/>
      <c r="Y15" s="332"/>
      <c r="Z15" s="332"/>
      <c r="AA15" s="221">
        <v>6</v>
      </c>
      <c r="AB15" s="7">
        <v>8</v>
      </c>
      <c r="AC15" s="232">
        <f>SUM(AA15/AB15)*100</f>
        <v>75</v>
      </c>
      <c r="AD15" s="221">
        <v>2</v>
      </c>
      <c r="AE15" s="7">
        <v>3</v>
      </c>
      <c r="AF15" s="232">
        <f>SUM(AD15/AE15)*100</f>
        <v>66.666666666666657</v>
      </c>
      <c r="AG15" s="221" t="s">
        <v>34</v>
      </c>
      <c r="AH15" s="7" t="s">
        <v>34</v>
      </c>
      <c r="AI15" s="7" t="s">
        <v>34</v>
      </c>
      <c r="AJ15" s="221">
        <v>6</v>
      </c>
      <c r="AK15" s="7">
        <v>9</v>
      </c>
      <c r="AL15" s="232">
        <f>SUM(AJ15/AK15)*100</f>
        <v>66.666666666666657</v>
      </c>
    </row>
    <row r="16" spans="1:51" ht="15" customHeight="1" thickBot="1" x14ac:dyDescent="0.3">
      <c r="A16" s="48" t="s">
        <v>984</v>
      </c>
      <c r="B16" s="371">
        <v>1</v>
      </c>
      <c r="C16" s="161">
        <v>0</v>
      </c>
      <c r="D16" s="73">
        <f t="shared" si="0"/>
        <v>1</v>
      </c>
      <c r="E16" s="92" t="s">
        <v>984</v>
      </c>
      <c r="F16" s="369">
        <v>5</v>
      </c>
      <c r="G16" s="95">
        <v>0</v>
      </c>
      <c r="H16" s="94">
        <f t="shared" si="1"/>
        <v>5</v>
      </c>
      <c r="I16" s="59" t="s">
        <v>4</v>
      </c>
      <c r="J16" s="14">
        <v>4</v>
      </c>
      <c r="K16" s="14">
        <v>4</v>
      </c>
      <c r="L16" s="14">
        <f t="shared" ref="L16" si="7">(J16/K16)*100</f>
        <v>100</v>
      </c>
      <c r="M16" s="7">
        <v>1</v>
      </c>
      <c r="N16" s="7">
        <v>1</v>
      </c>
      <c r="O16" s="7">
        <f>SUM(M16/N16)*100</f>
        <v>100</v>
      </c>
      <c r="P16" s="7" t="s">
        <v>34</v>
      </c>
      <c r="Q16" s="7" t="s">
        <v>34</v>
      </c>
      <c r="R16" s="7" t="s">
        <v>34</v>
      </c>
      <c r="S16" s="221" t="s">
        <v>34</v>
      </c>
      <c r="T16" s="7" t="s">
        <v>34</v>
      </c>
      <c r="U16" s="7" t="s">
        <v>34</v>
      </c>
      <c r="V16" s="354"/>
      <c r="W16" s="354"/>
      <c r="X16" s="354"/>
      <c r="Y16" s="332"/>
      <c r="Z16" s="332"/>
      <c r="AA16" s="221" t="s">
        <v>34</v>
      </c>
      <c r="AB16" s="7" t="s">
        <v>34</v>
      </c>
      <c r="AC16" s="7" t="s">
        <v>34</v>
      </c>
      <c r="AD16" s="221" t="s">
        <v>34</v>
      </c>
      <c r="AE16" s="7" t="s">
        <v>34</v>
      </c>
      <c r="AF16" s="7" t="s">
        <v>34</v>
      </c>
      <c r="AG16" s="7" t="s">
        <v>34</v>
      </c>
      <c r="AH16" s="7" t="s">
        <v>34</v>
      </c>
      <c r="AI16" s="7" t="s">
        <v>34</v>
      </c>
      <c r="AJ16" s="7" t="s">
        <v>34</v>
      </c>
      <c r="AK16" s="7" t="s">
        <v>34</v>
      </c>
      <c r="AL16" s="7" t="s">
        <v>34</v>
      </c>
      <c r="AM16" s="263"/>
      <c r="AN16" s="263"/>
      <c r="AO16" s="263"/>
      <c r="AP16" s="263"/>
      <c r="AQ16" s="263"/>
    </row>
    <row r="17" spans="1:44" ht="15" customHeight="1" thickBot="1" x14ac:dyDescent="0.3">
      <c r="A17" s="48" t="s">
        <v>283</v>
      </c>
      <c r="B17" s="371">
        <v>0</v>
      </c>
      <c r="C17" s="161">
        <v>0</v>
      </c>
      <c r="D17" s="73">
        <f t="shared" si="0"/>
        <v>0</v>
      </c>
      <c r="E17" s="92" t="s">
        <v>283</v>
      </c>
      <c r="F17" s="369">
        <v>0</v>
      </c>
      <c r="G17" s="95">
        <v>0</v>
      </c>
      <c r="H17" s="94">
        <f t="shared" si="1"/>
        <v>0</v>
      </c>
      <c r="I17" s="59" t="s">
        <v>61</v>
      </c>
      <c r="J17" s="14">
        <v>0</v>
      </c>
      <c r="K17" s="14">
        <v>1</v>
      </c>
      <c r="L17" s="220">
        <f t="shared" ref="L17" si="8">(J17/K17)*100</f>
        <v>0</v>
      </c>
      <c r="M17" s="7" t="s">
        <v>34</v>
      </c>
      <c r="N17" s="7" t="s">
        <v>34</v>
      </c>
      <c r="O17" s="7" t="s">
        <v>34</v>
      </c>
      <c r="P17" s="7" t="s">
        <v>34</v>
      </c>
      <c r="Q17" s="7" t="s">
        <v>34</v>
      </c>
      <c r="R17" s="7" t="s">
        <v>34</v>
      </c>
      <c r="S17" s="7" t="s">
        <v>34</v>
      </c>
      <c r="T17" s="7" t="s">
        <v>34</v>
      </c>
      <c r="U17" s="7" t="s">
        <v>34</v>
      </c>
      <c r="V17" s="406"/>
      <c r="W17" s="406"/>
      <c r="X17" s="406"/>
      <c r="Y17" s="406"/>
      <c r="Z17" s="406"/>
      <c r="AA17" s="6" t="s">
        <v>34</v>
      </c>
      <c r="AB17" s="7" t="s">
        <v>34</v>
      </c>
      <c r="AC17" s="7" t="s">
        <v>34</v>
      </c>
      <c r="AD17" s="7" t="s">
        <v>34</v>
      </c>
      <c r="AE17" s="7" t="s">
        <v>34</v>
      </c>
      <c r="AF17" s="7" t="s">
        <v>34</v>
      </c>
      <c r="AG17" s="7" t="s">
        <v>34</v>
      </c>
      <c r="AH17" s="7" t="s">
        <v>34</v>
      </c>
      <c r="AI17" s="7" t="s">
        <v>34</v>
      </c>
      <c r="AJ17" s="7" t="s">
        <v>34</v>
      </c>
      <c r="AK17" s="7" t="s">
        <v>34</v>
      </c>
      <c r="AL17" s="7" t="s">
        <v>34</v>
      </c>
      <c r="AM17" s="407"/>
      <c r="AN17" s="407"/>
      <c r="AO17" s="407"/>
      <c r="AP17" s="407"/>
      <c r="AQ17" s="407"/>
      <c r="AR17" s="407"/>
    </row>
    <row r="18" spans="1:44" ht="15" customHeight="1" thickBot="1" x14ac:dyDescent="0.3">
      <c r="A18" s="48" t="s">
        <v>201</v>
      </c>
      <c r="B18" s="371">
        <v>3</v>
      </c>
      <c r="C18" s="161">
        <v>0</v>
      </c>
      <c r="D18" s="73">
        <f t="shared" si="0"/>
        <v>3</v>
      </c>
      <c r="E18" s="92" t="s">
        <v>201</v>
      </c>
      <c r="F18" s="369">
        <v>15</v>
      </c>
      <c r="G18" s="95">
        <v>0</v>
      </c>
      <c r="H18" s="94">
        <f t="shared" si="1"/>
        <v>15</v>
      </c>
      <c r="I18" s="59" t="s">
        <v>284</v>
      </c>
      <c r="J18" s="14" t="s">
        <v>34</v>
      </c>
      <c r="K18" s="14" t="s">
        <v>34</v>
      </c>
      <c r="L18" s="14" t="s">
        <v>34</v>
      </c>
      <c r="M18" s="7" t="s">
        <v>34</v>
      </c>
      <c r="N18" s="7" t="s">
        <v>34</v>
      </c>
      <c r="O18" s="7" t="s">
        <v>34</v>
      </c>
      <c r="P18" s="7" t="s">
        <v>34</v>
      </c>
      <c r="Q18" s="7" t="s">
        <v>34</v>
      </c>
      <c r="R18" s="7" t="s">
        <v>34</v>
      </c>
      <c r="S18" s="221" t="s">
        <v>34</v>
      </c>
      <c r="T18" s="7" t="s">
        <v>34</v>
      </c>
      <c r="U18" s="7" t="s">
        <v>34</v>
      </c>
      <c r="V18" s="354"/>
      <c r="W18" s="354"/>
      <c r="X18" s="354"/>
      <c r="Y18" s="332"/>
      <c r="Z18" s="332"/>
      <c r="AA18" s="221" t="s">
        <v>34</v>
      </c>
      <c r="AB18" s="7" t="s">
        <v>34</v>
      </c>
      <c r="AC18" s="7" t="s">
        <v>34</v>
      </c>
      <c r="AD18" s="221" t="s">
        <v>34</v>
      </c>
      <c r="AE18" s="7" t="s">
        <v>34</v>
      </c>
      <c r="AF18" s="7" t="s">
        <v>34</v>
      </c>
      <c r="AG18" s="7" t="s">
        <v>34</v>
      </c>
      <c r="AH18" s="7" t="s">
        <v>34</v>
      </c>
      <c r="AI18" s="7" t="s">
        <v>34</v>
      </c>
      <c r="AJ18" s="221">
        <v>1</v>
      </c>
      <c r="AK18" s="7">
        <v>1</v>
      </c>
      <c r="AL18" s="232">
        <f>SUM(AJ18/AK18)*100</f>
        <v>100</v>
      </c>
      <c r="AM18" t="s">
        <v>285</v>
      </c>
    </row>
    <row r="19" spans="1:44" ht="15" customHeight="1" thickBot="1" x14ac:dyDescent="0.3">
      <c r="A19" s="48" t="s">
        <v>674</v>
      </c>
      <c r="B19" s="371">
        <v>1</v>
      </c>
      <c r="C19" s="161">
        <v>0</v>
      </c>
      <c r="D19" s="73">
        <f t="shared" si="0"/>
        <v>1</v>
      </c>
      <c r="E19" s="92" t="s">
        <v>674</v>
      </c>
      <c r="F19" s="369">
        <v>5</v>
      </c>
      <c r="G19" s="95">
        <v>0</v>
      </c>
      <c r="H19" s="94">
        <f t="shared" si="1"/>
        <v>5</v>
      </c>
      <c r="I19" s="59" t="s">
        <v>208</v>
      </c>
      <c r="J19" s="14" t="s">
        <v>34</v>
      </c>
      <c r="K19" s="14" t="s">
        <v>34</v>
      </c>
      <c r="L19" s="14" t="s">
        <v>34</v>
      </c>
      <c r="M19" s="7" t="s">
        <v>34</v>
      </c>
      <c r="N19" s="7" t="s">
        <v>34</v>
      </c>
      <c r="O19" s="7" t="s">
        <v>34</v>
      </c>
      <c r="P19" s="7" t="s">
        <v>34</v>
      </c>
      <c r="Q19" s="7" t="s">
        <v>34</v>
      </c>
      <c r="R19" s="7" t="s">
        <v>34</v>
      </c>
      <c r="S19" s="221" t="s">
        <v>34</v>
      </c>
      <c r="T19" s="7" t="s">
        <v>34</v>
      </c>
      <c r="U19" s="7" t="s">
        <v>34</v>
      </c>
      <c r="V19" s="354"/>
      <c r="W19" s="354"/>
      <c r="X19" s="354"/>
      <c r="Y19" s="332"/>
      <c r="Z19" s="332"/>
      <c r="AA19" s="6">
        <v>1</v>
      </c>
      <c r="AB19" s="6">
        <v>3</v>
      </c>
      <c r="AC19" s="240">
        <f>SUM(AA19/AB19)*100</f>
        <v>33.333333333333329</v>
      </c>
      <c r="AD19" s="221" t="s">
        <v>34</v>
      </c>
      <c r="AE19" s="7" t="s">
        <v>34</v>
      </c>
      <c r="AF19" s="7" t="s">
        <v>34</v>
      </c>
      <c r="AG19" s="7" t="s">
        <v>34</v>
      </c>
      <c r="AH19" s="7" t="s">
        <v>34</v>
      </c>
      <c r="AI19" s="7" t="s">
        <v>34</v>
      </c>
      <c r="AJ19" s="221" t="s">
        <v>34</v>
      </c>
      <c r="AK19" s="7" t="s">
        <v>34</v>
      </c>
      <c r="AL19" s="7" t="s">
        <v>34</v>
      </c>
    </row>
    <row r="20" spans="1:44" ht="15" customHeight="1" thickBot="1" x14ac:dyDescent="0.3">
      <c r="A20" s="48" t="s">
        <v>108</v>
      </c>
      <c r="B20" s="371">
        <v>5</v>
      </c>
      <c r="C20" s="161">
        <v>0</v>
      </c>
      <c r="D20" s="73">
        <f t="shared" si="0"/>
        <v>5</v>
      </c>
      <c r="E20" s="92" t="s">
        <v>108</v>
      </c>
      <c r="F20" s="369">
        <v>25</v>
      </c>
      <c r="G20" s="95">
        <v>0</v>
      </c>
      <c r="H20" s="94">
        <f t="shared" si="1"/>
        <v>25</v>
      </c>
      <c r="V20" s="354"/>
      <c r="W20" s="354"/>
      <c r="X20" s="354"/>
      <c r="Y20" s="332"/>
      <c r="Z20" s="332"/>
      <c r="AA20" s="331" t="s">
        <v>51</v>
      </c>
      <c r="AB20" s="331"/>
      <c r="AC20" s="331"/>
    </row>
    <row r="21" spans="1:44" ht="15" customHeight="1" thickBot="1" x14ac:dyDescent="0.3">
      <c r="A21" s="48" t="s">
        <v>193</v>
      </c>
      <c r="B21" s="371">
        <v>0</v>
      </c>
      <c r="C21" s="161">
        <v>0</v>
      </c>
      <c r="D21" s="73">
        <f t="shared" si="0"/>
        <v>0</v>
      </c>
      <c r="E21" s="92" t="s">
        <v>193</v>
      </c>
      <c r="F21" s="369">
        <v>0</v>
      </c>
      <c r="G21" s="95">
        <v>0</v>
      </c>
      <c r="H21" s="94">
        <f t="shared" si="1"/>
        <v>0</v>
      </c>
      <c r="I21" s="515" t="s">
        <v>218</v>
      </c>
      <c r="J21" s="543" t="s">
        <v>836</v>
      </c>
      <c r="K21" s="549"/>
      <c r="L21" s="550"/>
      <c r="M21" s="543" t="s">
        <v>816</v>
      </c>
      <c r="N21" s="549"/>
      <c r="O21" s="550"/>
      <c r="P21" s="543" t="s">
        <v>574</v>
      </c>
      <c r="Q21" s="549"/>
      <c r="R21" s="550"/>
      <c r="S21" s="543" t="s">
        <v>217</v>
      </c>
      <c r="T21" s="549"/>
      <c r="U21" s="550"/>
      <c r="V21" s="354"/>
      <c r="W21" s="354"/>
      <c r="X21" s="354"/>
      <c r="Y21" s="332"/>
      <c r="Z21" s="332"/>
      <c r="AA21" s="543" t="s">
        <v>137</v>
      </c>
      <c r="AB21" s="549"/>
      <c r="AC21" s="550"/>
      <c r="AD21" s="543" t="s">
        <v>101</v>
      </c>
      <c r="AE21" s="549"/>
      <c r="AF21" s="550"/>
    </row>
    <row r="22" spans="1:44" ht="15" customHeight="1" thickBot="1" x14ac:dyDescent="0.3">
      <c r="A22" s="48" t="s">
        <v>867</v>
      </c>
      <c r="B22" s="371">
        <v>0</v>
      </c>
      <c r="C22" s="161">
        <v>0</v>
      </c>
      <c r="D22" s="73">
        <f t="shared" si="0"/>
        <v>0</v>
      </c>
      <c r="E22" s="92" t="s">
        <v>867</v>
      </c>
      <c r="F22" s="369">
        <v>0</v>
      </c>
      <c r="G22" s="95">
        <v>0</v>
      </c>
      <c r="H22" s="94">
        <f t="shared" si="1"/>
        <v>0</v>
      </c>
      <c r="I22" s="516"/>
      <c r="J22" s="551"/>
      <c r="K22" s="552"/>
      <c r="L22" s="553"/>
      <c r="M22" s="551"/>
      <c r="N22" s="552"/>
      <c r="O22" s="553"/>
      <c r="P22" s="551"/>
      <c r="Q22" s="552"/>
      <c r="R22" s="553"/>
      <c r="S22" s="551"/>
      <c r="T22" s="552"/>
      <c r="U22" s="553"/>
      <c r="V22" s="354"/>
      <c r="W22" s="354"/>
      <c r="X22" s="354"/>
      <c r="Y22" s="332"/>
      <c r="Z22" s="332"/>
      <c r="AA22" s="551"/>
      <c r="AB22" s="552"/>
      <c r="AC22" s="553"/>
      <c r="AD22" s="551"/>
      <c r="AE22" s="552"/>
      <c r="AF22" s="553"/>
    </row>
    <row r="23" spans="1:44" ht="15" customHeight="1" thickBot="1" x14ac:dyDescent="0.3">
      <c r="A23" s="48" t="s">
        <v>133</v>
      </c>
      <c r="B23" s="371">
        <v>1</v>
      </c>
      <c r="C23" s="161">
        <v>0</v>
      </c>
      <c r="D23" s="73">
        <f t="shared" si="0"/>
        <v>1</v>
      </c>
      <c r="E23" s="92" t="s">
        <v>133</v>
      </c>
      <c r="F23" s="369">
        <v>5</v>
      </c>
      <c r="G23" s="95">
        <v>0</v>
      </c>
      <c r="H23" s="94">
        <f t="shared" si="1"/>
        <v>5</v>
      </c>
      <c r="I23" s="33" t="s">
        <v>51</v>
      </c>
      <c r="J23" s="7" t="s">
        <v>129</v>
      </c>
      <c r="K23" s="7" t="s">
        <v>27</v>
      </c>
      <c r="L23" s="7" t="s">
        <v>28</v>
      </c>
      <c r="M23" s="7" t="s">
        <v>129</v>
      </c>
      <c r="N23" s="7" t="s">
        <v>27</v>
      </c>
      <c r="O23" s="7" t="s">
        <v>28</v>
      </c>
      <c r="P23" s="7" t="s">
        <v>129</v>
      </c>
      <c r="Q23" s="7" t="s">
        <v>27</v>
      </c>
      <c r="R23" s="7" t="s">
        <v>28</v>
      </c>
      <c r="S23" s="221" t="s">
        <v>129</v>
      </c>
      <c r="T23" s="7" t="s">
        <v>27</v>
      </c>
      <c r="U23" s="7" t="s">
        <v>28</v>
      </c>
      <c r="V23" s="354"/>
      <c r="W23" s="354"/>
      <c r="X23" s="354"/>
      <c r="Y23" s="332"/>
      <c r="Z23" s="332"/>
      <c r="AA23" s="221" t="s">
        <v>129</v>
      </c>
      <c r="AB23" s="7" t="s">
        <v>27</v>
      </c>
      <c r="AC23" s="7" t="s">
        <v>28</v>
      </c>
      <c r="AD23" s="221" t="s">
        <v>129</v>
      </c>
      <c r="AE23" s="7" t="s">
        <v>27</v>
      </c>
      <c r="AF23" s="7" t="s">
        <v>28</v>
      </c>
    </row>
    <row r="24" spans="1:44" ht="15" customHeight="1" thickBot="1" x14ac:dyDescent="0.3">
      <c r="A24" s="48" t="s">
        <v>23</v>
      </c>
      <c r="B24" s="371">
        <v>2</v>
      </c>
      <c r="C24" s="161">
        <v>0</v>
      </c>
      <c r="D24" s="73">
        <f t="shared" si="0"/>
        <v>2</v>
      </c>
      <c r="E24" s="92" t="s">
        <v>23</v>
      </c>
      <c r="F24" s="369">
        <v>10</v>
      </c>
      <c r="G24" s="95">
        <v>0</v>
      </c>
      <c r="H24" s="94">
        <f t="shared" si="1"/>
        <v>10</v>
      </c>
      <c r="I24" s="120" t="s">
        <v>4</v>
      </c>
      <c r="J24" s="7">
        <v>6</v>
      </c>
      <c r="K24" s="7">
        <v>11</v>
      </c>
      <c r="L24" s="232">
        <f>(J24/K24)*100</f>
        <v>54.54545454545454</v>
      </c>
      <c r="M24" s="7">
        <v>2</v>
      </c>
      <c r="N24" s="7">
        <v>4</v>
      </c>
      <c r="O24" s="232">
        <f>SUM(M24/N24)*100</f>
        <v>50</v>
      </c>
      <c r="P24" s="7">
        <v>4</v>
      </c>
      <c r="Q24" s="7">
        <v>6</v>
      </c>
      <c r="R24" s="232">
        <f>SUM(P24/Q24)*100</f>
        <v>66.666666666666657</v>
      </c>
      <c r="S24" s="221">
        <v>7</v>
      </c>
      <c r="T24" s="7">
        <v>13</v>
      </c>
      <c r="U24" s="232">
        <f>SUM(S24/T24)*100</f>
        <v>53.846153846153847</v>
      </c>
      <c r="V24" s="354"/>
      <c r="W24" s="354"/>
      <c r="X24" s="354"/>
      <c r="Y24" s="332"/>
      <c r="Z24" s="332"/>
      <c r="AA24" s="221" t="s">
        <v>34</v>
      </c>
      <c r="AB24" s="7" t="s">
        <v>34</v>
      </c>
      <c r="AC24" s="7" t="s">
        <v>34</v>
      </c>
      <c r="AD24" s="221" t="s">
        <v>34</v>
      </c>
      <c r="AE24" s="7" t="s">
        <v>34</v>
      </c>
      <c r="AF24" s="7" t="s">
        <v>34</v>
      </c>
    </row>
    <row r="25" spans="1:44" ht="15" customHeight="1" thickBot="1" x14ac:dyDescent="0.3">
      <c r="A25" s="48" t="s">
        <v>62</v>
      </c>
      <c r="B25" s="371">
        <v>0</v>
      </c>
      <c r="C25" s="161">
        <v>0</v>
      </c>
      <c r="D25" s="73">
        <f t="shared" si="0"/>
        <v>0</v>
      </c>
      <c r="E25" s="92" t="s">
        <v>62</v>
      </c>
      <c r="F25" s="369">
        <v>0</v>
      </c>
      <c r="G25" s="95">
        <v>0</v>
      </c>
      <c r="H25" s="94">
        <f t="shared" si="1"/>
        <v>0</v>
      </c>
      <c r="I25" s="120" t="s">
        <v>603</v>
      </c>
      <c r="J25" s="7">
        <v>1</v>
      </c>
      <c r="K25" s="7">
        <v>1</v>
      </c>
      <c r="L25" s="232">
        <f>(J25/K25)*100</f>
        <v>100</v>
      </c>
      <c r="M25" s="7"/>
      <c r="N25" s="7"/>
      <c r="O25" s="232"/>
      <c r="P25" s="7"/>
      <c r="Q25" s="7"/>
      <c r="R25" s="232"/>
      <c r="S25" s="221"/>
      <c r="T25" s="7"/>
      <c r="U25" s="232"/>
      <c r="V25" s="354"/>
      <c r="W25" s="354"/>
      <c r="X25" s="354"/>
      <c r="Y25" s="332"/>
      <c r="Z25" s="332"/>
      <c r="AA25" s="221"/>
      <c r="AB25" s="7"/>
      <c r="AC25" s="7"/>
      <c r="AD25" s="6" t="s">
        <v>34</v>
      </c>
      <c r="AE25" s="7" t="s">
        <v>34</v>
      </c>
      <c r="AF25" s="7" t="s">
        <v>34</v>
      </c>
    </row>
    <row r="26" spans="1:44" ht="15" customHeight="1" thickBot="1" x14ac:dyDescent="0.3">
      <c r="A26" s="48" t="s">
        <v>61</v>
      </c>
      <c r="B26" s="371">
        <v>0</v>
      </c>
      <c r="C26" s="161">
        <v>0</v>
      </c>
      <c r="D26" s="73">
        <f t="shared" si="0"/>
        <v>0</v>
      </c>
      <c r="E26" s="92" t="s">
        <v>61</v>
      </c>
      <c r="F26" s="369">
        <v>4</v>
      </c>
      <c r="G26" s="95">
        <v>0</v>
      </c>
      <c r="H26" s="94">
        <f t="shared" si="1"/>
        <v>4</v>
      </c>
      <c r="I26" s="120" t="s">
        <v>530</v>
      </c>
      <c r="J26" s="7" t="s">
        <v>34</v>
      </c>
      <c r="K26" s="7" t="s">
        <v>34</v>
      </c>
      <c r="L26" s="232" t="s">
        <v>34</v>
      </c>
      <c r="M26" s="7">
        <v>1</v>
      </c>
      <c r="N26" s="7">
        <v>1</v>
      </c>
      <c r="O26" s="232">
        <f>SUM(M26/N26)*100</f>
        <v>100</v>
      </c>
      <c r="P26" s="7" t="s">
        <v>34</v>
      </c>
      <c r="Q26" s="7" t="s">
        <v>34</v>
      </c>
      <c r="R26" s="7" t="s">
        <v>34</v>
      </c>
      <c r="S26" s="221" t="s">
        <v>34</v>
      </c>
      <c r="T26" s="7" t="s">
        <v>34</v>
      </c>
      <c r="U26" s="7" t="s">
        <v>34</v>
      </c>
      <c r="V26" s="354"/>
      <c r="W26" s="354"/>
      <c r="X26" s="354"/>
      <c r="Y26" s="332"/>
      <c r="Z26" s="332"/>
      <c r="AA26" s="221" t="s">
        <v>34</v>
      </c>
      <c r="AB26" s="7" t="s">
        <v>34</v>
      </c>
      <c r="AC26" s="7" t="s">
        <v>34</v>
      </c>
      <c r="AD26" s="221" t="s">
        <v>34</v>
      </c>
      <c r="AE26" s="7" t="s">
        <v>34</v>
      </c>
      <c r="AF26" s="7" t="s">
        <v>34</v>
      </c>
    </row>
    <row r="27" spans="1:44" ht="15" customHeight="1" thickBot="1" x14ac:dyDescent="0.3">
      <c r="A27" s="48" t="s">
        <v>869</v>
      </c>
      <c r="B27" s="371">
        <v>1</v>
      </c>
      <c r="C27" s="161">
        <v>0</v>
      </c>
      <c r="D27" s="73">
        <f t="shared" si="0"/>
        <v>1</v>
      </c>
      <c r="E27" s="92" t="s">
        <v>869</v>
      </c>
      <c r="F27" s="369">
        <v>5</v>
      </c>
      <c r="G27" s="95">
        <v>0</v>
      </c>
      <c r="H27" s="94">
        <f t="shared" si="1"/>
        <v>5</v>
      </c>
      <c r="I27" s="120" t="s">
        <v>25</v>
      </c>
      <c r="J27" s="7">
        <v>3</v>
      </c>
      <c r="K27" s="7">
        <v>5</v>
      </c>
      <c r="L27" s="232">
        <f>(J27/K27)*100</f>
        <v>60</v>
      </c>
      <c r="M27" s="7">
        <v>2</v>
      </c>
      <c r="N27" s="7">
        <v>2</v>
      </c>
      <c r="O27" s="232">
        <f>SUM(M27/N27)*100</f>
        <v>100</v>
      </c>
      <c r="P27" s="7">
        <v>4</v>
      </c>
      <c r="Q27" s="7">
        <v>4</v>
      </c>
      <c r="R27" s="232">
        <f>SUM(P27/Q27)*100</f>
        <v>100</v>
      </c>
      <c r="S27" s="221" t="s">
        <v>34</v>
      </c>
      <c r="T27" s="7" t="s">
        <v>34</v>
      </c>
      <c r="U27" s="7" t="s">
        <v>34</v>
      </c>
      <c r="V27" s="354"/>
      <c r="W27" s="354"/>
      <c r="X27" s="354"/>
      <c r="Y27" s="332"/>
      <c r="Z27" s="332"/>
      <c r="AA27" s="221" t="s">
        <v>34</v>
      </c>
      <c r="AB27" s="7" t="s">
        <v>34</v>
      </c>
      <c r="AC27" s="7" t="s">
        <v>34</v>
      </c>
      <c r="AD27" s="221">
        <v>13</v>
      </c>
      <c r="AE27" s="7">
        <v>19</v>
      </c>
      <c r="AF27" s="232">
        <f>SUM(AD27/AE27)*100</f>
        <v>68.421052631578945</v>
      </c>
    </row>
    <row r="28" spans="1:44" ht="15" customHeight="1" thickBot="1" x14ac:dyDescent="0.3">
      <c r="A28" s="48" t="s">
        <v>1000</v>
      </c>
      <c r="B28" s="371">
        <v>0</v>
      </c>
      <c r="C28" s="161">
        <v>1</v>
      </c>
      <c r="D28" s="73">
        <f t="shared" si="0"/>
        <v>1</v>
      </c>
      <c r="E28" s="92" t="s">
        <v>1000</v>
      </c>
      <c r="F28" s="369">
        <v>0</v>
      </c>
      <c r="G28" s="95">
        <v>5</v>
      </c>
      <c r="H28" s="94">
        <f t="shared" si="1"/>
        <v>5</v>
      </c>
      <c r="I28" s="537" t="s">
        <v>872</v>
      </c>
      <c r="J28" s="536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6"/>
      <c r="V28" s="536"/>
      <c r="W28" s="536"/>
      <c r="X28" s="536"/>
      <c r="Y28" s="536"/>
      <c r="Z28" s="536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6"/>
      <c r="AL28" s="536"/>
      <c r="AM28" s="536"/>
      <c r="AN28" s="536"/>
      <c r="AO28" s="536"/>
    </row>
    <row r="29" spans="1:44" ht="15" customHeight="1" thickBot="1" x14ac:dyDescent="0.3">
      <c r="A29" s="48" t="s">
        <v>6</v>
      </c>
      <c r="B29" s="371">
        <v>1</v>
      </c>
      <c r="C29" s="161">
        <v>2</v>
      </c>
      <c r="D29" s="73">
        <f t="shared" si="0"/>
        <v>3</v>
      </c>
      <c r="E29" s="92" t="s">
        <v>6</v>
      </c>
      <c r="F29" s="369">
        <v>7</v>
      </c>
      <c r="G29" s="95">
        <v>14</v>
      </c>
      <c r="H29" s="94">
        <f t="shared" si="1"/>
        <v>21</v>
      </c>
      <c r="I29" s="537" t="s">
        <v>1092</v>
      </c>
      <c r="J29" s="554"/>
      <c r="K29" s="554"/>
      <c r="L29" s="554"/>
      <c r="M29" s="554"/>
      <c r="N29" s="554"/>
      <c r="O29" s="554"/>
      <c r="P29" s="554"/>
      <c r="Q29" s="554"/>
      <c r="R29" s="554"/>
      <c r="S29" s="554"/>
      <c r="T29" s="554"/>
      <c r="U29" s="554"/>
      <c r="AP29" s="276"/>
    </row>
    <row r="30" spans="1:44" ht="15" customHeight="1" thickBot="1" x14ac:dyDescent="0.3">
      <c r="A30" s="48" t="s">
        <v>191</v>
      </c>
      <c r="B30" s="371">
        <v>0</v>
      </c>
      <c r="C30" s="161">
        <v>0</v>
      </c>
      <c r="D30" s="73">
        <f t="shared" si="0"/>
        <v>0</v>
      </c>
      <c r="E30" s="92" t="s">
        <v>191</v>
      </c>
      <c r="F30" s="369">
        <v>0</v>
      </c>
      <c r="G30" s="95">
        <v>0</v>
      </c>
      <c r="H30" s="94">
        <f t="shared" si="1"/>
        <v>0</v>
      </c>
      <c r="I30" s="112"/>
      <c r="M30" s="88"/>
      <c r="N30" s="88"/>
      <c r="O30" s="88"/>
      <c r="P30" s="88"/>
      <c r="Q30" s="88"/>
      <c r="R30" s="88"/>
      <c r="S30" s="88"/>
      <c r="T30" s="88"/>
      <c r="U30" s="88"/>
    </row>
    <row r="31" spans="1:44" ht="15" customHeight="1" thickBot="1" x14ac:dyDescent="0.3">
      <c r="A31" s="48" t="s">
        <v>170</v>
      </c>
      <c r="B31" s="371">
        <v>0</v>
      </c>
      <c r="C31" s="161">
        <v>0</v>
      </c>
      <c r="D31" s="73">
        <f t="shared" si="0"/>
        <v>0</v>
      </c>
      <c r="E31" s="92" t="s">
        <v>170</v>
      </c>
      <c r="F31" s="369">
        <v>0</v>
      </c>
      <c r="G31" s="95">
        <v>0</v>
      </c>
      <c r="H31" s="94">
        <f t="shared" si="1"/>
        <v>0</v>
      </c>
      <c r="I31" s="112"/>
      <c r="M31" s="88"/>
      <c r="N31" s="88"/>
      <c r="O31" s="88"/>
      <c r="P31" s="88"/>
      <c r="Q31" s="88"/>
      <c r="R31" s="88"/>
      <c r="S31" s="88"/>
      <c r="T31" s="88"/>
      <c r="U31" s="88"/>
    </row>
    <row r="32" spans="1:44" ht="15" customHeight="1" thickBot="1" x14ac:dyDescent="0.3">
      <c r="A32" s="48" t="s">
        <v>601</v>
      </c>
      <c r="B32" s="371">
        <v>5</v>
      </c>
      <c r="C32" s="161">
        <v>1</v>
      </c>
      <c r="D32" s="73">
        <f t="shared" si="0"/>
        <v>6</v>
      </c>
      <c r="E32" s="92" t="s">
        <v>601</v>
      </c>
      <c r="F32" s="369">
        <v>25</v>
      </c>
      <c r="G32" s="95">
        <v>5</v>
      </c>
      <c r="H32" s="94">
        <f t="shared" si="1"/>
        <v>30</v>
      </c>
    </row>
    <row r="33" spans="1:44" ht="15" customHeight="1" thickBot="1" x14ac:dyDescent="0.3">
      <c r="A33" s="48" t="s">
        <v>626</v>
      </c>
      <c r="B33" s="371">
        <v>0</v>
      </c>
      <c r="C33" s="161">
        <v>0</v>
      </c>
      <c r="D33" s="73">
        <f t="shared" si="0"/>
        <v>0</v>
      </c>
      <c r="E33" s="92" t="s">
        <v>626</v>
      </c>
      <c r="F33" s="369">
        <v>0</v>
      </c>
      <c r="G33" s="95">
        <v>0</v>
      </c>
      <c r="H33" s="94">
        <f t="shared" si="1"/>
        <v>0</v>
      </c>
    </row>
    <row r="34" spans="1:44" ht="15" customHeight="1" thickBot="1" x14ac:dyDescent="0.3">
      <c r="A34" s="48" t="s">
        <v>216</v>
      </c>
      <c r="B34" s="371">
        <v>1</v>
      </c>
      <c r="C34" s="161">
        <v>0</v>
      </c>
      <c r="D34" s="73">
        <f t="shared" si="0"/>
        <v>1</v>
      </c>
      <c r="E34" s="92" t="s">
        <v>216</v>
      </c>
      <c r="F34" s="369">
        <v>5</v>
      </c>
      <c r="G34" s="95">
        <v>0</v>
      </c>
      <c r="H34" s="94">
        <f t="shared" si="1"/>
        <v>5</v>
      </c>
    </row>
    <row r="35" spans="1:44" ht="15" customHeight="1" thickBot="1" x14ac:dyDescent="0.3">
      <c r="A35" s="48" t="s">
        <v>24</v>
      </c>
      <c r="B35" s="371">
        <v>0</v>
      </c>
      <c r="C35" s="161">
        <v>0</v>
      </c>
      <c r="D35" s="73">
        <f t="shared" si="0"/>
        <v>0</v>
      </c>
      <c r="E35" s="92" t="s">
        <v>24</v>
      </c>
      <c r="F35" s="369">
        <v>0</v>
      </c>
      <c r="G35" s="95">
        <v>0</v>
      </c>
      <c r="H35" s="94">
        <f t="shared" si="1"/>
        <v>0</v>
      </c>
    </row>
    <row r="36" spans="1:44" ht="15" customHeight="1" thickBot="1" x14ac:dyDescent="0.3">
      <c r="A36" s="48" t="s">
        <v>37</v>
      </c>
      <c r="B36" s="371">
        <v>2</v>
      </c>
      <c r="C36" s="161">
        <v>0</v>
      </c>
      <c r="D36" s="73">
        <f t="shared" si="0"/>
        <v>2</v>
      </c>
      <c r="E36" s="92" t="s">
        <v>37</v>
      </c>
      <c r="F36" s="369">
        <v>10</v>
      </c>
      <c r="G36" s="95">
        <v>0</v>
      </c>
      <c r="H36" s="94">
        <f t="shared" si="1"/>
        <v>10</v>
      </c>
    </row>
    <row r="37" spans="1:44" ht="15" customHeight="1" thickBot="1" x14ac:dyDescent="0.3">
      <c r="A37" s="48" t="s">
        <v>17</v>
      </c>
      <c r="B37" s="371">
        <v>3</v>
      </c>
      <c r="C37" s="161">
        <v>0</v>
      </c>
      <c r="D37" s="73">
        <f t="shared" si="0"/>
        <v>3</v>
      </c>
      <c r="E37" s="92" t="s">
        <v>17</v>
      </c>
      <c r="F37" s="369">
        <v>15</v>
      </c>
      <c r="G37" s="95">
        <v>0</v>
      </c>
      <c r="H37" s="94">
        <f t="shared" si="1"/>
        <v>15</v>
      </c>
    </row>
    <row r="38" spans="1:44" ht="15" customHeight="1" thickBot="1" x14ac:dyDescent="0.3">
      <c r="A38" s="48" t="s">
        <v>162</v>
      </c>
      <c r="B38" s="371">
        <v>2</v>
      </c>
      <c r="C38" s="161">
        <v>0</v>
      </c>
      <c r="D38" s="73">
        <f t="shared" si="0"/>
        <v>2</v>
      </c>
      <c r="E38" s="92" t="s">
        <v>162</v>
      </c>
      <c r="F38" s="369">
        <v>10</v>
      </c>
      <c r="G38" s="95">
        <v>0</v>
      </c>
      <c r="H38" s="94">
        <f t="shared" si="1"/>
        <v>10</v>
      </c>
    </row>
    <row r="39" spans="1:44" ht="15" customHeight="1" thickBot="1" x14ac:dyDescent="0.3">
      <c r="A39" s="48" t="s">
        <v>1067</v>
      </c>
      <c r="B39" s="371">
        <v>1</v>
      </c>
      <c r="C39" s="161">
        <v>0</v>
      </c>
      <c r="D39" s="73">
        <f t="shared" si="0"/>
        <v>1</v>
      </c>
      <c r="E39" s="92" t="s">
        <v>1067</v>
      </c>
      <c r="F39" s="369">
        <v>5</v>
      </c>
      <c r="G39" s="95">
        <v>0</v>
      </c>
      <c r="H39" s="94">
        <f t="shared" si="1"/>
        <v>5</v>
      </c>
    </row>
    <row r="40" spans="1:44" ht="15" customHeight="1" thickBot="1" x14ac:dyDescent="0.3">
      <c r="A40" s="48" t="s">
        <v>766</v>
      </c>
      <c r="B40" s="371">
        <v>0</v>
      </c>
      <c r="C40" s="161">
        <v>0</v>
      </c>
      <c r="D40" s="73">
        <f t="shared" si="0"/>
        <v>0</v>
      </c>
      <c r="E40" s="92" t="s">
        <v>766</v>
      </c>
      <c r="F40" s="369">
        <v>0</v>
      </c>
      <c r="G40" s="95">
        <v>0</v>
      </c>
      <c r="H40" s="94">
        <f t="shared" si="1"/>
        <v>0</v>
      </c>
    </row>
    <row r="41" spans="1:44" ht="15" customHeight="1" thickBot="1" x14ac:dyDescent="0.3">
      <c r="A41" s="48" t="s">
        <v>135</v>
      </c>
      <c r="B41" s="371">
        <v>1</v>
      </c>
      <c r="C41" s="161">
        <v>0</v>
      </c>
      <c r="D41" s="73">
        <f t="shared" si="0"/>
        <v>1</v>
      </c>
      <c r="E41" s="92" t="s">
        <v>135</v>
      </c>
      <c r="F41" s="369">
        <v>5</v>
      </c>
      <c r="G41" s="95">
        <v>0</v>
      </c>
      <c r="H41" s="94">
        <f t="shared" si="1"/>
        <v>5</v>
      </c>
    </row>
    <row r="42" spans="1:44" ht="15" customHeight="1" thickBot="1" x14ac:dyDescent="0.3">
      <c r="A42" s="48" t="s">
        <v>8</v>
      </c>
      <c r="B42" s="371">
        <v>1</v>
      </c>
      <c r="C42" s="161">
        <v>0</v>
      </c>
      <c r="D42" s="73">
        <f t="shared" si="0"/>
        <v>1</v>
      </c>
      <c r="E42" s="92" t="s">
        <v>8</v>
      </c>
      <c r="F42" s="369">
        <v>5</v>
      </c>
      <c r="G42" s="95">
        <v>0</v>
      </c>
      <c r="H42" s="94">
        <f t="shared" si="1"/>
        <v>5</v>
      </c>
    </row>
    <row r="43" spans="1:44" ht="15" customHeight="1" thickBot="1" x14ac:dyDescent="0.3">
      <c r="A43" s="48" t="s">
        <v>25</v>
      </c>
      <c r="B43" s="371">
        <v>2</v>
      </c>
      <c r="C43" s="161">
        <v>0</v>
      </c>
      <c r="D43" s="73">
        <f t="shared" si="0"/>
        <v>2</v>
      </c>
      <c r="E43" s="92" t="s">
        <v>25</v>
      </c>
      <c r="F43" s="369">
        <v>104</v>
      </c>
      <c r="G43" s="95">
        <v>0</v>
      </c>
      <c r="H43" s="94">
        <f t="shared" si="1"/>
        <v>104</v>
      </c>
    </row>
    <row r="44" spans="1:44" ht="15" customHeight="1" thickBot="1" x14ac:dyDescent="0.3">
      <c r="A44" s="48" t="s">
        <v>734</v>
      </c>
      <c r="B44" s="371">
        <v>0</v>
      </c>
      <c r="C44" s="161">
        <v>0</v>
      </c>
      <c r="D44" s="73">
        <f t="shared" si="0"/>
        <v>0</v>
      </c>
      <c r="E44" s="92" t="s">
        <v>734</v>
      </c>
      <c r="F44" s="369">
        <v>0</v>
      </c>
      <c r="G44" s="95">
        <v>0</v>
      </c>
      <c r="H44" s="94">
        <f t="shared" si="1"/>
        <v>0</v>
      </c>
    </row>
    <row r="45" spans="1:44" ht="15.75" thickBot="1" x14ac:dyDescent="0.3">
      <c r="A45" s="48" t="s">
        <v>1022</v>
      </c>
      <c r="B45" s="371">
        <v>2</v>
      </c>
      <c r="C45" s="161">
        <v>0</v>
      </c>
      <c r="D45" s="73">
        <f t="shared" si="0"/>
        <v>2</v>
      </c>
      <c r="E45" s="92" t="s">
        <v>1022</v>
      </c>
      <c r="F45" s="369">
        <v>10</v>
      </c>
      <c r="G45" s="95">
        <v>0</v>
      </c>
      <c r="H45" s="94">
        <f t="shared" si="1"/>
        <v>10</v>
      </c>
    </row>
    <row r="46" spans="1:44" ht="15.75" thickBot="1" x14ac:dyDescent="0.3">
      <c r="A46" s="48" t="s">
        <v>48</v>
      </c>
      <c r="B46" s="371">
        <v>2</v>
      </c>
      <c r="C46" s="161">
        <v>0</v>
      </c>
      <c r="D46" s="73">
        <f t="shared" si="0"/>
        <v>2</v>
      </c>
      <c r="E46" s="92" t="s">
        <v>48</v>
      </c>
      <c r="F46" s="369">
        <v>10</v>
      </c>
      <c r="G46" s="95">
        <v>0</v>
      </c>
      <c r="H46" s="94">
        <f t="shared" si="1"/>
        <v>10</v>
      </c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330"/>
      <c r="AR46" s="330"/>
    </row>
    <row r="47" spans="1:44" s="330" customFormat="1" ht="15" customHeight="1" thickBot="1" x14ac:dyDescent="0.3">
      <c r="A47" s="48" t="s">
        <v>171</v>
      </c>
      <c r="B47" s="371">
        <v>1</v>
      </c>
      <c r="C47" s="161">
        <v>0</v>
      </c>
      <c r="D47" s="73">
        <f t="shared" si="0"/>
        <v>1</v>
      </c>
      <c r="E47" s="92" t="s">
        <v>171</v>
      </c>
      <c r="F47" s="369">
        <v>5</v>
      </c>
      <c r="G47" s="95">
        <v>0</v>
      </c>
      <c r="H47" s="94">
        <f t="shared" si="1"/>
        <v>5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ht="15" customHeight="1" thickBot="1" x14ac:dyDescent="0.3">
      <c r="A48" s="48" t="s">
        <v>3</v>
      </c>
      <c r="B48" s="371">
        <f>SUM(B3:B47)</f>
        <v>56</v>
      </c>
      <c r="C48" s="161">
        <f>SUM(C3:C47)</f>
        <v>7</v>
      </c>
      <c r="D48" s="73">
        <f>SUM(D3:D47)</f>
        <v>63</v>
      </c>
      <c r="E48" s="92" t="s">
        <v>3</v>
      </c>
      <c r="F48" s="369">
        <f>SUM(F3:F47)</f>
        <v>450</v>
      </c>
      <c r="G48" s="95">
        <f>SUM(G3:G47)</f>
        <v>64</v>
      </c>
      <c r="H48" s="94">
        <f>SUM(H3:H47)</f>
        <v>514</v>
      </c>
    </row>
    <row r="49" spans="1:8" ht="15" customHeight="1" x14ac:dyDescent="0.25">
      <c r="B49" s="182"/>
      <c r="C49" s="90"/>
      <c r="D49" s="54"/>
      <c r="E49" s="40"/>
      <c r="F49" s="187"/>
      <c r="G49" s="40"/>
      <c r="H49" s="40"/>
    </row>
    <row r="50" spans="1:8" ht="15" customHeight="1" thickBot="1" x14ac:dyDescent="0.3">
      <c r="A50" t="s">
        <v>31</v>
      </c>
      <c r="B50" s="182"/>
      <c r="C50" s="90"/>
      <c r="D50" s="54"/>
      <c r="E50" s="36"/>
      <c r="F50" s="184"/>
      <c r="G50" s="36"/>
      <c r="H50" s="36"/>
    </row>
    <row r="51" spans="1:8" ht="15" customHeight="1" thickBot="1" x14ac:dyDescent="0.3">
      <c r="A51" s="151" t="s">
        <v>0</v>
      </c>
      <c r="B51" s="370" t="s">
        <v>815</v>
      </c>
      <c r="C51" s="160" t="s">
        <v>72</v>
      </c>
      <c r="D51" s="152" t="s">
        <v>1</v>
      </c>
      <c r="E51" s="153" t="s">
        <v>2</v>
      </c>
      <c r="F51" s="368" t="s">
        <v>815</v>
      </c>
      <c r="G51" s="142" t="s">
        <v>72</v>
      </c>
      <c r="H51" s="138" t="s">
        <v>1</v>
      </c>
    </row>
    <row r="52" spans="1:8" ht="15.75" thickBot="1" x14ac:dyDescent="0.3">
      <c r="A52" s="48" t="s">
        <v>1050</v>
      </c>
      <c r="B52" s="371">
        <v>6</v>
      </c>
      <c r="C52" s="161">
        <v>0</v>
      </c>
      <c r="D52" s="73">
        <f t="shared" ref="D52:D96" si="9">SUM(B52:C52)</f>
        <v>6</v>
      </c>
      <c r="E52" s="92" t="s">
        <v>25</v>
      </c>
      <c r="F52" s="369">
        <v>104</v>
      </c>
      <c r="G52" s="95">
        <v>0</v>
      </c>
      <c r="H52" s="94">
        <f t="shared" ref="H52:H96" si="10">SUM(F52:G52)</f>
        <v>104</v>
      </c>
    </row>
    <row r="53" spans="1:8" ht="15.75" thickBot="1" x14ac:dyDescent="0.3">
      <c r="A53" s="48" t="s">
        <v>601</v>
      </c>
      <c r="B53" s="371">
        <v>5</v>
      </c>
      <c r="C53" s="161">
        <v>1</v>
      </c>
      <c r="D53" s="73">
        <f t="shared" si="9"/>
        <v>6</v>
      </c>
      <c r="E53" s="92" t="s">
        <v>603</v>
      </c>
      <c r="F53" s="369">
        <v>38</v>
      </c>
      <c r="G53" s="95">
        <v>21</v>
      </c>
      <c r="H53" s="94">
        <f t="shared" si="10"/>
        <v>59</v>
      </c>
    </row>
    <row r="54" spans="1:8" ht="15.75" thickBot="1" x14ac:dyDescent="0.3">
      <c r="A54" s="48" t="s">
        <v>108</v>
      </c>
      <c r="B54" s="371">
        <v>5</v>
      </c>
      <c r="C54" s="161">
        <v>0</v>
      </c>
      <c r="D54" s="73">
        <f t="shared" si="9"/>
        <v>5</v>
      </c>
      <c r="E54" s="91" t="s">
        <v>4</v>
      </c>
      <c r="F54" s="369">
        <v>37</v>
      </c>
      <c r="G54" s="95">
        <v>9</v>
      </c>
      <c r="H54" s="94">
        <f t="shared" si="10"/>
        <v>46</v>
      </c>
    </row>
    <row r="55" spans="1:8" ht="15.75" thickBot="1" x14ac:dyDescent="0.3">
      <c r="A55" s="48" t="s">
        <v>530</v>
      </c>
      <c r="B55" s="371">
        <v>3</v>
      </c>
      <c r="C55" s="161">
        <v>0</v>
      </c>
      <c r="D55" s="73">
        <f t="shared" si="9"/>
        <v>3</v>
      </c>
      <c r="E55" s="91" t="s">
        <v>1050</v>
      </c>
      <c r="F55" s="369">
        <v>30</v>
      </c>
      <c r="G55" s="95">
        <v>0</v>
      </c>
      <c r="H55" s="94">
        <f t="shared" si="10"/>
        <v>30</v>
      </c>
    </row>
    <row r="56" spans="1:8" ht="15.75" thickBot="1" x14ac:dyDescent="0.3">
      <c r="A56" s="48" t="s">
        <v>201</v>
      </c>
      <c r="B56" s="371">
        <v>3</v>
      </c>
      <c r="C56" s="161">
        <v>0</v>
      </c>
      <c r="D56" s="73">
        <f t="shared" si="9"/>
        <v>3</v>
      </c>
      <c r="E56" s="91" t="s">
        <v>601</v>
      </c>
      <c r="F56" s="369">
        <v>25</v>
      </c>
      <c r="G56" s="95">
        <v>5</v>
      </c>
      <c r="H56" s="94">
        <f t="shared" si="10"/>
        <v>30</v>
      </c>
    </row>
    <row r="57" spans="1:8" ht="15.75" thickBot="1" x14ac:dyDescent="0.3">
      <c r="A57" s="48" t="s">
        <v>6</v>
      </c>
      <c r="B57" s="371">
        <v>1</v>
      </c>
      <c r="C57" s="161">
        <v>2</v>
      </c>
      <c r="D57" s="73">
        <f t="shared" si="9"/>
        <v>3</v>
      </c>
      <c r="E57" s="91" t="s">
        <v>108</v>
      </c>
      <c r="F57" s="369">
        <v>25</v>
      </c>
      <c r="G57" s="95">
        <v>0</v>
      </c>
      <c r="H57" s="94">
        <f t="shared" si="10"/>
        <v>25</v>
      </c>
    </row>
    <row r="58" spans="1:8" ht="15.75" thickBot="1" x14ac:dyDescent="0.3">
      <c r="A58" s="48" t="s">
        <v>17</v>
      </c>
      <c r="B58" s="371">
        <v>3</v>
      </c>
      <c r="C58" s="161">
        <v>0</v>
      </c>
      <c r="D58" s="73">
        <f t="shared" si="9"/>
        <v>3</v>
      </c>
      <c r="E58" s="92" t="s">
        <v>6</v>
      </c>
      <c r="F58" s="369">
        <v>7</v>
      </c>
      <c r="G58" s="95">
        <v>14</v>
      </c>
      <c r="H58" s="94">
        <f t="shared" si="10"/>
        <v>21</v>
      </c>
    </row>
    <row r="59" spans="1:8" ht="15.75" thickBot="1" x14ac:dyDescent="0.3">
      <c r="A59" s="48" t="s">
        <v>190</v>
      </c>
      <c r="B59" s="371">
        <v>1</v>
      </c>
      <c r="C59" s="161">
        <v>1</v>
      </c>
      <c r="D59" s="73">
        <f t="shared" si="9"/>
        <v>2</v>
      </c>
      <c r="E59" s="92" t="s">
        <v>530</v>
      </c>
      <c r="F59" s="369">
        <v>15</v>
      </c>
      <c r="G59" s="95">
        <v>0</v>
      </c>
      <c r="H59" s="94">
        <f t="shared" si="10"/>
        <v>15</v>
      </c>
    </row>
    <row r="60" spans="1:8" ht="15.75" thickBot="1" x14ac:dyDescent="0.3">
      <c r="A60" s="48" t="s">
        <v>783</v>
      </c>
      <c r="B60" s="371">
        <v>2</v>
      </c>
      <c r="C60" s="161">
        <v>0</v>
      </c>
      <c r="D60" s="73">
        <f t="shared" si="9"/>
        <v>2</v>
      </c>
      <c r="E60" s="92" t="s">
        <v>201</v>
      </c>
      <c r="F60" s="369">
        <v>15</v>
      </c>
      <c r="G60" s="95">
        <v>0</v>
      </c>
      <c r="H60" s="94">
        <f t="shared" si="10"/>
        <v>15</v>
      </c>
    </row>
    <row r="61" spans="1:8" ht="15.75" thickBot="1" x14ac:dyDescent="0.3">
      <c r="A61" s="48" t="s">
        <v>81</v>
      </c>
      <c r="B61" s="371">
        <v>1</v>
      </c>
      <c r="C61" s="161">
        <v>1</v>
      </c>
      <c r="D61" s="73">
        <f t="shared" si="9"/>
        <v>2</v>
      </c>
      <c r="E61" s="92" t="s">
        <v>17</v>
      </c>
      <c r="F61" s="369">
        <v>15</v>
      </c>
      <c r="G61" s="95">
        <v>0</v>
      </c>
      <c r="H61" s="94">
        <f t="shared" si="10"/>
        <v>15</v>
      </c>
    </row>
    <row r="62" spans="1:8" ht="15.75" thickBot="1" x14ac:dyDescent="0.3">
      <c r="A62" s="48" t="s">
        <v>864</v>
      </c>
      <c r="B62" s="371">
        <v>2</v>
      </c>
      <c r="C62" s="161">
        <v>0</v>
      </c>
      <c r="D62" s="73">
        <f t="shared" si="9"/>
        <v>2</v>
      </c>
      <c r="E62" s="92" t="s">
        <v>190</v>
      </c>
      <c r="F62" s="369">
        <v>5</v>
      </c>
      <c r="G62" s="95">
        <v>5</v>
      </c>
      <c r="H62" s="94">
        <f t="shared" si="10"/>
        <v>10</v>
      </c>
    </row>
    <row r="63" spans="1:8" ht="15.75" thickBot="1" x14ac:dyDescent="0.3">
      <c r="A63" s="48" t="s">
        <v>23</v>
      </c>
      <c r="B63" s="371">
        <v>2</v>
      </c>
      <c r="C63" s="161">
        <v>0</v>
      </c>
      <c r="D63" s="73">
        <f t="shared" si="9"/>
        <v>2</v>
      </c>
      <c r="E63" s="92" t="s">
        <v>783</v>
      </c>
      <c r="F63" s="369">
        <v>10</v>
      </c>
      <c r="G63" s="95">
        <v>0</v>
      </c>
      <c r="H63" s="94">
        <f t="shared" si="10"/>
        <v>10</v>
      </c>
    </row>
    <row r="64" spans="1:8" ht="15.75" thickBot="1" x14ac:dyDescent="0.3">
      <c r="A64" s="48" t="s">
        <v>37</v>
      </c>
      <c r="B64" s="371">
        <v>2</v>
      </c>
      <c r="C64" s="161">
        <v>0</v>
      </c>
      <c r="D64" s="73">
        <f t="shared" si="9"/>
        <v>2</v>
      </c>
      <c r="E64" s="92" t="s">
        <v>81</v>
      </c>
      <c r="F64" s="369">
        <v>5</v>
      </c>
      <c r="G64" s="95">
        <v>5</v>
      </c>
      <c r="H64" s="94">
        <f t="shared" si="10"/>
        <v>10</v>
      </c>
    </row>
    <row r="65" spans="1:8" ht="15.75" thickBot="1" x14ac:dyDescent="0.3">
      <c r="A65" s="48" t="s">
        <v>162</v>
      </c>
      <c r="B65" s="371">
        <v>2</v>
      </c>
      <c r="C65" s="161">
        <v>0</v>
      </c>
      <c r="D65" s="73">
        <f t="shared" si="9"/>
        <v>2</v>
      </c>
      <c r="E65" s="92" t="s">
        <v>864</v>
      </c>
      <c r="F65" s="369">
        <v>10</v>
      </c>
      <c r="G65" s="95">
        <v>0</v>
      </c>
      <c r="H65" s="94">
        <f t="shared" si="10"/>
        <v>10</v>
      </c>
    </row>
    <row r="66" spans="1:8" ht="15.75" thickBot="1" x14ac:dyDescent="0.3">
      <c r="A66" s="48" t="s">
        <v>25</v>
      </c>
      <c r="B66" s="371">
        <v>2</v>
      </c>
      <c r="C66" s="161">
        <v>0</v>
      </c>
      <c r="D66" s="73">
        <f t="shared" si="9"/>
        <v>2</v>
      </c>
      <c r="E66" s="92" t="s">
        <v>23</v>
      </c>
      <c r="F66" s="369">
        <v>10</v>
      </c>
      <c r="G66" s="95">
        <v>0</v>
      </c>
      <c r="H66" s="94">
        <f t="shared" si="10"/>
        <v>10</v>
      </c>
    </row>
    <row r="67" spans="1:8" ht="15.75" thickBot="1" x14ac:dyDescent="0.3">
      <c r="A67" s="48" t="s">
        <v>1022</v>
      </c>
      <c r="B67" s="371">
        <v>2</v>
      </c>
      <c r="C67" s="161">
        <v>0</v>
      </c>
      <c r="D67" s="73">
        <f t="shared" si="9"/>
        <v>2</v>
      </c>
      <c r="E67" s="92" t="s">
        <v>37</v>
      </c>
      <c r="F67" s="369">
        <v>10</v>
      </c>
      <c r="G67" s="95">
        <v>0</v>
      </c>
      <c r="H67" s="94">
        <f t="shared" si="10"/>
        <v>10</v>
      </c>
    </row>
    <row r="68" spans="1:8" ht="15.75" thickBot="1" x14ac:dyDescent="0.3">
      <c r="A68" s="48" t="s">
        <v>48</v>
      </c>
      <c r="B68" s="371">
        <v>2</v>
      </c>
      <c r="C68" s="161">
        <v>0</v>
      </c>
      <c r="D68" s="73">
        <f t="shared" si="9"/>
        <v>2</v>
      </c>
      <c r="E68" s="92" t="s">
        <v>162</v>
      </c>
      <c r="F68" s="369">
        <v>10</v>
      </c>
      <c r="G68" s="95">
        <v>0</v>
      </c>
      <c r="H68" s="94">
        <f t="shared" si="10"/>
        <v>10</v>
      </c>
    </row>
    <row r="69" spans="1:8" ht="15.75" thickBot="1" x14ac:dyDescent="0.3">
      <c r="A69" s="48" t="s">
        <v>88</v>
      </c>
      <c r="B69" s="371">
        <v>1</v>
      </c>
      <c r="C69" s="161">
        <v>0</v>
      </c>
      <c r="D69" s="73">
        <f t="shared" si="9"/>
        <v>1</v>
      </c>
      <c r="E69" s="92" t="s">
        <v>1022</v>
      </c>
      <c r="F69" s="369">
        <v>10</v>
      </c>
      <c r="G69" s="95">
        <v>0</v>
      </c>
      <c r="H69" s="94">
        <f t="shared" si="10"/>
        <v>10</v>
      </c>
    </row>
    <row r="70" spans="1:8" ht="15.75" thickBot="1" x14ac:dyDescent="0.3">
      <c r="A70" s="48" t="s">
        <v>603</v>
      </c>
      <c r="B70" s="371">
        <v>0</v>
      </c>
      <c r="C70" s="161">
        <v>1</v>
      </c>
      <c r="D70" s="73">
        <f t="shared" si="9"/>
        <v>1</v>
      </c>
      <c r="E70" s="92" t="s">
        <v>48</v>
      </c>
      <c r="F70" s="369">
        <v>10</v>
      </c>
      <c r="G70" s="95">
        <v>0</v>
      </c>
      <c r="H70" s="94">
        <f t="shared" si="10"/>
        <v>10</v>
      </c>
    </row>
    <row r="71" spans="1:8" ht="15.75" thickBot="1" x14ac:dyDescent="0.3">
      <c r="A71" s="48" t="s">
        <v>169</v>
      </c>
      <c r="B71" s="371">
        <v>1</v>
      </c>
      <c r="C71" s="161">
        <v>0</v>
      </c>
      <c r="D71" s="73">
        <f t="shared" si="9"/>
        <v>1</v>
      </c>
      <c r="E71" s="92" t="s">
        <v>88</v>
      </c>
      <c r="F71" s="369">
        <v>5</v>
      </c>
      <c r="G71" s="95">
        <v>0</v>
      </c>
      <c r="H71" s="94">
        <f t="shared" si="10"/>
        <v>5</v>
      </c>
    </row>
    <row r="72" spans="1:8" ht="15.75" thickBot="1" x14ac:dyDescent="0.3">
      <c r="A72" s="48" t="s">
        <v>4</v>
      </c>
      <c r="B72" s="371">
        <v>1</v>
      </c>
      <c r="C72" s="161">
        <v>0</v>
      </c>
      <c r="D72" s="73">
        <f t="shared" si="9"/>
        <v>1</v>
      </c>
      <c r="E72" s="92" t="s">
        <v>169</v>
      </c>
      <c r="F72" s="369">
        <v>5</v>
      </c>
      <c r="G72" s="95">
        <v>0</v>
      </c>
      <c r="H72" s="94">
        <f t="shared" si="10"/>
        <v>5</v>
      </c>
    </row>
    <row r="73" spans="1:8" ht="15.75" thickBot="1" x14ac:dyDescent="0.3">
      <c r="A73" s="48" t="s">
        <v>984</v>
      </c>
      <c r="B73" s="371">
        <v>1</v>
      </c>
      <c r="C73" s="161">
        <v>0</v>
      </c>
      <c r="D73" s="73">
        <f t="shared" si="9"/>
        <v>1</v>
      </c>
      <c r="E73" s="92" t="s">
        <v>984</v>
      </c>
      <c r="F73" s="369">
        <v>5</v>
      </c>
      <c r="G73" s="95">
        <v>0</v>
      </c>
      <c r="H73" s="94">
        <f t="shared" si="10"/>
        <v>5</v>
      </c>
    </row>
    <row r="74" spans="1:8" ht="15.75" thickBot="1" x14ac:dyDescent="0.3">
      <c r="A74" s="48" t="s">
        <v>674</v>
      </c>
      <c r="B74" s="371">
        <v>1</v>
      </c>
      <c r="C74" s="161">
        <v>0</v>
      </c>
      <c r="D74" s="73">
        <f t="shared" si="9"/>
        <v>1</v>
      </c>
      <c r="E74" s="92" t="s">
        <v>674</v>
      </c>
      <c r="F74" s="369">
        <v>5</v>
      </c>
      <c r="G74" s="95">
        <v>0</v>
      </c>
      <c r="H74" s="94">
        <f t="shared" si="10"/>
        <v>5</v>
      </c>
    </row>
    <row r="75" spans="1:8" ht="15.75" thickBot="1" x14ac:dyDescent="0.3">
      <c r="A75" s="48" t="s">
        <v>133</v>
      </c>
      <c r="B75" s="371">
        <v>1</v>
      </c>
      <c r="C75" s="161">
        <v>0</v>
      </c>
      <c r="D75" s="73">
        <f t="shared" si="9"/>
        <v>1</v>
      </c>
      <c r="E75" s="92" t="s">
        <v>133</v>
      </c>
      <c r="F75" s="369">
        <v>5</v>
      </c>
      <c r="G75" s="95">
        <v>0</v>
      </c>
      <c r="H75" s="94">
        <f t="shared" si="10"/>
        <v>5</v>
      </c>
    </row>
    <row r="76" spans="1:8" ht="15.75" thickBot="1" x14ac:dyDescent="0.3">
      <c r="A76" s="48" t="s">
        <v>869</v>
      </c>
      <c r="B76" s="371">
        <v>1</v>
      </c>
      <c r="C76" s="161">
        <v>0</v>
      </c>
      <c r="D76" s="73">
        <f t="shared" si="9"/>
        <v>1</v>
      </c>
      <c r="E76" s="92" t="s">
        <v>869</v>
      </c>
      <c r="F76" s="369">
        <v>5</v>
      </c>
      <c r="G76" s="95">
        <v>0</v>
      </c>
      <c r="H76" s="94">
        <f t="shared" si="10"/>
        <v>5</v>
      </c>
    </row>
    <row r="77" spans="1:8" ht="15.75" thickBot="1" x14ac:dyDescent="0.3">
      <c r="A77" s="48" t="s">
        <v>1000</v>
      </c>
      <c r="B77" s="371">
        <v>0</v>
      </c>
      <c r="C77" s="161">
        <v>1</v>
      </c>
      <c r="D77" s="73">
        <f t="shared" si="9"/>
        <v>1</v>
      </c>
      <c r="E77" s="92" t="s">
        <v>1000</v>
      </c>
      <c r="F77" s="369">
        <v>0</v>
      </c>
      <c r="G77" s="95">
        <v>5</v>
      </c>
      <c r="H77" s="94">
        <f t="shared" si="10"/>
        <v>5</v>
      </c>
    </row>
    <row r="78" spans="1:8" ht="15.75" thickBot="1" x14ac:dyDescent="0.3">
      <c r="A78" s="48" t="s">
        <v>216</v>
      </c>
      <c r="B78" s="371">
        <v>1</v>
      </c>
      <c r="C78" s="161">
        <v>0</v>
      </c>
      <c r="D78" s="73">
        <f t="shared" si="9"/>
        <v>1</v>
      </c>
      <c r="E78" s="92" t="s">
        <v>216</v>
      </c>
      <c r="F78" s="369">
        <v>5</v>
      </c>
      <c r="G78" s="95">
        <v>0</v>
      </c>
      <c r="H78" s="94">
        <f t="shared" si="10"/>
        <v>5</v>
      </c>
    </row>
    <row r="79" spans="1:8" ht="15.75" thickBot="1" x14ac:dyDescent="0.3">
      <c r="A79" s="48" t="s">
        <v>1067</v>
      </c>
      <c r="B79" s="371">
        <v>1</v>
      </c>
      <c r="C79" s="161">
        <v>0</v>
      </c>
      <c r="D79" s="73">
        <f t="shared" si="9"/>
        <v>1</v>
      </c>
      <c r="E79" s="92" t="s">
        <v>1067</v>
      </c>
      <c r="F79" s="369">
        <v>5</v>
      </c>
      <c r="G79" s="95">
        <v>0</v>
      </c>
      <c r="H79" s="94">
        <f t="shared" si="10"/>
        <v>5</v>
      </c>
    </row>
    <row r="80" spans="1:8" ht="15.75" thickBot="1" x14ac:dyDescent="0.3">
      <c r="A80" s="48" t="s">
        <v>135</v>
      </c>
      <c r="B80" s="371">
        <v>1</v>
      </c>
      <c r="C80" s="161">
        <v>0</v>
      </c>
      <c r="D80" s="73">
        <f t="shared" si="9"/>
        <v>1</v>
      </c>
      <c r="E80" s="92" t="s">
        <v>135</v>
      </c>
      <c r="F80" s="369">
        <v>5</v>
      </c>
      <c r="G80" s="95">
        <v>0</v>
      </c>
      <c r="H80" s="94">
        <f t="shared" si="10"/>
        <v>5</v>
      </c>
    </row>
    <row r="81" spans="1:8" ht="15.75" thickBot="1" x14ac:dyDescent="0.3">
      <c r="A81" s="48" t="s">
        <v>8</v>
      </c>
      <c r="B81" s="371">
        <v>1</v>
      </c>
      <c r="C81" s="161">
        <v>0</v>
      </c>
      <c r="D81" s="73">
        <f t="shared" si="9"/>
        <v>1</v>
      </c>
      <c r="E81" s="92" t="s">
        <v>8</v>
      </c>
      <c r="F81" s="369">
        <v>5</v>
      </c>
      <c r="G81" s="95">
        <v>0</v>
      </c>
      <c r="H81" s="94">
        <f t="shared" si="10"/>
        <v>5</v>
      </c>
    </row>
    <row r="82" spans="1:8" ht="15.75" thickBot="1" x14ac:dyDescent="0.3">
      <c r="A82" s="48" t="s">
        <v>171</v>
      </c>
      <c r="B82" s="371">
        <v>1</v>
      </c>
      <c r="C82" s="161">
        <v>0</v>
      </c>
      <c r="D82" s="73">
        <f t="shared" si="9"/>
        <v>1</v>
      </c>
      <c r="E82" s="92" t="s">
        <v>171</v>
      </c>
      <c r="F82" s="369">
        <v>5</v>
      </c>
      <c r="G82" s="95">
        <v>0</v>
      </c>
      <c r="H82" s="94">
        <f t="shared" si="10"/>
        <v>5</v>
      </c>
    </row>
    <row r="83" spans="1:8" ht="15.75" thickBot="1" x14ac:dyDescent="0.3">
      <c r="A83" s="48" t="s">
        <v>282</v>
      </c>
      <c r="B83" s="371">
        <v>0</v>
      </c>
      <c r="C83" s="161">
        <v>0</v>
      </c>
      <c r="D83" s="73">
        <f t="shared" si="9"/>
        <v>0</v>
      </c>
      <c r="E83" s="92" t="s">
        <v>61</v>
      </c>
      <c r="F83" s="369">
        <v>4</v>
      </c>
      <c r="G83" s="95">
        <v>0</v>
      </c>
      <c r="H83" s="94">
        <f t="shared" si="10"/>
        <v>4</v>
      </c>
    </row>
    <row r="84" spans="1:8" ht="15.75" thickBot="1" x14ac:dyDescent="0.3">
      <c r="A84" s="48" t="s">
        <v>528</v>
      </c>
      <c r="B84" s="371">
        <v>0</v>
      </c>
      <c r="C84" s="161">
        <v>0</v>
      </c>
      <c r="D84" s="73">
        <f t="shared" si="9"/>
        <v>0</v>
      </c>
      <c r="E84" s="92" t="s">
        <v>282</v>
      </c>
      <c r="F84" s="369">
        <v>0</v>
      </c>
      <c r="G84" s="95">
        <v>0</v>
      </c>
      <c r="H84" s="94">
        <f t="shared" si="10"/>
        <v>0</v>
      </c>
    </row>
    <row r="85" spans="1:8" ht="15.75" thickBot="1" x14ac:dyDescent="0.3">
      <c r="A85" s="48" t="s">
        <v>866</v>
      </c>
      <c r="B85" s="371">
        <v>0</v>
      </c>
      <c r="C85" s="161">
        <v>0</v>
      </c>
      <c r="D85" s="73">
        <f t="shared" si="9"/>
        <v>0</v>
      </c>
      <c r="E85" s="92" t="s">
        <v>528</v>
      </c>
      <c r="F85" s="369">
        <v>0</v>
      </c>
      <c r="G85" s="95">
        <v>0</v>
      </c>
      <c r="H85" s="94">
        <f t="shared" si="10"/>
        <v>0</v>
      </c>
    </row>
    <row r="86" spans="1:8" ht="15.75" thickBot="1" x14ac:dyDescent="0.3">
      <c r="A86" s="48" t="s">
        <v>283</v>
      </c>
      <c r="B86" s="371">
        <v>0</v>
      </c>
      <c r="C86" s="161">
        <v>0</v>
      </c>
      <c r="D86" s="73">
        <f t="shared" si="9"/>
        <v>0</v>
      </c>
      <c r="E86" s="92" t="s">
        <v>866</v>
      </c>
      <c r="F86" s="369">
        <v>0</v>
      </c>
      <c r="G86" s="95">
        <v>0</v>
      </c>
      <c r="H86" s="94">
        <f t="shared" si="10"/>
        <v>0</v>
      </c>
    </row>
    <row r="87" spans="1:8" ht="15.75" thickBot="1" x14ac:dyDescent="0.3">
      <c r="A87" s="48" t="s">
        <v>193</v>
      </c>
      <c r="B87" s="371">
        <v>0</v>
      </c>
      <c r="C87" s="161">
        <v>0</v>
      </c>
      <c r="D87" s="73">
        <f t="shared" si="9"/>
        <v>0</v>
      </c>
      <c r="E87" s="92" t="s">
        <v>283</v>
      </c>
      <c r="F87" s="369">
        <v>0</v>
      </c>
      <c r="G87" s="95">
        <v>0</v>
      </c>
      <c r="H87" s="94">
        <f t="shared" si="10"/>
        <v>0</v>
      </c>
    </row>
    <row r="88" spans="1:8" ht="15.75" thickBot="1" x14ac:dyDescent="0.3">
      <c r="A88" s="48" t="s">
        <v>867</v>
      </c>
      <c r="B88" s="371">
        <v>0</v>
      </c>
      <c r="C88" s="161">
        <v>0</v>
      </c>
      <c r="D88" s="73">
        <f t="shared" si="9"/>
        <v>0</v>
      </c>
      <c r="E88" s="92" t="s">
        <v>193</v>
      </c>
      <c r="F88" s="369">
        <v>0</v>
      </c>
      <c r="G88" s="95">
        <v>0</v>
      </c>
      <c r="H88" s="94">
        <f t="shared" si="10"/>
        <v>0</v>
      </c>
    </row>
    <row r="89" spans="1:8" ht="15.75" thickBot="1" x14ac:dyDescent="0.3">
      <c r="A89" s="48" t="s">
        <v>62</v>
      </c>
      <c r="B89" s="371">
        <v>0</v>
      </c>
      <c r="C89" s="161">
        <v>0</v>
      </c>
      <c r="D89" s="73">
        <f t="shared" si="9"/>
        <v>0</v>
      </c>
      <c r="E89" s="92" t="s">
        <v>867</v>
      </c>
      <c r="F89" s="369">
        <v>0</v>
      </c>
      <c r="G89" s="95">
        <v>0</v>
      </c>
      <c r="H89" s="94">
        <f t="shared" si="10"/>
        <v>0</v>
      </c>
    </row>
    <row r="90" spans="1:8" ht="15.75" thickBot="1" x14ac:dyDescent="0.3">
      <c r="A90" s="48" t="s">
        <v>61</v>
      </c>
      <c r="B90" s="371">
        <v>0</v>
      </c>
      <c r="C90" s="161">
        <v>0</v>
      </c>
      <c r="D90" s="73">
        <f t="shared" si="9"/>
        <v>0</v>
      </c>
      <c r="E90" s="92" t="s">
        <v>62</v>
      </c>
      <c r="F90" s="369">
        <v>0</v>
      </c>
      <c r="G90" s="95">
        <v>0</v>
      </c>
      <c r="H90" s="94">
        <f t="shared" si="10"/>
        <v>0</v>
      </c>
    </row>
    <row r="91" spans="1:8" ht="15.75" thickBot="1" x14ac:dyDescent="0.3">
      <c r="A91" s="48" t="s">
        <v>191</v>
      </c>
      <c r="B91" s="371">
        <v>0</v>
      </c>
      <c r="C91" s="161">
        <v>0</v>
      </c>
      <c r="D91" s="73">
        <f t="shared" si="9"/>
        <v>0</v>
      </c>
      <c r="E91" s="92" t="s">
        <v>191</v>
      </c>
      <c r="F91" s="369">
        <v>0</v>
      </c>
      <c r="G91" s="95">
        <v>0</v>
      </c>
      <c r="H91" s="94">
        <f t="shared" si="10"/>
        <v>0</v>
      </c>
    </row>
    <row r="92" spans="1:8" ht="15.75" thickBot="1" x14ac:dyDescent="0.3">
      <c r="A92" s="48" t="s">
        <v>170</v>
      </c>
      <c r="B92" s="371">
        <v>0</v>
      </c>
      <c r="C92" s="161">
        <v>0</v>
      </c>
      <c r="D92" s="73">
        <f t="shared" si="9"/>
        <v>0</v>
      </c>
      <c r="E92" s="92" t="s">
        <v>170</v>
      </c>
      <c r="F92" s="369">
        <v>0</v>
      </c>
      <c r="G92" s="95">
        <v>0</v>
      </c>
      <c r="H92" s="94">
        <f t="shared" si="10"/>
        <v>0</v>
      </c>
    </row>
    <row r="93" spans="1:8" ht="15" customHeight="1" thickBot="1" x14ac:dyDescent="0.3">
      <c r="A93" s="48" t="s">
        <v>626</v>
      </c>
      <c r="B93" s="371">
        <v>0</v>
      </c>
      <c r="C93" s="161">
        <v>0</v>
      </c>
      <c r="D93" s="73">
        <f t="shared" si="9"/>
        <v>0</v>
      </c>
      <c r="E93" s="92" t="s">
        <v>626</v>
      </c>
      <c r="F93" s="369">
        <v>0</v>
      </c>
      <c r="G93" s="95">
        <v>0</v>
      </c>
      <c r="H93" s="94">
        <f t="shared" si="10"/>
        <v>0</v>
      </c>
    </row>
    <row r="94" spans="1:8" ht="15.75" thickBot="1" x14ac:dyDescent="0.3">
      <c r="A94" s="48" t="s">
        <v>24</v>
      </c>
      <c r="B94" s="371">
        <v>0</v>
      </c>
      <c r="C94" s="161">
        <v>0</v>
      </c>
      <c r="D94" s="73">
        <f t="shared" si="9"/>
        <v>0</v>
      </c>
      <c r="E94" s="92" t="s">
        <v>24</v>
      </c>
      <c r="F94" s="369">
        <v>0</v>
      </c>
      <c r="G94" s="95">
        <v>0</v>
      </c>
      <c r="H94" s="94">
        <f t="shared" si="10"/>
        <v>0</v>
      </c>
    </row>
    <row r="95" spans="1:8" ht="15.75" thickBot="1" x14ac:dyDescent="0.3">
      <c r="A95" s="48" t="s">
        <v>766</v>
      </c>
      <c r="B95" s="371">
        <v>0</v>
      </c>
      <c r="C95" s="161">
        <v>0</v>
      </c>
      <c r="D95" s="73">
        <f t="shared" si="9"/>
        <v>0</v>
      </c>
      <c r="E95" s="92" t="s">
        <v>766</v>
      </c>
      <c r="F95" s="369">
        <v>0</v>
      </c>
      <c r="G95" s="95">
        <v>0</v>
      </c>
      <c r="H95" s="94">
        <f t="shared" si="10"/>
        <v>0</v>
      </c>
    </row>
    <row r="96" spans="1:8" ht="15.75" thickBot="1" x14ac:dyDescent="0.3">
      <c r="A96" s="48" t="s">
        <v>734</v>
      </c>
      <c r="B96" s="371">
        <v>0</v>
      </c>
      <c r="C96" s="161">
        <v>0</v>
      </c>
      <c r="D96" s="73">
        <f t="shared" si="9"/>
        <v>0</v>
      </c>
      <c r="E96" s="92" t="s">
        <v>734</v>
      </c>
      <c r="F96" s="369">
        <v>0</v>
      </c>
      <c r="G96" s="95">
        <v>0</v>
      </c>
      <c r="H96" s="94">
        <f t="shared" si="10"/>
        <v>0</v>
      </c>
    </row>
    <row r="97" spans="1:8" ht="15" customHeight="1" thickBot="1" x14ac:dyDescent="0.3">
      <c r="A97" s="48" t="s">
        <v>3</v>
      </c>
      <c r="B97" s="371">
        <f>SUM(B52:B96)</f>
        <v>56</v>
      </c>
      <c r="C97" s="161">
        <f>SUM(C52:C96)</f>
        <v>7</v>
      </c>
      <c r="D97" s="73">
        <f>SUM(D52:D96)</f>
        <v>63</v>
      </c>
      <c r="E97" s="92" t="s">
        <v>3</v>
      </c>
      <c r="F97" s="369">
        <f>SUM(F52:F96)</f>
        <v>450</v>
      </c>
      <c r="G97" s="95">
        <f>SUM(G52:G96)</f>
        <v>64</v>
      </c>
      <c r="H97" s="94">
        <f>SUM(H52:H96)</f>
        <v>514</v>
      </c>
    </row>
    <row r="98" spans="1:8" x14ac:dyDescent="0.25">
      <c r="A98" s="535" t="s">
        <v>95</v>
      </c>
      <c r="B98" s="536"/>
      <c r="C98" s="536"/>
      <c r="D98" s="536"/>
      <c r="E98" s="536"/>
      <c r="F98" s="536"/>
      <c r="G98" s="536"/>
    </row>
  </sheetData>
  <sortState xmlns:xlrd2="http://schemas.microsoft.com/office/spreadsheetml/2017/richdata2" ref="E52:H96">
    <sortCondition descending="1" ref="H52:H96"/>
  </sortState>
  <mergeCells count="32">
    <mergeCell ref="A98:G98"/>
    <mergeCell ref="AP1:AR2"/>
    <mergeCell ref="S21:U22"/>
    <mergeCell ref="S11:U12"/>
    <mergeCell ref="P21:R22"/>
    <mergeCell ref="AJ11:AL12"/>
    <mergeCell ref="AD21:AF22"/>
    <mergeCell ref="AD1:AF2"/>
    <mergeCell ref="AM1:AO2"/>
    <mergeCell ref="AD11:AF12"/>
    <mergeCell ref="AA21:AC22"/>
    <mergeCell ref="P1:Q2"/>
    <mergeCell ref="R1:T2"/>
    <mergeCell ref="AA1:AC2"/>
    <mergeCell ref="AA11:AC12"/>
    <mergeCell ref="U1:W2"/>
    <mergeCell ref="AJ1:AL2"/>
    <mergeCell ref="AG1:AI2"/>
    <mergeCell ref="I28:AO28"/>
    <mergeCell ref="AG11:AI12"/>
    <mergeCell ref="M1:O2"/>
    <mergeCell ref="M11:O12"/>
    <mergeCell ref="I21:I22"/>
    <mergeCell ref="J21:L22"/>
    <mergeCell ref="J11:L12"/>
    <mergeCell ref="M21:O22"/>
    <mergeCell ref="A1:H1"/>
    <mergeCell ref="I11:I12"/>
    <mergeCell ref="I1:I2"/>
    <mergeCell ref="J1:L2"/>
    <mergeCell ref="I29:U29"/>
    <mergeCell ref="P11:R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88"/>
  <sheetViews>
    <sheetView topLeftCell="A61" workbookViewId="0">
      <selection activeCell="A88" sqref="A88:G88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4" width="4.140625" style="464" customWidth="1"/>
    <col min="5" max="5" width="4.7109375" customWidth="1"/>
    <col min="6" max="6" width="16.42578125" customWidth="1"/>
    <col min="7" max="8" width="5.28515625" customWidth="1"/>
    <col min="9" max="9" width="5.28515625" style="464" customWidth="1"/>
    <col min="10" max="10" width="5.28515625" customWidth="1"/>
    <col min="11" max="11" width="15.7109375" customWidth="1"/>
    <col min="12" max="17" width="5.42578125" customWidth="1"/>
    <col min="18" max="43" width="5.7109375" customWidth="1"/>
  </cols>
  <sheetData>
    <row r="1" spans="1:50" ht="15" customHeight="1" thickBot="1" x14ac:dyDescent="0.3">
      <c r="A1" s="572" t="s">
        <v>808</v>
      </c>
      <c r="B1" s="573"/>
      <c r="C1" s="573"/>
      <c r="D1" s="573"/>
      <c r="E1" s="573"/>
      <c r="F1" s="573"/>
      <c r="G1" s="573"/>
      <c r="H1" s="573"/>
      <c r="I1" s="573"/>
      <c r="J1" s="574"/>
      <c r="K1" s="531" t="s">
        <v>658</v>
      </c>
      <c r="L1" s="564" t="s">
        <v>33</v>
      </c>
      <c r="M1" s="565"/>
      <c r="N1" s="566"/>
      <c r="O1" s="564" t="s">
        <v>110</v>
      </c>
      <c r="P1" s="565"/>
      <c r="Q1" s="566"/>
      <c r="R1" s="525" t="s">
        <v>657</v>
      </c>
      <c r="S1" s="527"/>
      <c r="T1" s="543" t="s">
        <v>836</v>
      </c>
      <c r="U1" s="549"/>
      <c r="V1" s="550"/>
      <c r="W1" s="543" t="s">
        <v>816</v>
      </c>
      <c r="X1" s="549"/>
      <c r="Y1" s="550"/>
      <c r="Z1" s="244"/>
      <c r="AA1" s="254"/>
      <c r="AB1" s="268"/>
      <c r="AC1" s="543" t="s">
        <v>574</v>
      </c>
      <c r="AD1" s="549"/>
      <c r="AE1" s="550"/>
      <c r="AF1" s="543" t="s">
        <v>217</v>
      </c>
      <c r="AG1" s="549"/>
      <c r="AH1" s="550"/>
      <c r="AI1" s="543" t="s">
        <v>147</v>
      </c>
      <c r="AJ1" s="549"/>
      <c r="AK1" s="550"/>
      <c r="AL1" s="543" t="s">
        <v>137</v>
      </c>
      <c r="AM1" s="549"/>
      <c r="AN1" s="550"/>
      <c r="AO1" s="543" t="s">
        <v>114</v>
      </c>
      <c r="AP1" s="549"/>
      <c r="AQ1" s="550"/>
      <c r="AS1" s="4"/>
      <c r="AT1" s="4"/>
      <c r="AU1" s="4"/>
      <c r="AX1" s="4"/>
    </row>
    <row r="2" spans="1:50" ht="15" customHeight="1" thickBot="1" x14ac:dyDescent="0.3">
      <c r="A2" s="384" t="s">
        <v>0</v>
      </c>
      <c r="B2" s="380" t="s">
        <v>815</v>
      </c>
      <c r="C2" s="381" t="s">
        <v>72</v>
      </c>
      <c r="D2" s="488" t="s">
        <v>73</v>
      </c>
      <c r="E2" s="386" t="s">
        <v>1</v>
      </c>
      <c r="F2" s="387" t="s">
        <v>2</v>
      </c>
      <c r="G2" s="147" t="s">
        <v>815</v>
      </c>
      <c r="H2" s="212" t="s">
        <v>72</v>
      </c>
      <c r="I2" s="270" t="s">
        <v>73</v>
      </c>
      <c r="J2" s="390" t="s">
        <v>1</v>
      </c>
      <c r="K2" s="532"/>
      <c r="L2" s="567"/>
      <c r="M2" s="568"/>
      <c r="N2" s="569"/>
      <c r="O2" s="567"/>
      <c r="P2" s="568"/>
      <c r="Q2" s="569"/>
      <c r="R2" s="528"/>
      <c r="S2" s="530"/>
      <c r="T2" s="551"/>
      <c r="U2" s="552"/>
      <c r="V2" s="553"/>
      <c r="W2" s="551"/>
      <c r="X2" s="552"/>
      <c r="Y2" s="553"/>
      <c r="Z2" s="244"/>
      <c r="AA2" s="254"/>
      <c r="AB2" s="268"/>
      <c r="AC2" s="551"/>
      <c r="AD2" s="552"/>
      <c r="AE2" s="553"/>
      <c r="AF2" s="551"/>
      <c r="AG2" s="552"/>
      <c r="AH2" s="553"/>
      <c r="AI2" s="551"/>
      <c r="AJ2" s="552"/>
      <c r="AK2" s="553"/>
      <c r="AL2" s="551"/>
      <c r="AM2" s="552"/>
      <c r="AN2" s="553"/>
      <c r="AO2" s="551"/>
      <c r="AP2" s="552"/>
      <c r="AQ2" s="553"/>
    </row>
    <row r="3" spans="1:50" ht="15" customHeight="1" thickBot="1" x14ac:dyDescent="0.3">
      <c r="A3" s="385" t="s">
        <v>123</v>
      </c>
      <c r="B3" s="382">
        <v>1</v>
      </c>
      <c r="C3" s="383">
        <v>0</v>
      </c>
      <c r="D3" s="489">
        <v>0</v>
      </c>
      <c r="E3" s="388">
        <f>SUM(B3:D3)</f>
        <v>1</v>
      </c>
      <c r="F3" s="389" t="s">
        <v>123</v>
      </c>
      <c r="G3" s="97">
        <v>5</v>
      </c>
      <c r="H3" s="210">
        <v>0</v>
      </c>
      <c r="I3" s="271">
        <v>0</v>
      </c>
      <c r="J3" s="391">
        <f>SUM(G3:I3)</f>
        <v>5</v>
      </c>
      <c r="K3" s="33" t="s">
        <v>51</v>
      </c>
      <c r="L3" s="1" t="s">
        <v>129</v>
      </c>
      <c r="M3" s="1" t="s">
        <v>27</v>
      </c>
      <c r="N3" s="1" t="s">
        <v>28</v>
      </c>
      <c r="O3" s="1" t="s">
        <v>129</v>
      </c>
      <c r="P3" s="1" t="s">
        <v>27</v>
      </c>
      <c r="Q3" s="1" t="s">
        <v>28</v>
      </c>
      <c r="R3" s="3" t="s">
        <v>40</v>
      </c>
      <c r="S3" s="3" t="s">
        <v>166</v>
      </c>
      <c r="T3" s="7" t="s">
        <v>129</v>
      </c>
      <c r="U3" s="7" t="s">
        <v>27</v>
      </c>
      <c r="V3" s="7" t="s">
        <v>28</v>
      </c>
      <c r="W3" s="221" t="s">
        <v>129</v>
      </c>
      <c r="X3" s="7" t="s">
        <v>27</v>
      </c>
      <c r="Y3" s="7" t="s">
        <v>28</v>
      </c>
      <c r="Z3" s="113"/>
      <c r="AA3" s="114"/>
      <c r="AB3" s="269"/>
      <c r="AC3" s="221" t="s">
        <v>129</v>
      </c>
      <c r="AD3" s="7" t="s">
        <v>27</v>
      </c>
      <c r="AE3" s="7" t="s">
        <v>28</v>
      </c>
      <c r="AF3" s="221" t="s">
        <v>129</v>
      </c>
      <c r="AG3" s="7" t="s">
        <v>27</v>
      </c>
      <c r="AH3" s="7" t="s">
        <v>28</v>
      </c>
      <c r="AI3" s="221" t="s">
        <v>129</v>
      </c>
      <c r="AJ3" s="7" t="s">
        <v>27</v>
      </c>
      <c r="AK3" s="7" t="s">
        <v>28</v>
      </c>
      <c r="AL3" s="7" t="s">
        <v>129</v>
      </c>
      <c r="AM3" s="7" t="s">
        <v>27</v>
      </c>
      <c r="AN3" s="7" t="s">
        <v>28</v>
      </c>
      <c r="AO3" s="7" t="s">
        <v>129</v>
      </c>
      <c r="AP3" s="7" t="s">
        <v>27</v>
      </c>
      <c r="AQ3" s="7" t="s">
        <v>28</v>
      </c>
    </row>
    <row r="4" spans="1:50" ht="15" customHeight="1" thickBot="1" x14ac:dyDescent="0.3">
      <c r="A4" s="385" t="s">
        <v>12</v>
      </c>
      <c r="B4" s="382">
        <v>6</v>
      </c>
      <c r="C4" s="383">
        <v>0</v>
      </c>
      <c r="D4" s="489">
        <v>0</v>
      </c>
      <c r="E4" s="388">
        <f t="shared" ref="E4:E43" si="0">SUM(B4:D4)</f>
        <v>6</v>
      </c>
      <c r="F4" s="389" t="s">
        <v>12</v>
      </c>
      <c r="G4" s="97">
        <v>30</v>
      </c>
      <c r="H4" s="210">
        <v>0</v>
      </c>
      <c r="I4" s="271">
        <v>0</v>
      </c>
      <c r="J4" s="391">
        <f t="shared" ref="J4:J43" si="1">SUM(G4:I4)</f>
        <v>30</v>
      </c>
      <c r="K4" s="385" t="s">
        <v>55</v>
      </c>
      <c r="L4" s="388">
        <v>104</v>
      </c>
      <c r="M4" s="388">
        <v>127</v>
      </c>
      <c r="N4" s="392">
        <f t="shared" ref="N4:N5" si="2">SUM(L4/M4)*100</f>
        <v>81.889763779527556</v>
      </c>
      <c r="O4" s="388">
        <v>4</v>
      </c>
      <c r="P4" s="388">
        <v>4</v>
      </c>
      <c r="Q4" s="392">
        <f t="shared" ref="Q4" si="3">SUM(O4/P4)*100</f>
        <v>100</v>
      </c>
      <c r="R4" s="388">
        <v>4</v>
      </c>
      <c r="S4" s="388">
        <v>4</v>
      </c>
      <c r="T4" s="7">
        <v>65</v>
      </c>
      <c r="U4" s="7">
        <v>81</v>
      </c>
      <c r="V4" s="232">
        <f t="shared" ref="V4:V5" si="4">SUM(T4/U4)*100</f>
        <v>80.246913580246911</v>
      </c>
      <c r="W4" s="221">
        <v>62</v>
      </c>
      <c r="X4" s="7">
        <v>78</v>
      </c>
      <c r="Y4" s="232">
        <f t="shared" ref="Y4:Y5" si="5">SUM(W4/X4)*100</f>
        <v>79.487179487179489</v>
      </c>
      <c r="Z4" s="113"/>
      <c r="AA4" s="114"/>
      <c r="AB4" s="269"/>
      <c r="AC4" s="221">
        <v>63</v>
      </c>
      <c r="AD4" s="7">
        <v>84</v>
      </c>
      <c r="AE4" s="232">
        <f t="shared" ref="AE4:AE5" si="6">SUM(AC4/AD4)*100</f>
        <v>75</v>
      </c>
      <c r="AF4" s="221" t="s">
        <v>34</v>
      </c>
      <c r="AG4" s="7" t="s">
        <v>34</v>
      </c>
      <c r="AH4" s="7" t="s">
        <v>34</v>
      </c>
      <c r="AI4" s="221" t="s">
        <v>34</v>
      </c>
      <c r="AJ4" s="7" t="s">
        <v>34</v>
      </c>
      <c r="AK4" s="7" t="s">
        <v>34</v>
      </c>
      <c r="AL4" s="7" t="s">
        <v>34</v>
      </c>
      <c r="AM4" s="7" t="s">
        <v>34</v>
      </c>
      <c r="AN4" s="7" t="s">
        <v>34</v>
      </c>
      <c r="AO4" s="7" t="s">
        <v>34</v>
      </c>
      <c r="AP4" s="7" t="s">
        <v>34</v>
      </c>
      <c r="AQ4" s="7" t="s">
        <v>34</v>
      </c>
    </row>
    <row r="5" spans="1:50" ht="15" customHeight="1" thickBot="1" x14ac:dyDescent="0.3">
      <c r="A5" s="385" t="s">
        <v>874</v>
      </c>
      <c r="B5" s="382">
        <v>0</v>
      </c>
      <c r="C5" s="383">
        <v>0</v>
      </c>
      <c r="D5" s="489">
        <v>0</v>
      </c>
      <c r="E5" s="388">
        <f t="shared" si="0"/>
        <v>0</v>
      </c>
      <c r="F5" s="389" t="s">
        <v>874</v>
      </c>
      <c r="G5" s="97">
        <v>0</v>
      </c>
      <c r="H5" s="210">
        <v>0</v>
      </c>
      <c r="I5" s="271">
        <v>0</v>
      </c>
      <c r="J5" s="391">
        <f t="shared" si="1"/>
        <v>0</v>
      </c>
      <c r="K5" s="385" t="s">
        <v>156</v>
      </c>
      <c r="L5" s="388">
        <v>2</v>
      </c>
      <c r="M5" s="388">
        <v>3</v>
      </c>
      <c r="N5" s="392">
        <f t="shared" si="2"/>
        <v>66.666666666666657</v>
      </c>
      <c r="O5" s="388" t="s">
        <v>34</v>
      </c>
      <c r="P5" s="388" t="s">
        <v>34</v>
      </c>
      <c r="Q5" s="392" t="s">
        <v>34</v>
      </c>
      <c r="R5" s="388">
        <v>1</v>
      </c>
      <c r="S5" s="388">
        <v>1</v>
      </c>
      <c r="T5" s="7">
        <v>2</v>
      </c>
      <c r="U5" s="7">
        <v>4</v>
      </c>
      <c r="V5" s="232">
        <f t="shared" si="4"/>
        <v>50</v>
      </c>
      <c r="W5" s="221">
        <v>29</v>
      </c>
      <c r="X5" s="7">
        <v>37</v>
      </c>
      <c r="Y5" s="232">
        <f t="shared" si="5"/>
        <v>78.378378378378372</v>
      </c>
      <c r="Z5" s="113"/>
      <c r="AA5" s="114"/>
      <c r="AB5" s="269"/>
      <c r="AC5" s="221">
        <v>4</v>
      </c>
      <c r="AD5" s="7">
        <v>6</v>
      </c>
      <c r="AE5" s="232">
        <f t="shared" si="6"/>
        <v>66.666666666666657</v>
      </c>
      <c r="AF5" s="221">
        <v>2</v>
      </c>
      <c r="AG5" s="7">
        <v>3</v>
      </c>
      <c r="AH5" s="232">
        <f>SUM(AF5/AG5)*100</f>
        <v>66.666666666666657</v>
      </c>
      <c r="AI5" s="221" t="s">
        <v>34</v>
      </c>
      <c r="AJ5" s="7" t="s">
        <v>34</v>
      </c>
      <c r="AK5" s="7" t="s">
        <v>34</v>
      </c>
      <c r="AL5" s="7" t="s">
        <v>34</v>
      </c>
      <c r="AM5" s="7" t="s">
        <v>34</v>
      </c>
      <c r="AN5" s="7" t="s">
        <v>34</v>
      </c>
      <c r="AO5" s="7" t="s">
        <v>34</v>
      </c>
      <c r="AP5" s="7" t="s">
        <v>34</v>
      </c>
      <c r="AQ5" s="7" t="s">
        <v>34</v>
      </c>
    </row>
    <row r="6" spans="1:50" ht="15" customHeight="1" thickBot="1" x14ac:dyDescent="0.3">
      <c r="A6" s="385" t="s">
        <v>13</v>
      </c>
      <c r="B6" s="382">
        <v>12</v>
      </c>
      <c r="C6" s="383">
        <v>0</v>
      </c>
      <c r="D6" s="489">
        <v>0</v>
      </c>
      <c r="E6" s="388">
        <f t="shared" si="0"/>
        <v>12</v>
      </c>
      <c r="F6" s="389" t="s">
        <v>13</v>
      </c>
      <c r="G6" s="97">
        <v>63</v>
      </c>
      <c r="H6" s="210">
        <v>0</v>
      </c>
      <c r="I6" s="271">
        <v>0</v>
      </c>
      <c r="J6" s="391">
        <f t="shared" si="1"/>
        <v>63</v>
      </c>
      <c r="K6" s="385" t="s">
        <v>83</v>
      </c>
      <c r="L6" s="388" t="s">
        <v>34</v>
      </c>
      <c r="M6" s="388" t="s">
        <v>34</v>
      </c>
      <c r="N6" s="388" t="s">
        <v>34</v>
      </c>
      <c r="O6" s="388" t="s">
        <v>34</v>
      </c>
      <c r="P6" s="388" t="s">
        <v>34</v>
      </c>
      <c r="Q6" s="392" t="s">
        <v>34</v>
      </c>
      <c r="R6" s="388">
        <v>-1</v>
      </c>
      <c r="S6" s="388">
        <v>-1</v>
      </c>
      <c r="T6" s="7" t="s">
        <v>34</v>
      </c>
      <c r="U6" s="7" t="s">
        <v>34</v>
      </c>
      <c r="V6" s="7" t="s">
        <v>34</v>
      </c>
      <c r="W6" s="221" t="s">
        <v>34</v>
      </c>
      <c r="X6" s="7" t="s">
        <v>34</v>
      </c>
      <c r="Y6" s="7" t="s">
        <v>34</v>
      </c>
      <c r="Z6" s="113"/>
      <c r="AA6" s="114"/>
      <c r="AB6" s="269"/>
      <c r="AC6" s="221" t="s">
        <v>34</v>
      </c>
      <c r="AD6" s="7" t="s">
        <v>34</v>
      </c>
      <c r="AE6" s="7" t="s">
        <v>34</v>
      </c>
      <c r="AF6" s="221">
        <v>0</v>
      </c>
      <c r="AG6" s="7">
        <v>1</v>
      </c>
      <c r="AH6" s="232">
        <f>SUM(AF6/AG6)*100</f>
        <v>0</v>
      </c>
      <c r="AI6" s="221" t="s">
        <v>34</v>
      </c>
      <c r="AJ6" s="7" t="s">
        <v>34</v>
      </c>
      <c r="AK6" s="7" t="s">
        <v>34</v>
      </c>
      <c r="AL6" s="7" t="s">
        <v>34</v>
      </c>
      <c r="AM6" s="7" t="s">
        <v>34</v>
      </c>
      <c r="AN6" s="7" t="s">
        <v>34</v>
      </c>
      <c r="AO6" s="7" t="s">
        <v>34</v>
      </c>
      <c r="AP6" s="7" t="s">
        <v>34</v>
      </c>
      <c r="AQ6" s="7" t="s">
        <v>34</v>
      </c>
    </row>
    <row r="7" spans="1:50" ht="15.75" thickBot="1" x14ac:dyDescent="0.3">
      <c r="A7" s="385" t="s">
        <v>730</v>
      </c>
      <c r="B7" s="382">
        <v>0</v>
      </c>
      <c r="C7" s="383">
        <v>0</v>
      </c>
      <c r="D7" s="489">
        <v>0</v>
      </c>
      <c r="E7" s="388">
        <f t="shared" si="0"/>
        <v>0</v>
      </c>
      <c r="F7" s="389" t="s">
        <v>730</v>
      </c>
      <c r="G7" s="97">
        <v>0</v>
      </c>
      <c r="H7" s="210">
        <v>0</v>
      </c>
      <c r="I7" s="271">
        <v>0</v>
      </c>
      <c r="J7" s="391">
        <f t="shared" si="1"/>
        <v>0</v>
      </c>
      <c r="K7" s="385" t="s">
        <v>1102</v>
      </c>
      <c r="L7" s="388">
        <v>1</v>
      </c>
      <c r="M7" s="388">
        <v>2</v>
      </c>
      <c r="N7" s="388">
        <f t="shared" ref="N7" si="7">SUM(L7/M7)*100</f>
        <v>50</v>
      </c>
      <c r="O7" s="388" t="s">
        <v>34</v>
      </c>
      <c r="P7" s="388" t="s">
        <v>34</v>
      </c>
      <c r="Q7" s="392" t="s">
        <v>34</v>
      </c>
      <c r="R7" s="388">
        <v>-1</v>
      </c>
      <c r="S7" s="388">
        <v>-1</v>
      </c>
      <c r="T7" s="7" t="s">
        <v>34</v>
      </c>
      <c r="U7" s="7" t="s">
        <v>34</v>
      </c>
      <c r="V7" s="7" t="s">
        <v>34</v>
      </c>
      <c r="W7" s="221" t="s">
        <v>34</v>
      </c>
      <c r="X7" s="7" t="s">
        <v>34</v>
      </c>
      <c r="Y7" s="7" t="s">
        <v>34</v>
      </c>
      <c r="Z7" s="455"/>
      <c r="AA7" s="456"/>
      <c r="AB7" s="457"/>
      <c r="AC7" s="221" t="s">
        <v>34</v>
      </c>
      <c r="AD7" s="7" t="s">
        <v>34</v>
      </c>
      <c r="AE7" s="7" t="s">
        <v>34</v>
      </c>
      <c r="AF7" s="221" t="s">
        <v>34</v>
      </c>
      <c r="AG7" s="7" t="s">
        <v>34</v>
      </c>
      <c r="AH7" s="7" t="s">
        <v>34</v>
      </c>
      <c r="AI7" s="221" t="s">
        <v>34</v>
      </c>
      <c r="AJ7" s="7" t="s">
        <v>34</v>
      </c>
      <c r="AK7" s="7" t="s">
        <v>34</v>
      </c>
      <c r="AL7" s="7" t="s">
        <v>34</v>
      </c>
      <c r="AM7" s="7" t="s">
        <v>34</v>
      </c>
      <c r="AN7" s="7" t="s">
        <v>34</v>
      </c>
      <c r="AO7" s="7" t="s">
        <v>34</v>
      </c>
      <c r="AP7" s="7" t="s">
        <v>34</v>
      </c>
      <c r="AQ7" s="7" t="s">
        <v>34</v>
      </c>
    </row>
    <row r="8" spans="1:50" ht="15" customHeight="1" thickBot="1" x14ac:dyDescent="0.3">
      <c r="A8" s="385" t="s">
        <v>151</v>
      </c>
      <c r="B8" s="382">
        <v>2</v>
      </c>
      <c r="C8" s="383">
        <v>0</v>
      </c>
      <c r="D8" s="489">
        <v>0</v>
      </c>
      <c r="E8" s="388">
        <f t="shared" si="0"/>
        <v>2</v>
      </c>
      <c r="F8" s="389" t="s">
        <v>151</v>
      </c>
      <c r="G8" s="97">
        <v>10</v>
      </c>
      <c r="H8" s="210">
        <v>0</v>
      </c>
      <c r="I8" s="271">
        <v>0</v>
      </c>
      <c r="J8" s="391">
        <f t="shared" si="1"/>
        <v>10</v>
      </c>
      <c r="K8" s="385" t="s">
        <v>606</v>
      </c>
      <c r="L8" s="388">
        <v>4</v>
      </c>
      <c r="M8" s="388">
        <v>5</v>
      </c>
      <c r="N8" s="392">
        <f t="shared" ref="N8:N10" si="8">SUM(L8/M8)*100</f>
        <v>80</v>
      </c>
      <c r="O8" s="388" t="s">
        <v>34</v>
      </c>
      <c r="P8" s="388" t="s">
        <v>34</v>
      </c>
      <c r="Q8" s="392" t="s">
        <v>34</v>
      </c>
      <c r="R8" s="388">
        <v>-1</v>
      </c>
      <c r="S8" s="388">
        <v>-1</v>
      </c>
      <c r="T8" s="7">
        <v>13</v>
      </c>
      <c r="U8" s="7">
        <v>17</v>
      </c>
      <c r="V8" s="232">
        <f t="shared" ref="V8" si="9">SUM(T8/U8)*100</f>
        <v>76.470588235294116</v>
      </c>
      <c r="W8" s="221" t="s">
        <v>34</v>
      </c>
      <c r="X8" s="7" t="s">
        <v>34</v>
      </c>
      <c r="Y8" s="7" t="s">
        <v>34</v>
      </c>
      <c r="Z8" s="113"/>
      <c r="AA8" s="114"/>
      <c r="AB8" s="269"/>
      <c r="AC8" s="221" t="s">
        <v>34</v>
      </c>
      <c r="AD8" s="7" t="s">
        <v>34</v>
      </c>
      <c r="AE8" s="7" t="s">
        <v>34</v>
      </c>
      <c r="AF8" s="221" t="s">
        <v>34</v>
      </c>
      <c r="AG8" s="7" t="s">
        <v>34</v>
      </c>
      <c r="AH8" s="7" t="s">
        <v>34</v>
      </c>
      <c r="AI8" s="7" t="s">
        <v>34</v>
      </c>
      <c r="AJ8" s="7" t="s">
        <v>34</v>
      </c>
      <c r="AK8" s="7" t="s">
        <v>34</v>
      </c>
      <c r="AL8" s="7" t="s">
        <v>34</v>
      </c>
      <c r="AM8" s="7" t="s">
        <v>34</v>
      </c>
      <c r="AN8" s="7" t="s">
        <v>34</v>
      </c>
      <c r="AO8" s="7" t="s">
        <v>34</v>
      </c>
      <c r="AP8" s="7" t="s">
        <v>34</v>
      </c>
      <c r="AQ8" s="7" t="s">
        <v>34</v>
      </c>
    </row>
    <row r="9" spans="1:50" ht="15" customHeight="1" thickBot="1" x14ac:dyDescent="0.3">
      <c r="A9" s="385" t="s">
        <v>83</v>
      </c>
      <c r="B9" s="382">
        <v>0</v>
      </c>
      <c r="C9" s="383">
        <v>0</v>
      </c>
      <c r="D9" s="489">
        <v>0</v>
      </c>
      <c r="E9" s="388">
        <f t="shared" si="0"/>
        <v>0</v>
      </c>
      <c r="F9" s="389" t="s">
        <v>83</v>
      </c>
      <c r="G9" s="97">
        <v>0</v>
      </c>
      <c r="H9" s="210">
        <v>0</v>
      </c>
      <c r="I9" s="271">
        <v>0</v>
      </c>
      <c r="J9" s="391">
        <f t="shared" si="1"/>
        <v>0</v>
      </c>
      <c r="K9" s="385" t="s">
        <v>134</v>
      </c>
      <c r="L9" s="388">
        <v>1</v>
      </c>
      <c r="M9" s="388">
        <v>3</v>
      </c>
      <c r="N9" s="392">
        <f t="shared" si="8"/>
        <v>33.333333333333329</v>
      </c>
      <c r="O9" s="388">
        <v>0</v>
      </c>
      <c r="P9" s="388">
        <v>1</v>
      </c>
      <c r="Q9" s="392">
        <f t="shared" ref="Q9" si="10">SUM(O9/P9)*100</f>
        <v>0</v>
      </c>
      <c r="R9" s="388">
        <v>-1</v>
      </c>
      <c r="S9" s="388">
        <v>-1</v>
      </c>
      <c r="T9" s="7" t="s">
        <v>34</v>
      </c>
      <c r="U9" s="7" t="s">
        <v>34</v>
      </c>
      <c r="V9" s="7" t="s">
        <v>34</v>
      </c>
      <c r="W9" s="221" t="s">
        <v>34</v>
      </c>
      <c r="X9" s="7" t="s">
        <v>34</v>
      </c>
      <c r="Y9" s="7" t="s">
        <v>34</v>
      </c>
      <c r="Z9" s="455"/>
      <c r="AA9" s="456"/>
      <c r="AB9" s="457"/>
      <c r="AC9" s="221" t="s">
        <v>34</v>
      </c>
      <c r="AD9" s="7" t="s">
        <v>34</v>
      </c>
      <c r="AE9" s="7" t="s">
        <v>34</v>
      </c>
      <c r="AF9" s="221" t="s">
        <v>34</v>
      </c>
      <c r="AG9" s="7" t="s">
        <v>34</v>
      </c>
      <c r="AH9" s="7" t="s">
        <v>34</v>
      </c>
      <c r="AI9" s="221" t="s">
        <v>34</v>
      </c>
      <c r="AJ9" s="7" t="s">
        <v>34</v>
      </c>
      <c r="AK9" s="7" t="s">
        <v>34</v>
      </c>
      <c r="AL9" s="7" t="s">
        <v>34</v>
      </c>
      <c r="AM9" s="7" t="s">
        <v>34</v>
      </c>
      <c r="AN9" s="7" t="s">
        <v>34</v>
      </c>
      <c r="AO9" s="7" t="s">
        <v>34</v>
      </c>
      <c r="AP9" s="7" t="s">
        <v>34</v>
      </c>
      <c r="AQ9" s="7" t="s">
        <v>34</v>
      </c>
    </row>
    <row r="10" spans="1:50" ht="16.5" thickBot="1" x14ac:dyDescent="0.3">
      <c r="A10" s="385" t="s">
        <v>85</v>
      </c>
      <c r="B10" s="382">
        <v>0</v>
      </c>
      <c r="C10" s="383">
        <v>0</v>
      </c>
      <c r="D10" s="489">
        <v>0</v>
      </c>
      <c r="E10" s="388">
        <f t="shared" si="0"/>
        <v>0</v>
      </c>
      <c r="F10" s="389" t="s">
        <v>85</v>
      </c>
      <c r="G10" s="97">
        <v>0</v>
      </c>
      <c r="H10" s="210">
        <v>0</v>
      </c>
      <c r="I10" s="271">
        <v>0</v>
      </c>
      <c r="J10" s="391">
        <f t="shared" si="1"/>
        <v>0</v>
      </c>
      <c r="K10" s="385" t="s">
        <v>258</v>
      </c>
      <c r="L10" s="388">
        <v>1</v>
      </c>
      <c r="M10" s="388">
        <v>1</v>
      </c>
      <c r="N10" s="388">
        <f t="shared" si="8"/>
        <v>100</v>
      </c>
      <c r="O10" s="388" t="s">
        <v>34</v>
      </c>
      <c r="P10" s="388" t="s">
        <v>34</v>
      </c>
      <c r="Q10" s="392" t="s">
        <v>34</v>
      </c>
      <c r="R10" s="388">
        <v>1</v>
      </c>
      <c r="S10" s="388">
        <v>2</v>
      </c>
      <c r="T10" s="7" t="s">
        <v>34</v>
      </c>
      <c r="U10" s="7" t="s">
        <v>34</v>
      </c>
      <c r="V10" s="7" t="s">
        <v>34</v>
      </c>
      <c r="W10" s="221" t="s">
        <v>34</v>
      </c>
      <c r="X10" s="7" t="s">
        <v>34</v>
      </c>
      <c r="Y10" s="7" t="s">
        <v>34</v>
      </c>
      <c r="Z10" s="113"/>
      <c r="AA10" s="114"/>
      <c r="AB10" s="269"/>
      <c r="AC10" s="221" t="s">
        <v>34</v>
      </c>
      <c r="AD10" s="7" t="s">
        <v>34</v>
      </c>
      <c r="AE10" s="7" t="s">
        <v>34</v>
      </c>
      <c r="AF10" s="221" t="s">
        <v>34</v>
      </c>
      <c r="AG10" s="7" t="s">
        <v>34</v>
      </c>
      <c r="AH10" s="7" t="s">
        <v>34</v>
      </c>
      <c r="AI10" s="221" t="s">
        <v>34</v>
      </c>
      <c r="AJ10" s="7" t="s">
        <v>34</v>
      </c>
      <c r="AK10" s="7" t="s">
        <v>34</v>
      </c>
      <c r="AL10" s="7" t="s">
        <v>34</v>
      </c>
      <c r="AM10" s="7" t="s">
        <v>34</v>
      </c>
      <c r="AN10" s="7" t="s">
        <v>34</v>
      </c>
      <c r="AO10" s="7" t="s">
        <v>34</v>
      </c>
      <c r="AP10" s="7" t="s">
        <v>34</v>
      </c>
      <c r="AQ10" s="7" t="s">
        <v>34</v>
      </c>
      <c r="AR10" s="105"/>
    </row>
    <row r="11" spans="1:50" ht="16.5" customHeight="1" thickBot="1" x14ac:dyDescent="0.3">
      <c r="A11" s="385" t="s">
        <v>289</v>
      </c>
      <c r="B11" s="382">
        <v>11</v>
      </c>
      <c r="C11" s="383">
        <v>0</v>
      </c>
      <c r="D11" s="489">
        <v>0</v>
      </c>
      <c r="E11" s="388">
        <f t="shared" si="0"/>
        <v>11</v>
      </c>
      <c r="F11" s="389" t="s">
        <v>289</v>
      </c>
      <c r="G11" s="97">
        <v>55</v>
      </c>
      <c r="H11" s="210">
        <v>0</v>
      </c>
      <c r="I11" s="271">
        <v>0</v>
      </c>
      <c r="J11" s="391">
        <f t="shared" si="1"/>
        <v>55</v>
      </c>
      <c r="K11" s="60"/>
      <c r="L11" s="61"/>
      <c r="M11" s="61"/>
      <c r="N11" s="61"/>
      <c r="O11" s="67"/>
      <c r="P11" s="60"/>
      <c r="Q11" s="68"/>
      <c r="R11" s="61"/>
      <c r="S11" s="61"/>
      <c r="T11" s="61"/>
      <c r="U11" s="61"/>
      <c r="V11" s="61"/>
      <c r="W11" s="61"/>
      <c r="X11" s="61"/>
      <c r="Y11" s="61"/>
      <c r="AF11" s="105"/>
      <c r="AI11" s="105"/>
      <c r="AJ11" s="105"/>
      <c r="AK11" s="105"/>
      <c r="AL11" s="105"/>
      <c r="AR11" s="105"/>
    </row>
    <row r="12" spans="1:50" ht="16.5" thickBot="1" x14ac:dyDescent="0.3">
      <c r="A12" s="385" t="s">
        <v>50</v>
      </c>
      <c r="B12" s="382">
        <v>4</v>
      </c>
      <c r="C12" s="383">
        <v>0</v>
      </c>
      <c r="D12" s="489">
        <v>0</v>
      </c>
      <c r="E12" s="388">
        <f t="shared" si="0"/>
        <v>4</v>
      </c>
      <c r="F12" s="389" t="s">
        <v>50</v>
      </c>
      <c r="G12" s="97">
        <v>20</v>
      </c>
      <c r="H12" s="210">
        <v>0</v>
      </c>
      <c r="I12" s="271">
        <v>0</v>
      </c>
      <c r="J12" s="391">
        <f t="shared" si="1"/>
        <v>20</v>
      </c>
      <c r="K12" s="562" t="s">
        <v>659</v>
      </c>
      <c r="L12" s="564" t="s">
        <v>33</v>
      </c>
      <c r="M12" s="565"/>
      <c r="N12" s="566"/>
      <c r="O12" s="543" t="s">
        <v>836</v>
      </c>
      <c r="P12" s="549"/>
      <c r="Q12" s="550"/>
      <c r="R12" s="543" t="s">
        <v>818</v>
      </c>
      <c r="S12" s="549"/>
      <c r="T12" s="550"/>
      <c r="U12" s="543" t="s">
        <v>574</v>
      </c>
      <c r="V12" s="549"/>
      <c r="W12" s="550"/>
      <c r="X12" s="254"/>
      <c r="Y12" s="254"/>
      <c r="Z12" s="254"/>
      <c r="AA12" s="354"/>
      <c r="AB12" s="354"/>
      <c r="AC12" s="543" t="s">
        <v>661</v>
      </c>
      <c r="AD12" s="549"/>
      <c r="AE12" s="550"/>
      <c r="AF12" s="543" t="s">
        <v>662</v>
      </c>
      <c r="AG12" s="549"/>
      <c r="AH12" s="550"/>
      <c r="AI12" s="543" t="s">
        <v>167</v>
      </c>
      <c r="AJ12" s="549"/>
      <c r="AK12" s="550"/>
      <c r="AL12" s="543" t="s">
        <v>114</v>
      </c>
      <c r="AM12" s="549"/>
      <c r="AN12" s="550"/>
      <c r="AO12" s="543" t="s">
        <v>663</v>
      </c>
      <c r="AP12" s="549"/>
      <c r="AQ12" s="550"/>
      <c r="AR12" s="52"/>
    </row>
    <row r="13" spans="1:50" ht="16.5" thickBot="1" x14ac:dyDescent="0.3">
      <c r="A13" s="385" t="s">
        <v>1102</v>
      </c>
      <c r="B13" s="382">
        <v>1</v>
      </c>
      <c r="C13" s="383">
        <v>0</v>
      </c>
      <c r="D13" s="489">
        <v>0</v>
      </c>
      <c r="E13" s="388">
        <f t="shared" si="0"/>
        <v>1</v>
      </c>
      <c r="F13" s="389" t="s">
        <v>1102</v>
      </c>
      <c r="G13" s="97">
        <v>7</v>
      </c>
      <c r="H13" s="210">
        <v>0</v>
      </c>
      <c r="I13" s="271">
        <v>0</v>
      </c>
      <c r="J13" s="391">
        <f t="shared" si="1"/>
        <v>7</v>
      </c>
      <c r="K13" s="563"/>
      <c r="L13" s="567"/>
      <c r="M13" s="568"/>
      <c r="N13" s="569"/>
      <c r="O13" s="551"/>
      <c r="P13" s="552"/>
      <c r="Q13" s="553"/>
      <c r="R13" s="551"/>
      <c r="S13" s="552"/>
      <c r="T13" s="553"/>
      <c r="U13" s="551"/>
      <c r="V13" s="552"/>
      <c r="W13" s="553"/>
      <c r="X13" s="254"/>
      <c r="Y13" s="254"/>
      <c r="Z13" s="254"/>
      <c r="AA13" s="354"/>
      <c r="AB13" s="354"/>
      <c r="AC13" s="551"/>
      <c r="AD13" s="552"/>
      <c r="AE13" s="553"/>
      <c r="AF13" s="551"/>
      <c r="AG13" s="552"/>
      <c r="AH13" s="553"/>
      <c r="AI13" s="551"/>
      <c r="AJ13" s="552"/>
      <c r="AK13" s="553"/>
      <c r="AL13" s="551"/>
      <c r="AM13" s="552"/>
      <c r="AN13" s="553"/>
      <c r="AO13" s="551"/>
      <c r="AP13" s="552"/>
      <c r="AQ13" s="553"/>
      <c r="AR13" s="207"/>
    </row>
    <row r="14" spans="1:50" ht="15.75" thickBot="1" x14ac:dyDescent="0.3">
      <c r="A14" s="385" t="s">
        <v>192</v>
      </c>
      <c r="B14" s="382">
        <v>0</v>
      </c>
      <c r="C14" s="383">
        <v>0</v>
      </c>
      <c r="D14" s="489">
        <v>0</v>
      </c>
      <c r="E14" s="388">
        <f t="shared" si="0"/>
        <v>0</v>
      </c>
      <c r="F14" s="389" t="s">
        <v>192</v>
      </c>
      <c r="G14" s="97">
        <v>0</v>
      </c>
      <c r="H14" s="210">
        <v>0</v>
      </c>
      <c r="I14" s="271">
        <v>0</v>
      </c>
      <c r="J14" s="391">
        <f t="shared" si="1"/>
        <v>0</v>
      </c>
      <c r="K14" s="33" t="s">
        <v>51</v>
      </c>
      <c r="L14" s="1" t="s">
        <v>129</v>
      </c>
      <c r="M14" s="1" t="s">
        <v>27</v>
      </c>
      <c r="N14" s="1" t="s">
        <v>28</v>
      </c>
      <c r="O14" s="7" t="s">
        <v>129</v>
      </c>
      <c r="P14" s="7" t="s">
        <v>27</v>
      </c>
      <c r="Q14" s="7" t="s">
        <v>28</v>
      </c>
      <c r="R14" s="7" t="s">
        <v>129</v>
      </c>
      <c r="S14" s="7" t="s">
        <v>27</v>
      </c>
      <c r="T14" s="7" t="s">
        <v>28</v>
      </c>
      <c r="U14" s="221" t="s">
        <v>129</v>
      </c>
      <c r="V14" s="7" t="s">
        <v>27</v>
      </c>
      <c r="W14" s="7" t="s">
        <v>28</v>
      </c>
      <c r="X14" s="354"/>
      <c r="Y14" s="354"/>
      <c r="Z14" s="354"/>
      <c r="AA14" s="354"/>
      <c r="AB14" s="354"/>
      <c r="AC14" s="221" t="s">
        <v>129</v>
      </c>
      <c r="AD14" s="7" t="s">
        <v>27</v>
      </c>
      <c r="AE14" s="7" t="s">
        <v>28</v>
      </c>
      <c r="AF14" s="221" t="s">
        <v>129</v>
      </c>
      <c r="AG14" s="7" t="s">
        <v>27</v>
      </c>
      <c r="AH14" s="7" t="s">
        <v>28</v>
      </c>
      <c r="AI14" s="221" t="s">
        <v>129</v>
      </c>
      <c r="AJ14" s="7" t="s">
        <v>27</v>
      </c>
      <c r="AK14" s="7" t="s">
        <v>28</v>
      </c>
      <c r="AL14" s="221" t="s">
        <v>129</v>
      </c>
      <c r="AM14" s="7" t="s">
        <v>27</v>
      </c>
      <c r="AN14" s="7" t="s">
        <v>28</v>
      </c>
      <c r="AO14" s="7" t="s">
        <v>129</v>
      </c>
      <c r="AP14" s="7" t="s">
        <v>27</v>
      </c>
      <c r="AQ14" s="7" t="s">
        <v>28</v>
      </c>
      <c r="AR14" s="207"/>
    </row>
    <row r="15" spans="1:50" ht="15.75" thickBot="1" x14ac:dyDescent="0.3">
      <c r="A15" s="385" t="s">
        <v>875</v>
      </c>
      <c r="B15" s="382">
        <v>0</v>
      </c>
      <c r="C15" s="383">
        <v>0</v>
      </c>
      <c r="D15" s="489">
        <v>1</v>
      </c>
      <c r="E15" s="388">
        <f t="shared" si="0"/>
        <v>1</v>
      </c>
      <c r="F15" s="389" t="s">
        <v>875</v>
      </c>
      <c r="G15" s="97">
        <v>0</v>
      </c>
      <c r="H15" s="210">
        <v>0</v>
      </c>
      <c r="I15" s="271">
        <v>5</v>
      </c>
      <c r="J15" s="391">
        <f t="shared" si="1"/>
        <v>5</v>
      </c>
      <c r="K15" s="385" t="s">
        <v>55</v>
      </c>
      <c r="L15" s="388">
        <v>2</v>
      </c>
      <c r="M15" s="388">
        <v>5</v>
      </c>
      <c r="N15" s="392">
        <f t="shared" ref="N15" si="11">SUM(L15/M15)*100</f>
        <v>40</v>
      </c>
      <c r="O15" s="7">
        <v>11</v>
      </c>
      <c r="P15" s="7">
        <v>12</v>
      </c>
      <c r="Q15" s="232">
        <f t="shared" ref="Q15:Q17" si="12">SUM(O15/P15)*100</f>
        <v>91.666666666666657</v>
      </c>
      <c r="R15" s="7">
        <v>23</v>
      </c>
      <c r="S15" s="7">
        <v>28</v>
      </c>
      <c r="T15" s="232">
        <f t="shared" ref="T15:T17" si="13">SUM(R15/S15)*100</f>
        <v>82.142857142857139</v>
      </c>
      <c r="U15" s="221">
        <v>13</v>
      </c>
      <c r="V15" s="7">
        <v>16</v>
      </c>
      <c r="W15" s="232">
        <f t="shared" ref="W15:W17" si="14">SUM(U15/V15)*100</f>
        <v>81.25</v>
      </c>
      <c r="X15" s="354"/>
      <c r="Y15" s="354"/>
      <c r="Z15" s="354"/>
      <c r="AA15" s="354"/>
      <c r="AB15" s="354"/>
      <c r="AC15" s="221" t="s">
        <v>34</v>
      </c>
      <c r="AD15" s="7" t="s">
        <v>34</v>
      </c>
      <c r="AE15" s="7" t="s">
        <v>34</v>
      </c>
      <c r="AF15" s="221" t="s">
        <v>34</v>
      </c>
      <c r="AG15" s="7" t="s">
        <v>34</v>
      </c>
      <c r="AH15" s="7" t="s">
        <v>34</v>
      </c>
      <c r="AI15" s="221" t="s">
        <v>34</v>
      </c>
      <c r="AJ15" s="7" t="s">
        <v>34</v>
      </c>
      <c r="AK15" s="7" t="s">
        <v>34</v>
      </c>
      <c r="AL15" s="221" t="s">
        <v>34</v>
      </c>
      <c r="AM15" s="7" t="s">
        <v>34</v>
      </c>
      <c r="AN15" s="7" t="s">
        <v>34</v>
      </c>
      <c r="AO15" s="221" t="s">
        <v>34</v>
      </c>
      <c r="AP15" s="7" t="s">
        <v>34</v>
      </c>
      <c r="AQ15" s="7" t="s">
        <v>34</v>
      </c>
      <c r="AR15" s="207"/>
    </row>
    <row r="16" spans="1:50" ht="15.75" thickBot="1" x14ac:dyDescent="0.3">
      <c r="A16" s="385" t="s">
        <v>1052</v>
      </c>
      <c r="B16" s="382">
        <v>3</v>
      </c>
      <c r="C16" s="383">
        <v>0</v>
      </c>
      <c r="D16" s="489">
        <v>0</v>
      </c>
      <c r="E16" s="388">
        <f t="shared" si="0"/>
        <v>3</v>
      </c>
      <c r="F16" s="389" t="s">
        <v>1052</v>
      </c>
      <c r="G16" s="97">
        <v>15</v>
      </c>
      <c r="H16" s="210">
        <v>0</v>
      </c>
      <c r="I16" s="271">
        <v>0</v>
      </c>
      <c r="J16" s="391">
        <f t="shared" si="1"/>
        <v>15</v>
      </c>
      <c r="K16" s="385" t="s">
        <v>606</v>
      </c>
      <c r="L16" s="388" t="s">
        <v>34</v>
      </c>
      <c r="M16" s="388" t="s">
        <v>34</v>
      </c>
      <c r="N16" s="392" t="s">
        <v>34</v>
      </c>
      <c r="O16" s="7">
        <v>6</v>
      </c>
      <c r="P16" s="7">
        <v>8</v>
      </c>
      <c r="Q16" s="232">
        <f t="shared" si="12"/>
        <v>75</v>
      </c>
      <c r="R16" s="221" t="s">
        <v>34</v>
      </c>
      <c r="S16" s="7" t="s">
        <v>34</v>
      </c>
      <c r="T16" s="7" t="s">
        <v>34</v>
      </c>
      <c r="U16" s="221" t="s">
        <v>34</v>
      </c>
      <c r="V16" s="7" t="s">
        <v>34</v>
      </c>
      <c r="W16" s="7" t="s">
        <v>34</v>
      </c>
      <c r="X16" s="354"/>
      <c r="Y16" s="354"/>
      <c r="Z16" s="354"/>
      <c r="AA16" s="354"/>
      <c r="AB16" s="354"/>
      <c r="AC16" s="221" t="s">
        <v>34</v>
      </c>
      <c r="AD16" s="7" t="s">
        <v>34</v>
      </c>
      <c r="AE16" s="7" t="s">
        <v>34</v>
      </c>
      <c r="AF16" s="221" t="s">
        <v>34</v>
      </c>
      <c r="AG16" s="7" t="s">
        <v>34</v>
      </c>
      <c r="AH16" s="7" t="s">
        <v>34</v>
      </c>
      <c r="AI16" s="221" t="s">
        <v>34</v>
      </c>
      <c r="AJ16" s="7" t="s">
        <v>34</v>
      </c>
      <c r="AK16" s="7" t="s">
        <v>34</v>
      </c>
      <c r="AL16" s="221" t="s">
        <v>34</v>
      </c>
      <c r="AM16" s="7" t="s">
        <v>34</v>
      </c>
      <c r="AN16" s="7" t="s">
        <v>34</v>
      </c>
      <c r="AO16" s="221" t="s">
        <v>34</v>
      </c>
      <c r="AP16" s="7" t="s">
        <v>34</v>
      </c>
      <c r="AQ16" s="7" t="s">
        <v>34</v>
      </c>
      <c r="AR16" s="207"/>
    </row>
    <row r="17" spans="1:43" ht="15.75" thickBot="1" x14ac:dyDescent="0.3">
      <c r="A17" s="385" t="s">
        <v>4</v>
      </c>
      <c r="B17" s="382">
        <v>3</v>
      </c>
      <c r="C17" s="383">
        <v>0</v>
      </c>
      <c r="D17" s="489">
        <v>0</v>
      </c>
      <c r="E17" s="388">
        <f t="shared" si="0"/>
        <v>3</v>
      </c>
      <c r="F17" s="389" t="s">
        <v>4</v>
      </c>
      <c r="G17" s="97">
        <v>15</v>
      </c>
      <c r="H17" s="210">
        <v>0</v>
      </c>
      <c r="I17" s="271">
        <v>0</v>
      </c>
      <c r="J17" s="391">
        <f t="shared" si="1"/>
        <v>15</v>
      </c>
      <c r="K17" s="385" t="s">
        <v>156</v>
      </c>
      <c r="L17" s="388" t="s">
        <v>34</v>
      </c>
      <c r="M17" s="388" t="s">
        <v>34</v>
      </c>
      <c r="N17" s="392" t="s">
        <v>34</v>
      </c>
      <c r="O17" s="7">
        <v>3</v>
      </c>
      <c r="P17" s="7">
        <v>3</v>
      </c>
      <c r="Q17" s="232">
        <f t="shared" si="12"/>
        <v>100</v>
      </c>
      <c r="R17" s="7">
        <v>6</v>
      </c>
      <c r="S17" s="7">
        <v>7</v>
      </c>
      <c r="T17" s="232">
        <f t="shared" si="13"/>
        <v>85.714285714285708</v>
      </c>
      <c r="U17" s="221">
        <v>1</v>
      </c>
      <c r="V17" s="7">
        <v>2</v>
      </c>
      <c r="W17" s="232">
        <f t="shared" si="14"/>
        <v>50</v>
      </c>
      <c r="X17" s="354"/>
      <c r="Y17" s="354"/>
      <c r="Z17" s="354"/>
      <c r="AA17" s="354"/>
      <c r="AB17" s="354"/>
      <c r="AC17" s="221" t="s">
        <v>34</v>
      </c>
      <c r="AD17" s="7" t="s">
        <v>34</v>
      </c>
      <c r="AE17" s="7" t="s">
        <v>34</v>
      </c>
      <c r="AF17" s="221" t="s">
        <v>34</v>
      </c>
      <c r="AG17" s="7" t="s">
        <v>34</v>
      </c>
      <c r="AH17" s="7" t="s">
        <v>34</v>
      </c>
      <c r="AI17" s="221" t="s">
        <v>34</v>
      </c>
      <c r="AJ17" s="7" t="s">
        <v>34</v>
      </c>
      <c r="AK17" s="7" t="s">
        <v>34</v>
      </c>
      <c r="AL17" s="221" t="s">
        <v>34</v>
      </c>
      <c r="AM17" s="7" t="s">
        <v>34</v>
      </c>
      <c r="AN17" s="7" t="s">
        <v>34</v>
      </c>
      <c r="AO17" s="221" t="s">
        <v>34</v>
      </c>
      <c r="AP17" s="7" t="s">
        <v>34</v>
      </c>
      <c r="AQ17" s="7" t="s">
        <v>34</v>
      </c>
    </row>
    <row r="18" spans="1:43" ht="15.75" thickBot="1" x14ac:dyDescent="0.3">
      <c r="A18" s="385" t="s">
        <v>770</v>
      </c>
      <c r="B18" s="382">
        <v>1</v>
      </c>
      <c r="C18" s="383">
        <v>0</v>
      </c>
      <c r="D18" s="489">
        <v>0</v>
      </c>
      <c r="E18" s="388">
        <f t="shared" si="0"/>
        <v>1</v>
      </c>
      <c r="F18" s="389" t="s">
        <v>770</v>
      </c>
      <c r="G18" s="97">
        <v>5</v>
      </c>
      <c r="H18" s="210">
        <v>0</v>
      </c>
      <c r="I18" s="271">
        <v>0</v>
      </c>
      <c r="J18" s="391">
        <f t="shared" si="1"/>
        <v>5</v>
      </c>
      <c r="K18" s="385" t="s">
        <v>258</v>
      </c>
      <c r="L18" s="393" t="s">
        <v>34</v>
      </c>
      <c r="M18" s="388" t="s">
        <v>34</v>
      </c>
      <c r="N18" s="388" t="s">
        <v>34</v>
      </c>
      <c r="O18" s="221" t="s">
        <v>34</v>
      </c>
      <c r="P18" s="7" t="str">
        <f>P23</f>
        <v>-</v>
      </c>
      <c r="Q18" s="7" t="s">
        <v>34</v>
      </c>
      <c r="R18" s="221" t="s">
        <v>34</v>
      </c>
      <c r="S18" s="7" t="s">
        <v>34</v>
      </c>
      <c r="T18" s="7" t="s">
        <v>34</v>
      </c>
      <c r="U18" s="221" t="s">
        <v>34</v>
      </c>
      <c r="V18" s="7" t="s">
        <v>34</v>
      </c>
      <c r="W18" s="7" t="s">
        <v>34</v>
      </c>
      <c r="X18" s="354"/>
      <c r="Y18" s="354"/>
      <c r="Z18" s="354"/>
      <c r="AA18" s="354"/>
      <c r="AB18" s="354"/>
      <c r="AC18" s="221" t="s">
        <v>34</v>
      </c>
      <c r="AD18" s="7" t="s">
        <v>34</v>
      </c>
      <c r="AE18" s="7" t="s">
        <v>34</v>
      </c>
      <c r="AF18" s="221">
        <v>1</v>
      </c>
      <c r="AG18" s="7">
        <v>1</v>
      </c>
      <c r="AH18" s="232">
        <f>SUM(AF18/AG18)*100</f>
        <v>100</v>
      </c>
      <c r="AI18" s="221" t="s">
        <v>34</v>
      </c>
      <c r="AJ18" s="7" t="s">
        <v>34</v>
      </c>
      <c r="AK18" s="7" t="s">
        <v>34</v>
      </c>
      <c r="AL18" s="221" t="s">
        <v>34</v>
      </c>
      <c r="AM18" s="7" t="s">
        <v>34</v>
      </c>
      <c r="AN18" s="7" t="s">
        <v>34</v>
      </c>
      <c r="AO18" s="221" t="s">
        <v>34</v>
      </c>
      <c r="AP18" s="7" t="s">
        <v>34</v>
      </c>
      <c r="AQ18" s="7" t="s">
        <v>34</v>
      </c>
    </row>
    <row r="19" spans="1:43" ht="15.75" thickBot="1" x14ac:dyDescent="0.3">
      <c r="A19" s="385" t="s">
        <v>826</v>
      </c>
      <c r="B19" s="382">
        <v>8</v>
      </c>
      <c r="C19" s="383">
        <v>0</v>
      </c>
      <c r="D19" s="489">
        <v>0</v>
      </c>
      <c r="E19" s="388">
        <f t="shared" si="0"/>
        <v>8</v>
      </c>
      <c r="F19" s="389" t="s">
        <v>826</v>
      </c>
      <c r="G19" s="97">
        <v>40</v>
      </c>
      <c r="H19" s="210">
        <v>0</v>
      </c>
      <c r="I19" s="271">
        <v>0</v>
      </c>
      <c r="J19" s="391">
        <f t="shared" si="1"/>
        <v>40</v>
      </c>
      <c r="X19" s="354"/>
      <c r="Y19" s="354"/>
      <c r="Z19" s="354"/>
      <c r="AA19" s="354"/>
      <c r="AB19" s="354"/>
    </row>
    <row r="20" spans="1:43" ht="16.5" thickBot="1" x14ac:dyDescent="0.3">
      <c r="A20" s="385" t="s">
        <v>606</v>
      </c>
      <c r="B20" s="382">
        <v>1</v>
      </c>
      <c r="C20" s="383">
        <v>0</v>
      </c>
      <c r="D20" s="489">
        <v>0</v>
      </c>
      <c r="E20" s="388">
        <f t="shared" si="0"/>
        <v>1</v>
      </c>
      <c r="F20" s="389" t="s">
        <v>606</v>
      </c>
      <c r="G20" s="97">
        <v>13</v>
      </c>
      <c r="H20" s="210">
        <v>0</v>
      </c>
      <c r="I20" s="271">
        <v>6</v>
      </c>
      <c r="J20" s="391">
        <f t="shared" si="1"/>
        <v>19</v>
      </c>
      <c r="K20" s="570" t="s">
        <v>660</v>
      </c>
      <c r="L20" s="564" t="s">
        <v>33</v>
      </c>
      <c r="M20" s="565"/>
      <c r="N20" s="566"/>
      <c r="O20" s="543" t="s">
        <v>836</v>
      </c>
      <c r="P20" s="549"/>
      <c r="Q20" s="550"/>
      <c r="R20" s="543" t="s">
        <v>817</v>
      </c>
      <c r="S20" s="549"/>
      <c r="T20" s="550"/>
      <c r="U20" s="543" t="s">
        <v>574</v>
      </c>
      <c r="V20" s="549"/>
      <c r="W20" s="550"/>
      <c r="X20" s="468"/>
      <c r="Y20" s="468"/>
      <c r="Z20" s="468"/>
      <c r="AA20" s="463"/>
      <c r="AB20" s="463"/>
      <c r="AC20" s="543" t="s">
        <v>217</v>
      </c>
      <c r="AD20" s="549"/>
      <c r="AE20" s="550"/>
      <c r="AF20" s="543" t="s">
        <v>147</v>
      </c>
      <c r="AG20" s="549"/>
      <c r="AH20" s="550"/>
      <c r="AI20" s="543" t="s">
        <v>167</v>
      </c>
      <c r="AJ20" s="549"/>
      <c r="AK20" s="550"/>
      <c r="AL20" s="543" t="s">
        <v>114</v>
      </c>
      <c r="AM20" s="549"/>
      <c r="AN20" s="550"/>
      <c r="AO20" s="543" t="s">
        <v>114</v>
      </c>
      <c r="AP20" s="549"/>
      <c r="AQ20" s="550"/>
    </row>
    <row r="21" spans="1:43" ht="16.5" thickBot="1" x14ac:dyDescent="0.3">
      <c r="A21" s="385" t="s">
        <v>1090</v>
      </c>
      <c r="B21" s="382">
        <v>2</v>
      </c>
      <c r="C21" s="383">
        <v>0</v>
      </c>
      <c r="D21" s="489">
        <v>1</v>
      </c>
      <c r="E21" s="388">
        <f t="shared" si="0"/>
        <v>3</v>
      </c>
      <c r="F21" s="389" t="s">
        <v>1090</v>
      </c>
      <c r="G21" s="97">
        <v>10</v>
      </c>
      <c r="H21" s="210">
        <v>0</v>
      </c>
      <c r="I21" s="271">
        <v>5</v>
      </c>
      <c r="J21" s="391">
        <f t="shared" si="1"/>
        <v>15</v>
      </c>
      <c r="K21" s="571"/>
      <c r="L21" s="567"/>
      <c r="M21" s="568"/>
      <c r="N21" s="569"/>
      <c r="O21" s="551"/>
      <c r="P21" s="552"/>
      <c r="Q21" s="553"/>
      <c r="R21" s="551"/>
      <c r="S21" s="552"/>
      <c r="T21" s="553"/>
      <c r="U21" s="551"/>
      <c r="V21" s="552"/>
      <c r="W21" s="553"/>
      <c r="X21" s="468"/>
      <c r="Y21" s="468"/>
      <c r="Z21" s="468"/>
      <c r="AA21" s="463"/>
      <c r="AB21" s="463"/>
      <c r="AC21" s="551"/>
      <c r="AD21" s="552"/>
      <c r="AE21" s="553"/>
      <c r="AF21" s="551"/>
      <c r="AG21" s="552"/>
      <c r="AH21" s="553"/>
      <c r="AI21" s="551"/>
      <c r="AJ21" s="552"/>
      <c r="AK21" s="553"/>
      <c r="AL21" s="551"/>
      <c r="AM21" s="552"/>
      <c r="AN21" s="553"/>
      <c r="AO21" s="551"/>
      <c r="AP21" s="552"/>
      <c r="AQ21" s="553"/>
    </row>
    <row r="22" spans="1:43" ht="15.75" customHeight="1" thickBot="1" x14ac:dyDescent="0.3">
      <c r="A22" s="385" t="s">
        <v>877</v>
      </c>
      <c r="B22" s="382">
        <v>0</v>
      </c>
      <c r="C22" s="383">
        <v>0</v>
      </c>
      <c r="D22" s="489">
        <v>0</v>
      </c>
      <c r="E22" s="388">
        <f t="shared" si="0"/>
        <v>0</v>
      </c>
      <c r="F22" s="389" t="s">
        <v>877</v>
      </c>
      <c r="G22" s="97">
        <v>0</v>
      </c>
      <c r="H22" s="210">
        <v>0</v>
      </c>
      <c r="I22" s="271">
        <v>0</v>
      </c>
      <c r="J22" s="391">
        <f t="shared" si="1"/>
        <v>0</v>
      </c>
      <c r="K22" s="33" t="s">
        <v>51</v>
      </c>
      <c r="L22" s="1" t="s">
        <v>129</v>
      </c>
      <c r="M22" s="1" t="s">
        <v>27</v>
      </c>
      <c r="N22" s="1" t="s">
        <v>28</v>
      </c>
      <c r="O22" s="7" t="s">
        <v>129</v>
      </c>
      <c r="P22" s="7" t="s">
        <v>27</v>
      </c>
      <c r="Q22" s="7" t="s">
        <v>28</v>
      </c>
      <c r="R22" s="7" t="s">
        <v>129</v>
      </c>
      <c r="S22" s="7" t="s">
        <v>27</v>
      </c>
      <c r="T22" s="7" t="s">
        <v>28</v>
      </c>
      <c r="U22" s="221" t="s">
        <v>129</v>
      </c>
      <c r="V22" s="7" t="s">
        <v>27</v>
      </c>
      <c r="W22" s="7" t="s">
        <v>28</v>
      </c>
      <c r="X22" s="463"/>
      <c r="Y22" s="463"/>
      <c r="Z22" s="463"/>
      <c r="AA22" s="463"/>
      <c r="AB22" s="463"/>
      <c r="AC22" s="221" t="s">
        <v>129</v>
      </c>
      <c r="AD22" s="7" t="s">
        <v>27</v>
      </c>
      <c r="AE22" s="7" t="s">
        <v>28</v>
      </c>
      <c r="AF22" s="221" t="s">
        <v>129</v>
      </c>
      <c r="AG22" s="7" t="s">
        <v>27</v>
      </c>
      <c r="AH22" s="7" t="s">
        <v>28</v>
      </c>
      <c r="AI22" s="221" t="s">
        <v>129</v>
      </c>
      <c r="AJ22" s="7" t="s">
        <v>27</v>
      </c>
      <c r="AK22" s="7" t="s">
        <v>28</v>
      </c>
      <c r="AL22" s="221" t="s">
        <v>129</v>
      </c>
      <c r="AM22" s="7" t="s">
        <v>27</v>
      </c>
      <c r="AN22" s="7" t="s">
        <v>28</v>
      </c>
      <c r="AO22" s="7" t="s">
        <v>129</v>
      </c>
      <c r="AP22" s="7" t="s">
        <v>27</v>
      </c>
      <c r="AQ22" s="7" t="s">
        <v>28</v>
      </c>
    </row>
    <row r="23" spans="1:43" ht="15.75" customHeight="1" thickBot="1" x14ac:dyDescent="0.3">
      <c r="A23" s="385" t="s">
        <v>200</v>
      </c>
      <c r="B23" s="382">
        <v>0</v>
      </c>
      <c r="C23" s="383">
        <v>0</v>
      </c>
      <c r="D23" s="489">
        <v>0</v>
      </c>
      <c r="E23" s="388">
        <f t="shared" si="0"/>
        <v>0</v>
      </c>
      <c r="F23" s="389" t="s">
        <v>200</v>
      </c>
      <c r="G23" s="97">
        <v>0</v>
      </c>
      <c r="H23" s="210">
        <v>0</v>
      </c>
      <c r="I23" s="271">
        <v>0</v>
      </c>
      <c r="J23" s="391">
        <f t="shared" si="1"/>
        <v>0</v>
      </c>
      <c r="K23" s="385" t="s">
        <v>606</v>
      </c>
      <c r="L23" s="388">
        <v>3</v>
      </c>
      <c r="M23" s="388">
        <v>3</v>
      </c>
      <c r="N23" s="392">
        <f t="shared" ref="N23" si="15">SUM(L23/M23)*100</f>
        <v>100</v>
      </c>
      <c r="O23" s="221" t="s">
        <v>34</v>
      </c>
      <c r="P23" s="7" t="s">
        <v>34</v>
      </c>
      <c r="Q23" s="7" t="s">
        <v>34</v>
      </c>
      <c r="R23" s="221" t="s">
        <v>34</v>
      </c>
      <c r="S23" s="7" t="s">
        <v>34</v>
      </c>
      <c r="T23" s="7" t="s">
        <v>34</v>
      </c>
      <c r="U23" s="221" t="s">
        <v>34</v>
      </c>
      <c r="V23" s="7" t="s">
        <v>34</v>
      </c>
      <c r="W23" s="7" t="s">
        <v>34</v>
      </c>
      <c r="X23" s="463"/>
      <c r="Y23" s="463"/>
      <c r="Z23" s="463"/>
      <c r="AA23" s="463"/>
      <c r="AB23" s="463"/>
      <c r="AC23" s="221" t="s">
        <v>34</v>
      </c>
      <c r="AD23" s="7" t="s">
        <v>34</v>
      </c>
      <c r="AE23" s="7" t="s">
        <v>34</v>
      </c>
      <c r="AF23" s="221" t="s">
        <v>34</v>
      </c>
      <c r="AG23" s="7" t="s">
        <v>34</v>
      </c>
      <c r="AH23" s="7" t="s">
        <v>34</v>
      </c>
      <c r="AI23" s="221" t="s">
        <v>34</v>
      </c>
      <c r="AJ23" s="7" t="s">
        <v>34</v>
      </c>
      <c r="AK23" s="7" t="s">
        <v>34</v>
      </c>
      <c r="AL23" s="221" t="s">
        <v>34</v>
      </c>
      <c r="AM23" s="7" t="s">
        <v>34</v>
      </c>
      <c r="AN23" s="7" t="s">
        <v>34</v>
      </c>
      <c r="AO23" s="221" t="s">
        <v>34</v>
      </c>
      <c r="AP23" s="7" t="s">
        <v>34</v>
      </c>
      <c r="AQ23" s="7" t="s">
        <v>34</v>
      </c>
    </row>
    <row r="24" spans="1:43" ht="15.75" thickBot="1" x14ac:dyDescent="0.3">
      <c r="A24" s="385" t="s">
        <v>636</v>
      </c>
      <c r="B24" s="382">
        <v>3</v>
      </c>
      <c r="C24" s="383">
        <v>0</v>
      </c>
      <c r="D24" s="489">
        <v>0</v>
      </c>
      <c r="E24" s="388">
        <f t="shared" si="0"/>
        <v>3</v>
      </c>
      <c r="F24" s="389" t="s">
        <v>636</v>
      </c>
      <c r="G24" s="97">
        <v>15</v>
      </c>
      <c r="H24" s="210">
        <v>0</v>
      </c>
      <c r="I24" s="271">
        <v>0</v>
      </c>
      <c r="J24" s="391">
        <f t="shared" si="1"/>
        <v>15</v>
      </c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3"/>
      <c r="Y24" s="463"/>
      <c r="Z24" s="463"/>
      <c r="AA24" s="463"/>
      <c r="AB24" s="463"/>
      <c r="AC24" s="464"/>
      <c r="AD24" s="464"/>
      <c r="AE24" s="464"/>
      <c r="AF24" s="464"/>
      <c r="AG24" s="464"/>
      <c r="AH24" s="464"/>
      <c r="AI24" s="464"/>
      <c r="AJ24" s="464"/>
      <c r="AK24" s="464"/>
      <c r="AL24" s="464"/>
      <c r="AM24" s="464"/>
      <c r="AN24" s="464"/>
      <c r="AO24" s="464"/>
      <c r="AP24" s="464"/>
      <c r="AQ24" s="464"/>
    </row>
    <row r="25" spans="1:43" ht="15.75" thickBot="1" x14ac:dyDescent="0.3">
      <c r="A25" s="385" t="s">
        <v>156</v>
      </c>
      <c r="B25" s="382">
        <v>2</v>
      </c>
      <c r="C25" s="383">
        <v>0</v>
      </c>
      <c r="D25" s="489">
        <v>0</v>
      </c>
      <c r="E25" s="388">
        <f t="shared" si="0"/>
        <v>2</v>
      </c>
      <c r="F25" s="389" t="s">
        <v>156</v>
      </c>
      <c r="G25" s="97">
        <v>15</v>
      </c>
      <c r="H25" s="210">
        <v>0</v>
      </c>
      <c r="I25" s="271">
        <v>0</v>
      </c>
      <c r="J25" s="391">
        <f t="shared" si="1"/>
        <v>15</v>
      </c>
      <c r="K25" s="515" t="s">
        <v>218</v>
      </c>
      <c r="L25" s="543" t="s">
        <v>836</v>
      </c>
      <c r="M25" s="549"/>
      <c r="N25" s="550"/>
      <c r="O25" s="543" t="s">
        <v>816</v>
      </c>
      <c r="P25" s="549"/>
      <c r="Q25" s="550"/>
      <c r="R25" s="543" t="s">
        <v>574</v>
      </c>
      <c r="S25" s="549"/>
      <c r="T25" s="550"/>
      <c r="U25" s="543" t="s">
        <v>217</v>
      </c>
      <c r="V25" s="549"/>
      <c r="W25" s="550"/>
      <c r="X25" s="354"/>
      <c r="Y25" s="354"/>
      <c r="Z25" s="354"/>
      <c r="AA25" s="354"/>
      <c r="AB25" s="354"/>
      <c r="AC25" s="543" t="s">
        <v>137</v>
      </c>
      <c r="AD25" s="549"/>
      <c r="AE25" s="550"/>
      <c r="AF25" s="543" t="s">
        <v>101</v>
      </c>
      <c r="AG25" s="549"/>
      <c r="AH25" s="550"/>
      <c r="AI25" s="575"/>
      <c r="AJ25" s="575"/>
      <c r="AK25" s="575"/>
      <c r="AL25" s="39"/>
    </row>
    <row r="26" spans="1:43" ht="15.75" thickBot="1" x14ac:dyDescent="0.3">
      <c r="A26" s="385" t="s">
        <v>329</v>
      </c>
      <c r="B26" s="382">
        <v>0</v>
      </c>
      <c r="C26" s="383">
        <v>0</v>
      </c>
      <c r="D26" s="489">
        <v>0</v>
      </c>
      <c r="E26" s="388">
        <f t="shared" si="0"/>
        <v>0</v>
      </c>
      <c r="F26" s="389" t="s">
        <v>329</v>
      </c>
      <c r="G26" s="97">
        <v>0</v>
      </c>
      <c r="H26" s="210">
        <v>0</v>
      </c>
      <c r="I26" s="271">
        <v>0</v>
      </c>
      <c r="J26" s="391">
        <f t="shared" si="1"/>
        <v>0</v>
      </c>
      <c r="K26" s="516"/>
      <c r="L26" s="551"/>
      <c r="M26" s="552"/>
      <c r="N26" s="553"/>
      <c r="O26" s="551"/>
      <c r="P26" s="552"/>
      <c r="Q26" s="553"/>
      <c r="R26" s="551"/>
      <c r="S26" s="552"/>
      <c r="T26" s="553"/>
      <c r="U26" s="551"/>
      <c r="V26" s="552"/>
      <c r="W26" s="553"/>
      <c r="X26" s="354"/>
      <c r="Y26" s="354"/>
      <c r="Z26" s="354"/>
      <c r="AA26" s="354"/>
      <c r="AB26" s="354"/>
      <c r="AC26" s="551"/>
      <c r="AD26" s="552"/>
      <c r="AE26" s="553"/>
      <c r="AF26" s="551"/>
      <c r="AG26" s="552"/>
      <c r="AH26" s="553"/>
      <c r="AI26" s="575"/>
      <c r="AJ26" s="575"/>
      <c r="AK26" s="575"/>
      <c r="AL26" s="39"/>
    </row>
    <row r="27" spans="1:43" ht="15.75" thickBot="1" x14ac:dyDescent="0.3">
      <c r="A27" s="385" t="s">
        <v>722</v>
      </c>
      <c r="B27" s="382">
        <v>0</v>
      </c>
      <c r="C27" s="383">
        <v>0</v>
      </c>
      <c r="D27" s="489">
        <v>1</v>
      </c>
      <c r="E27" s="388">
        <f t="shared" si="0"/>
        <v>1</v>
      </c>
      <c r="F27" s="389" t="s">
        <v>722</v>
      </c>
      <c r="G27" s="97">
        <v>0</v>
      </c>
      <c r="H27" s="210">
        <v>0</v>
      </c>
      <c r="I27" s="271">
        <v>5</v>
      </c>
      <c r="J27" s="391">
        <f t="shared" si="1"/>
        <v>5</v>
      </c>
      <c r="K27" s="33" t="s">
        <v>51</v>
      </c>
      <c r="L27" s="7" t="s">
        <v>129</v>
      </c>
      <c r="M27" s="7" t="s">
        <v>27</v>
      </c>
      <c r="N27" s="7" t="s">
        <v>28</v>
      </c>
      <c r="O27" s="7" t="s">
        <v>129</v>
      </c>
      <c r="P27" s="7" t="s">
        <v>27</v>
      </c>
      <c r="Q27" s="7" t="s">
        <v>28</v>
      </c>
      <c r="R27" s="7" t="s">
        <v>129</v>
      </c>
      <c r="S27" s="7" t="s">
        <v>27</v>
      </c>
      <c r="T27" s="7" t="s">
        <v>28</v>
      </c>
      <c r="U27" s="221" t="s">
        <v>129</v>
      </c>
      <c r="V27" s="7" t="s">
        <v>27</v>
      </c>
      <c r="W27" s="7" t="s">
        <v>28</v>
      </c>
      <c r="X27" s="354"/>
      <c r="Y27" s="354"/>
      <c r="Z27" s="354"/>
      <c r="AA27" s="354"/>
      <c r="AB27" s="354"/>
      <c r="AC27" s="221" t="s">
        <v>129</v>
      </c>
      <c r="AD27" s="7" t="s">
        <v>27</v>
      </c>
      <c r="AE27" s="7" t="s">
        <v>28</v>
      </c>
      <c r="AF27" s="6" t="s">
        <v>129</v>
      </c>
      <c r="AG27" s="7" t="s">
        <v>27</v>
      </c>
      <c r="AH27" s="7" t="s">
        <v>28</v>
      </c>
      <c r="AI27" s="52"/>
      <c r="AJ27" s="52"/>
      <c r="AK27" s="52"/>
      <c r="AL27" s="39"/>
    </row>
    <row r="28" spans="1:43" ht="15.75" thickBot="1" x14ac:dyDescent="0.3">
      <c r="A28" s="385" t="s">
        <v>704</v>
      </c>
      <c r="B28" s="382">
        <v>3</v>
      </c>
      <c r="C28" s="383">
        <v>0</v>
      </c>
      <c r="D28" s="489">
        <v>0</v>
      </c>
      <c r="E28" s="388">
        <f t="shared" si="0"/>
        <v>3</v>
      </c>
      <c r="F28" s="389" t="s">
        <v>704</v>
      </c>
      <c r="G28" s="97">
        <v>15</v>
      </c>
      <c r="H28" s="210">
        <v>0</v>
      </c>
      <c r="I28" s="271">
        <v>0</v>
      </c>
      <c r="J28" s="391">
        <f t="shared" si="1"/>
        <v>15</v>
      </c>
      <c r="K28" s="385" t="s">
        <v>606</v>
      </c>
      <c r="L28" s="7">
        <v>6</v>
      </c>
      <c r="M28" s="7">
        <v>10</v>
      </c>
      <c r="N28" s="232">
        <f>(L28/M28)*100</f>
        <v>60</v>
      </c>
      <c r="O28" s="7"/>
      <c r="P28" s="7"/>
      <c r="Q28" s="232"/>
      <c r="R28" s="7"/>
      <c r="S28" s="7"/>
      <c r="T28" s="7"/>
      <c r="U28" s="221"/>
      <c r="V28" s="7"/>
      <c r="W28" s="7"/>
      <c r="X28" s="354"/>
      <c r="Y28" s="354"/>
      <c r="Z28" s="354"/>
      <c r="AA28" s="354"/>
      <c r="AB28" s="354"/>
      <c r="AC28" s="221"/>
      <c r="AD28" s="7"/>
      <c r="AE28" s="7"/>
      <c r="AF28" s="6" t="s">
        <v>34</v>
      </c>
      <c r="AG28" s="7" t="s">
        <v>34</v>
      </c>
      <c r="AH28" s="7" t="s">
        <v>34</v>
      </c>
      <c r="AI28" s="162"/>
      <c r="AJ28" s="162"/>
      <c r="AK28" s="162"/>
      <c r="AL28" s="39"/>
    </row>
    <row r="29" spans="1:43" ht="15.75" thickBot="1" x14ac:dyDescent="0.3">
      <c r="A29" s="385" t="s">
        <v>878</v>
      </c>
      <c r="B29" s="382">
        <v>2</v>
      </c>
      <c r="C29" s="383">
        <v>0</v>
      </c>
      <c r="D29" s="489">
        <v>0</v>
      </c>
      <c r="E29" s="388">
        <f t="shared" si="0"/>
        <v>2</v>
      </c>
      <c r="F29" s="389" t="s">
        <v>878</v>
      </c>
      <c r="G29" s="97">
        <v>10</v>
      </c>
      <c r="H29" s="210">
        <v>0</v>
      </c>
      <c r="I29" s="271">
        <v>0</v>
      </c>
      <c r="J29" s="391">
        <f t="shared" si="1"/>
        <v>10</v>
      </c>
      <c r="K29" s="385" t="s">
        <v>55</v>
      </c>
      <c r="L29" s="7">
        <v>20</v>
      </c>
      <c r="M29" s="7">
        <v>25</v>
      </c>
      <c r="N29" s="232">
        <f>(L29/M29)*100</f>
        <v>80</v>
      </c>
      <c r="O29" s="7">
        <v>3</v>
      </c>
      <c r="P29" s="7">
        <v>4</v>
      </c>
      <c r="Q29" s="232">
        <f t="shared" ref="Q29:Q30" si="16">SUM(O29/P29)*100</f>
        <v>75</v>
      </c>
      <c r="R29" s="7" t="s">
        <v>34</v>
      </c>
      <c r="S29" s="7" t="s">
        <v>34</v>
      </c>
      <c r="T29" s="7" t="s">
        <v>34</v>
      </c>
      <c r="U29" s="221" t="s">
        <v>34</v>
      </c>
      <c r="V29" s="7" t="s">
        <v>34</v>
      </c>
      <c r="W29" s="7" t="s">
        <v>34</v>
      </c>
      <c r="X29" s="354"/>
      <c r="Y29" s="354"/>
      <c r="Z29" s="354"/>
      <c r="AA29" s="354"/>
      <c r="AB29" s="354"/>
      <c r="AC29" s="221" t="s">
        <v>34</v>
      </c>
      <c r="AD29" s="7" t="s">
        <v>34</v>
      </c>
      <c r="AE29" s="7" t="s">
        <v>34</v>
      </c>
      <c r="AF29" s="221" t="s">
        <v>34</v>
      </c>
      <c r="AG29" s="7" t="s">
        <v>34</v>
      </c>
      <c r="AH29" s="7" t="s">
        <v>34</v>
      </c>
      <c r="AI29" s="162"/>
      <c r="AJ29" s="162"/>
      <c r="AK29" s="162"/>
      <c r="AL29" s="39"/>
    </row>
    <row r="30" spans="1:43" ht="15.75" thickBot="1" x14ac:dyDescent="0.3">
      <c r="A30" s="385" t="s">
        <v>1039</v>
      </c>
      <c r="B30" s="382">
        <v>6</v>
      </c>
      <c r="C30" s="383">
        <v>0</v>
      </c>
      <c r="D30" s="489">
        <v>0</v>
      </c>
      <c r="E30" s="388">
        <f t="shared" si="0"/>
        <v>6</v>
      </c>
      <c r="F30" s="389" t="s">
        <v>1039</v>
      </c>
      <c r="G30" s="97">
        <v>30</v>
      </c>
      <c r="H30" s="210">
        <v>0</v>
      </c>
      <c r="I30" s="271">
        <v>0</v>
      </c>
      <c r="J30" s="391">
        <f t="shared" si="1"/>
        <v>30</v>
      </c>
      <c r="K30" s="385" t="s">
        <v>156</v>
      </c>
      <c r="L30" s="7">
        <v>0</v>
      </c>
      <c r="M30" s="7">
        <v>2</v>
      </c>
      <c r="N30" s="232">
        <f>(L30/M30)*100</f>
        <v>0</v>
      </c>
      <c r="O30" s="7">
        <v>2</v>
      </c>
      <c r="P30" s="7">
        <v>4</v>
      </c>
      <c r="Q30" s="232">
        <f t="shared" si="16"/>
        <v>50</v>
      </c>
      <c r="R30" s="7">
        <v>14</v>
      </c>
      <c r="S30" s="7">
        <v>20</v>
      </c>
      <c r="T30" s="232">
        <f t="shared" ref="T30" si="17">SUM(R30/S30)*100</f>
        <v>70</v>
      </c>
      <c r="U30" s="221">
        <v>1</v>
      </c>
      <c r="V30" s="7">
        <v>3</v>
      </c>
      <c r="W30" s="232">
        <f>SUM(U30/V30)*100</f>
        <v>33.333333333333329</v>
      </c>
      <c r="X30" s="354"/>
      <c r="Y30" s="354"/>
      <c r="Z30" s="354"/>
      <c r="AA30" s="354"/>
      <c r="AB30" s="354"/>
      <c r="AC30" s="221" t="s">
        <v>34</v>
      </c>
      <c r="AD30" s="7" t="s">
        <v>34</v>
      </c>
      <c r="AE30" s="7" t="s">
        <v>34</v>
      </c>
      <c r="AF30" s="221" t="s">
        <v>34</v>
      </c>
      <c r="AG30" s="7" t="s">
        <v>34</v>
      </c>
      <c r="AH30" s="7" t="s">
        <v>34</v>
      </c>
    </row>
    <row r="31" spans="1:43" ht="15.75" thickBot="1" x14ac:dyDescent="0.3">
      <c r="A31" s="385" t="s">
        <v>134</v>
      </c>
      <c r="B31" s="382">
        <v>9</v>
      </c>
      <c r="C31" s="383">
        <v>0</v>
      </c>
      <c r="D31" s="489">
        <v>0</v>
      </c>
      <c r="E31" s="388">
        <f t="shared" si="0"/>
        <v>9</v>
      </c>
      <c r="F31" s="389" t="s">
        <v>134</v>
      </c>
      <c r="G31" s="97">
        <v>47</v>
      </c>
      <c r="H31" s="210">
        <v>0</v>
      </c>
      <c r="I31" s="271">
        <v>0</v>
      </c>
      <c r="J31" s="391">
        <f t="shared" si="1"/>
        <v>47</v>
      </c>
      <c r="K31" s="576" t="s">
        <v>1041</v>
      </c>
      <c r="L31" s="554"/>
      <c r="M31" s="554"/>
      <c r="N31" s="554"/>
      <c r="O31" s="554"/>
      <c r="P31" s="554"/>
      <c r="Q31" s="554"/>
      <c r="R31" s="554"/>
      <c r="S31" s="554"/>
      <c r="T31" s="554"/>
      <c r="U31" s="554"/>
      <c r="V31" s="554"/>
      <c r="W31" s="554"/>
    </row>
    <row r="32" spans="1:43" ht="15.75" thickBot="1" x14ac:dyDescent="0.3">
      <c r="A32" s="385" t="s">
        <v>11</v>
      </c>
      <c r="B32" s="382">
        <v>0</v>
      </c>
      <c r="C32" s="383">
        <v>0</v>
      </c>
      <c r="D32" s="489">
        <v>0</v>
      </c>
      <c r="E32" s="388">
        <f t="shared" si="0"/>
        <v>0</v>
      </c>
      <c r="F32" s="389" t="s">
        <v>11</v>
      </c>
      <c r="G32" s="97">
        <v>0</v>
      </c>
      <c r="H32" s="210">
        <v>0</v>
      </c>
      <c r="I32" s="271">
        <v>0</v>
      </c>
      <c r="J32" s="391">
        <f t="shared" si="1"/>
        <v>0</v>
      </c>
      <c r="K32" s="576" t="s">
        <v>819</v>
      </c>
      <c r="L32" s="554"/>
      <c r="M32" s="554"/>
      <c r="N32" s="554"/>
      <c r="O32" s="554"/>
      <c r="P32" s="554"/>
      <c r="Q32" s="554"/>
      <c r="R32" s="554"/>
      <c r="S32" s="554"/>
      <c r="T32" s="554"/>
      <c r="U32" s="554"/>
      <c r="V32" s="554"/>
      <c r="W32" s="554"/>
    </row>
    <row r="33" spans="1:17" ht="15.75" thickBot="1" x14ac:dyDescent="0.3">
      <c r="A33" s="385" t="s">
        <v>61</v>
      </c>
      <c r="B33" s="382">
        <v>1</v>
      </c>
      <c r="C33" s="383">
        <v>0</v>
      </c>
      <c r="D33" s="489">
        <v>0</v>
      </c>
      <c r="E33" s="388">
        <f t="shared" si="0"/>
        <v>1</v>
      </c>
      <c r="F33" s="389" t="s">
        <v>61</v>
      </c>
      <c r="G33" s="97">
        <v>5</v>
      </c>
      <c r="H33" s="210">
        <v>0</v>
      </c>
      <c r="I33" s="271">
        <v>0</v>
      </c>
      <c r="J33" s="391">
        <f t="shared" si="1"/>
        <v>5</v>
      </c>
      <c r="K33" s="113"/>
      <c r="L33" s="114"/>
      <c r="M33" s="114"/>
      <c r="N33" s="114"/>
      <c r="O33" s="114"/>
      <c r="P33" s="114"/>
      <c r="Q33" s="114"/>
    </row>
    <row r="34" spans="1:17" ht="15.75" thickBot="1" x14ac:dyDescent="0.3">
      <c r="A34" s="385" t="s">
        <v>554</v>
      </c>
      <c r="B34" s="382">
        <v>2</v>
      </c>
      <c r="C34" s="383">
        <v>1</v>
      </c>
      <c r="D34" s="489">
        <v>0</v>
      </c>
      <c r="E34" s="388">
        <f t="shared" si="0"/>
        <v>3</v>
      </c>
      <c r="F34" s="389" t="s">
        <v>554</v>
      </c>
      <c r="G34" s="97">
        <v>10</v>
      </c>
      <c r="H34" s="210">
        <v>5</v>
      </c>
      <c r="I34" s="271">
        <v>0</v>
      </c>
      <c r="J34" s="391">
        <f t="shared" si="1"/>
        <v>15</v>
      </c>
      <c r="K34" s="113"/>
      <c r="L34" s="114"/>
      <c r="M34" s="114"/>
      <c r="N34" s="114"/>
      <c r="O34" s="114"/>
      <c r="P34" s="114"/>
      <c r="Q34" s="114"/>
    </row>
    <row r="35" spans="1:17" ht="15.75" thickBot="1" x14ac:dyDescent="0.3">
      <c r="A35" s="385" t="s">
        <v>713</v>
      </c>
      <c r="B35" s="382">
        <v>5</v>
      </c>
      <c r="C35" s="383">
        <v>0</v>
      </c>
      <c r="D35" s="489">
        <v>0</v>
      </c>
      <c r="E35" s="388">
        <f t="shared" si="0"/>
        <v>5</v>
      </c>
      <c r="F35" s="389" t="s">
        <v>713</v>
      </c>
      <c r="G35" s="97">
        <v>25</v>
      </c>
      <c r="H35" s="210">
        <v>0</v>
      </c>
      <c r="I35" s="271">
        <v>0</v>
      </c>
      <c r="J35" s="391">
        <f t="shared" si="1"/>
        <v>25</v>
      </c>
      <c r="K35" s="113"/>
      <c r="L35" s="114"/>
      <c r="M35" s="114"/>
      <c r="N35" s="114"/>
      <c r="O35" s="114"/>
      <c r="P35" s="114"/>
      <c r="Q35" s="114"/>
    </row>
    <row r="36" spans="1:17" ht="15.75" thickBot="1" x14ac:dyDescent="0.3">
      <c r="A36" s="385" t="s">
        <v>6</v>
      </c>
      <c r="B36" s="382">
        <v>4</v>
      </c>
      <c r="C36" s="383">
        <v>0</v>
      </c>
      <c r="D36" s="489">
        <v>0</v>
      </c>
      <c r="E36" s="388">
        <f t="shared" si="0"/>
        <v>4</v>
      </c>
      <c r="F36" s="389" t="s">
        <v>6</v>
      </c>
      <c r="G36" s="97">
        <v>28</v>
      </c>
      <c r="H36" s="210">
        <v>0</v>
      </c>
      <c r="I36" s="271">
        <v>0</v>
      </c>
      <c r="J36" s="391">
        <f t="shared" si="1"/>
        <v>28</v>
      </c>
      <c r="K36" s="113"/>
      <c r="L36" s="114"/>
      <c r="M36" s="114"/>
      <c r="N36" s="325"/>
      <c r="O36" s="114"/>
      <c r="P36" s="114"/>
      <c r="Q36" s="114"/>
    </row>
    <row r="37" spans="1:17" ht="15.75" thickBot="1" x14ac:dyDescent="0.3">
      <c r="A37" s="385" t="s">
        <v>55</v>
      </c>
      <c r="B37" s="382">
        <v>8</v>
      </c>
      <c r="C37" s="383">
        <v>0</v>
      </c>
      <c r="D37" s="489">
        <v>0</v>
      </c>
      <c r="E37" s="388">
        <f t="shared" si="0"/>
        <v>8</v>
      </c>
      <c r="F37" s="389" t="s">
        <v>55</v>
      </c>
      <c r="G37" s="97">
        <v>286</v>
      </c>
      <c r="H37" s="210">
        <v>4</v>
      </c>
      <c r="I37" s="271">
        <v>0</v>
      </c>
      <c r="J37" s="391">
        <f t="shared" si="1"/>
        <v>290</v>
      </c>
    </row>
    <row r="38" spans="1:17" ht="15.75" thickBot="1" x14ac:dyDescent="0.3">
      <c r="A38" s="385" t="s">
        <v>595</v>
      </c>
      <c r="B38" s="382">
        <v>2</v>
      </c>
      <c r="C38" s="383">
        <v>1</v>
      </c>
      <c r="D38" s="489">
        <v>0</v>
      </c>
      <c r="E38" s="388">
        <f t="shared" si="0"/>
        <v>3</v>
      </c>
      <c r="F38" s="389" t="s">
        <v>595</v>
      </c>
      <c r="G38" s="97">
        <v>10</v>
      </c>
      <c r="H38" s="210">
        <v>5</v>
      </c>
      <c r="I38" s="271">
        <v>0</v>
      </c>
      <c r="J38" s="391">
        <f t="shared" si="1"/>
        <v>15</v>
      </c>
    </row>
    <row r="39" spans="1:17" ht="15.75" thickBot="1" x14ac:dyDescent="0.3">
      <c r="A39" s="385" t="s">
        <v>111</v>
      </c>
      <c r="B39" s="382">
        <v>0</v>
      </c>
      <c r="C39" s="383">
        <v>0</v>
      </c>
      <c r="D39" s="489">
        <v>0</v>
      </c>
      <c r="E39" s="388">
        <f t="shared" si="0"/>
        <v>0</v>
      </c>
      <c r="F39" s="389" t="s">
        <v>111</v>
      </c>
      <c r="G39" s="97">
        <v>0</v>
      </c>
      <c r="H39" s="210">
        <v>0</v>
      </c>
      <c r="I39" s="271">
        <v>0</v>
      </c>
      <c r="J39" s="391">
        <f t="shared" si="1"/>
        <v>0</v>
      </c>
    </row>
    <row r="40" spans="1:17" ht="15.75" thickBot="1" x14ac:dyDescent="0.3">
      <c r="A40" s="385" t="s">
        <v>152</v>
      </c>
      <c r="B40" s="382">
        <v>0</v>
      </c>
      <c r="C40" s="383">
        <v>0</v>
      </c>
      <c r="D40" s="489">
        <v>0</v>
      </c>
      <c r="E40" s="388">
        <f t="shared" si="0"/>
        <v>0</v>
      </c>
      <c r="F40" s="389" t="s">
        <v>152</v>
      </c>
      <c r="G40" s="97">
        <v>2</v>
      </c>
      <c r="H40" s="210">
        <v>0</v>
      </c>
      <c r="I40" s="271">
        <v>0</v>
      </c>
      <c r="J40" s="391">
        <f t="shared" si="1"/>
        <v>2</v>
      </c>
    </row>
    <row r="41" spans="1:17" ht="15.75" thickBot="1" x14ac:dyDescent="0.3">
      <c r="A41" s="385" t="s">
        <v>198</v>
      </c>
      <c r="B41" s="382">
        <v>0</v>
      </c>
      <c r="C41" s="383">
        <v>0</v>
      </c>
      <c r="D41" s="489">
        <v>0</v>
      </c>
      <c r="E41" s="388">
        <f t="shared" si="0"/>
        <v>0</v>
      </c>
      <c r="F41" s="389" t="s">
        <v>198</v>
      </c>
      <c r="G41" s="97">
        <v>0</v>
      </c>
      <c r="H41" s="210">
        <v>0</v>
      </c>
      <c r="I41" s="271">
        <v>0</v>
      </c>
      <c r="J41" s="391">
        <f t="shared" si="1"/>
        <v>0</v>
      </c>
    </row>
    <row r="42" spans="1:17" ht="15.75" thickBot="1" x14ac:dyDescent="0.3">
      <c r="A42" s="385" t="s">
        <v>60</v>
      </c>
      <c r="B42" s="382">
        <v>0</v>
      </c>
      <c r="C42" s="383">
        <v>0</v>
      </c>
      <c r="D42" s="489">
        <v>0</v>
      </c>
      <c r="E42" s="388">
        <f t="shared" si="0"/>
        <v>0</v>
      </c>
      <c r="F42" s="389" t="s">
        <v>60</v>
      </c>
      <c r="G42" s="97">
        <v>0</v>
      </c>
      <c r="H42" s="210">
        <v>0</v>
      </c>
      <c r="I42" s="271">
        <v>0</v>
      </c>
      <c r="J42" s="391">
        <f t="shared" si="1"/>
        <v>0</v>
      </c>
    </row>
    <row r="43" spans="1:17" ht="15.75" thickBot="1" x14ac:dyDescent="0.3">
      <c r="A43" s="385" t="s">
        <v>3</v>
      </c>
      <c r="B43" s="382">
        <f>SUM(B3:B42)</f>
        <v>102</v>
      </c>
      <c r="C43" s="383">
        <f>SUM(C3:C42)</f>
        <v>2</v>
      </c>
      <c r="D43" s="489">
        <f>SUM(D3:D42)</f>
        <v>3</v>
      </c>
      <c r="E43" s="388">
        <f t="shared" si="0"/>
        <v>107</v>
      </c>
      <c r="F43" s="387" t="s">
        <v>3</v>
      </c>
      <c r="G43" s="147">
        <f>SUM(G3:G42)</f>
        <v>786</v>
      </c>
      <c r="H43" s="212">
        <f>SUM(H3:H42)</f>
        <v>14</v>
      </c>
      <c r="I43" s="271">
        <f>SUM(I3:I42)</f>
        <v>21</v>
      </c>
      <c r="J43" s="391">
        <f t="shared" si="1"/>
        <v>821</v>
      </c>
    </row>
    <row r="44" spans="1:17" ht="15.75" x14ac:dyDescent="0.25">
      <c r="B44" s="182"/>
      <c r="C44" s="83"/>
      <c r="D44" s="83"/>
      <c r="F44" s="13"/>
      <c r="G44" s="195"/>
      <c r="H44" s="86"/>
      <c r="I44" s="86"/>
      <c r="J44" s="13"/>
    </row>
    <row r="45" spans="1:17" ht="16.5" thickBot="1" x14ac:dyDescent="0.3">
      <c r="A45" t="s">
        <v>30</v>
      </c>
      <c r="B45" s="182"/>
      <c r="C45" s="83"/>
      <c r="D45" s="83"/>
      <c r="F45" s="13"/>
      <c r="G45" s="195"/>
      <c r="H45" s="86"/>
      <c r="I45" s="86"/>
    </row>
    <row r="46" spans="1:17" ht="15.75" thickBot="1" x14ac:dyDescent="0.3">
      <c r="A46" s="384" t="s">
        <v>0</v>
      </c>
      <c r="B46" s="380" t="s">
        <v>815</v>
      </c>
      <c r="C46" s="381" t="s">
        <v>72</v>
      </c>
      <c r="D46" s="488" t="s">
        <v>73</v>
      </c>
      <c r="E46" s="386" t="s">
        <v>1</v>
      </c>
      <c r="F46" s="387" t="s">
        <v>2</v>
      </c>
      <c r="G46" s="147" t="s">
        <v>815</v>
      </c>
      <c r="H46" s="212" t="s">
        <v>72</v>
      </c>
      <c r="I46" s="270" t="s">
        <v>73</v>
      </c>
      <c r="J46" s="390" t="s">
        <v>1</v>
      </c>
    </row>
    <row r="47" spans="1:17" ht="15.75" thickBot="1" x14ac:dyDescent="0.3">
      <c r="A47" s="385" t="s">
        <v>13</v>
      </c>
      <c r="B47" s="382">
        <v>12</v>
      </c>
      <c r="C47" s="383">
        <v>0</v>
      </c>
      <c r="D47" s="489">
        <v>0</v>
      </c>
      <c r="E47" s="388">
        <f t="shared" ref="E47:E86" si="18">SUM(B47:D47)</f>
        <v>12</v>
      </c>
      <c r="F47" s="389" t="s">
        <v>55</v>
      </c>
      <c r="G47" s="97">
        <v>286</v>
      </c>
      <c r="H47" s="210">
        <v>4</v>
      </c>
      <c r="I47" s="271">
        <v>0</v>
      </c>
      <c r="J47" s="391">
        <f t="shared" ref="J47:J86" si="19">SUM(G47:I47)</f>
        <v>290</v>
      </c>
    </row>
    <row r="48" spans="1:17" ht="15.75" thickBot="1" x14ac:dyDescent="0.3">
      <c r="A48" s="385" t="s">
        <v>289</v>
      </c>
      <c r="B48" s="382">
        <v>11</v>
      </c>
      <c r="C48" s="383">
        <v>0</v>
      </c>
      <c r="D48" s="489">
        <v>0</v>
      </c>
      <c r="E48" s="388">
        <f t="shared" si="18"/>
        <v>11</v>
      </c>
      <c r="F48" s="389" t="s">
        <v>13</v>
      </c>
      <c r="G48" s="97">
        <v>63</v>
      </c>
      <c r="H48" s="210">
        <v>0</v>
      </c>
      <c r="I48" s="271">
        <v>0</v>
      </c>
      <c r="J48" s="391">
        <f t="shared" si="19"/>
        <v>63</v>
      </c>
    </row>
    <row r="49" spans="1:10" ht="15.75" thickBot="1" x14ac:dyDescent="0.3">
      <c r="A49" s="385" t="s">
        <v>134</v>
      </c>
      <c r="B49" s="382">
        <v>9</v>
      </c>
      <c r="C49" s="383">
        <v>0</v>
      </c>
      <c r="D49" s="489">
        <v>0</v>
      </c>
      <c r="E49" s="388">
        <f t="shared" si="18"/>
        <v>9</v>
      </c>
      <c r="F49" s="389" t="s">
        <v>289</v>
      </c>
      <c r="G49" s="97">
        <v>55</v>
      </c>
      <c r="H49" s="210">
        <v>0</v>
      </c>
      <c r="I49" s="271">
        <v>0</v>
      </c>
      <c r="J49" s="391">
        <f t="shared" si="19"/>
        <v>55</v>
      </c>
    </row>
    <row r="50" spans="1:10" ht="15" customHeight="1" thickBot="1" x14ac:dyDescent="0.3">
      <c r="A50" s="385" t="s">
        <v>826</v>
      </c>
      <c r="B50" s="382">
        <v>8</v>
      </c>
      <c r="C50" s="383">
        <v>0</v>
      </c>
      <c r="D50" s="489">
        <v>0</v>
      </c>
      <c r="E50" s="388">
        <f t="shared" si="18"/>
        <v>8</v>
      </c>
      <c r="F50" s="389" t="s">
        <v>134</v>
      </c>
      <c r="G50" s="97">
        <v>47</v>
      </c>
      <c r="H50" s="210">
        <v>0</v>
      </c>
      <c r="I50" s="271">
        <v>0</v>
      </c>
      <c r="J50" s="391">
        <f t="shared" si="19"/>
        <v>47</v>
      </c>
    </row>
    <row r="51" spans="1:10" ht="15.75" thickBot="1" x14ac:dyDescent="0.3">
      <c r="A51" s="385" t="s">
        <v>55</v>
      </c>
      <c r="B51" s="382">
        <v>8</v>
      </c>
      <c r="C51" s="383">
        <v>0</v>
      </c>
      <c r="D51" s="489">
        <v>0</v>
      </c>
      <c r="E51" s="388">
        <f t="shared" si="18"/>
        <v>8</v>
      </c>
      <c r="F51" s="389" t="s">
        <v>826</v>
      </c>
      <c r="G51" s="97">
        <v>40</v>
      </c>
      <c r="H51" s="210">
        <v>0</v>
      </c>
      <c r="I51" s="271">
        <v>0</v>
      </c>
      <c r="J51" s="391">
        <f t="shared" si="19"/>
        <v>40</v>
      </c>
    </row>
    <row r="52" spans="1:10" ht="15.75" thickBot="1" x14ac:dyDescent="0.3">
      <c r="A52" s="385" t="s">
        <v>12</v>
      </c>
      <c r="B52" s="382">
        <v>6</v>
      </c>
      <c r="C52" s="383">
        <v>0</v>
      </c>
      <c r="D52" s="489">
        <v>0</v>
      </c>
      <c r="E52" s="388">
        <f t="shared" si="18"/>
        <v>6</v>
      </c>
      <c r="F52" s="389" t="s">
        <v>12</v>
      </c>
      <c r="G52" s="97">
        <v>30</v>
      </c>
      <c r="H52" s="210">
        <v>0</v>
      </c>
      <c r="I52" s="271">
        <v>0</v>
      </c>
      <c r="J52" s="391">
        <f t="shared" si="19"/>
        <v>30</v>
      </c>
    </row>
    <row r="53" spans="1:10" ht="15.75" thickBot="1" x14ac:dyDescent="0.3">
      <c r="A53" s="385" t="s">
        <v>1039</v>
      </c>
      <c r="B53" s="382">
        <v>6</v>
      </c>
      <c r="C53" s="383">
        <v>0</v>
      </c>
      <c r="D53" s="489">
        <v>0</v>
      </c>
      <c r="E53" s="388">
        <f t="shared" si="18"/>
        <v>6</v>
      </c>
      <c r="F53" s="389" t="s">
        <v>1039</v>
      </c>
      <c r="G53" s="97">
        <v>30</v>
      </c>
      <c r="H53" s="210">
        <v>0</v>
      </c>
      <c r="I53" s="271">
        <v>0</v>
      </c>
      <c r="J53" s="391">
        <f t="shared" si="19"/>
        <v>30</v>
      </c>
    </row>
    <row r="54" spans="1:10" ht="15.75" thickBot="1" x14ac:dyDescent="0.3">
      <c r="A54" s="385" t="s">
        <v>713</v>
      </c>
      <c r="B54" s="382">
        <v>5</v>
      </c>
      <c r="C54" s="383">
        <v>0</v>
      </c>
      <c r="D54" s="489">
        <v>0</v>
      </c>
      <c r="E54" s="388">
        <f t="shared" si="18"/>
        <v>5</v>
      </c>
      <c r="F54" s="389" t="s">
        <v>6</v>
      </c>
      <c r="G54" s="97">
        <v>28</v>
      </c>
      <c r="H54" s="210">
        <v>0</v>
      </c>
      <c r="I54" s="271">
        <v>0</v>
      </c>
      <c r="J54" s="391">
        <f t="shared" si="19"/>
        <v>28</v>
      </c>
    </row>
    <row r="55" spans="1:10" ht="15.75" thickBot="1" x14ac:dyDescent="0.3">
      <c r="A55" s="385" t="s">
        <v>50</v>
      </c>
      <c r="B55" s="382">
        <v>4</v>
      </c>
      <c r="C55" s="383">
        <v>0</v>
      </c>
      <c r="D55" s="489">
        <v>0</v>
      </c>
      <c r="E55" s="388">
        <f t="shared" si="18"/>
        <v>4</v>
      </c>
      <c r="F55" s="389" t="s">
        <v>713</v>
      </c>
      <c r="G55" s="97">
        <v>25</v>
      </c>
      <c r="H55" s="210">
        <v>0</v>
      </c>
      <c r="I55" s="271">
        <v>0</v>
      </c>
      <c r="J55" s="391">
        <f t="shared" si="19"/>
        <v>25</v>
      </c>
    </row>
    <row r="56" spans="1:10" ht="15.75" thickBot="1" x14ac:dyDescent="0.3">
      <c r="A56" s="385" t="s">
        <v>6</v>
      </c>
      <c r="B56" s="382">
        <v>4</v>
      </c>
      <c r="C56" s="383">
        <v>0</v>
      </c>
      <c r="D56" s="489">
        <v>0</v>
      </c>
      <c r="E56" s="388">
        <f t="shared" si="18"/>
        <v>4</v>
      </c>
      <c r="F56" s="389" t="s">
        <v>50</v>
      </c>
      <c r="G56" s="97">
        <v>20</v>
      </c>
      <c r="H56" s="210">
        <v>0</v>
      </c>
      <c r="I56" s="271">
        <v>0</v>
      </c>
      <c r="J56" s="391">
        <f t="shared" si="19"/>
        <v>20</v>
      </c>
    </row>
    <row r="57" spans="1:10" ht="15.75" thickBot="1" x14ac:dyDescent="0.3">
      <c r="A57" s="385" t="s">
        <v>1052</v>
      </c>
      <c r="B57" s="382">
        <v>3</v>
      </c>
      <c r="C57" s="383">
        <v>0</v>
      </c>
      <c r="D57" s="489">
        <v>0</v>
      </c>
      <c r="E57" s="388">
        <f t="shared" si="18"/>
        <v>3</v>
      </c>
      <c r="F57" s="389" t="s">
        <v>606</v>
      </c>
      <c r="G57" s="97">
        <v>13</v>
      </c>
      <c r="H57" s="210">
        <v>0</v>
      </c>
      <c r="I57" s="271">
        <v>6</v>
      </c>
      <c r="J57" s="391">
        <f t="shared" si="19"/>
        <v>19</v>
      </c>
    </row>
    <row r="58" spans="1:10" ht="15.75" thickBot="1" x14ac:dyDescent="0.3">
      <c r="A58" s="385" t="s">
        <v>4</v>
      </c>
      <c r="B58" s="382">
        <v>3</v>
      </c>
      <c r="C58" s="383">
        <v>0</v>
      </c>
      <c r="D58" s="489">
        <v>0</v>
      </c>
      <c r="E58" s="388">
        <f t="shared" si="18"/>
        <v>3</v>
      </c>
      <c r="F58" s="389" t="s">
        <v>1052</v>
      </c>
      <c r="G58" s="97">
        <v>15</v>
      </c>
      <c r="H58" s="210">
        <v>0</v>
      </c>
      <c r="I58" s="271">
        <v>0</v>
      </c>
      <c r="J58" s="391">
        <f t="shared" si="19"/>
        <v>15</v>
      </c>
    </row>
    <row r="59" spans="1:10" ht="15.75" thickBot="1" x14ac:dyDescent="0.3">
      <c r="A59" s="385" t="s">
        <v>1090</v>
      </c>
      <c r="B59" s="382">
        <v>2</v>
      </c>
      <c r="C59" s="383">
        <v>0</v>
      </c>
      <c r="D59" s="489">
        <v>1</v>
      </c>
      <c r="E59" s="388">
        <f t="shared" si="18"/>
        <v>3</v>
      </c>
      <c r="F59" s="389" t="s">
        <v>4</v>
      </c>
      <c r="G59" s="97">
        <v>15</v>
      </c>
      <c r="H59" s="210">
        <v>0</v>
      </c>
      <c r="I59" s="271">
        <v>0</v>
      </c>
      <c r="J59" s="391">
        <f t="shared" si="19"/>
        <v>15</v>
      </c>
    </row>
    <row r="60" spans="1:10" ht="15.75" thickBot="1" x14ac:dyDescent="0.3">
      <c r="A60" s="385" t="s">
        <v>636</v>
      </c>
      <c r="B60" s="382">
        <v>3</v>
      </c>
      <c r="C60" s="383">
        <v>0</v>
      </c>
      <c r="D60" s="489">
        <v>0</v>
      </c>
      <c r="E60" s="388">
        <f t="shared" si="18"/>
        <v>3</v>
      </c>
      <c r="F60" s="389" t="s">
        <v>1090</v>
      </c>
      <c r="G60" s="97">
        <v>10</v>
      </c>
      <c r="H60" s="210">
        <v>0</v>
      </c>
      <c r="I60" s="271">
        <v>5</v>
      </c>
      <c r="J60" s="391">
        <f t="shared" si="19"/>
        <v>15</v>
      </c>
    </row>
    <row r="61" spans="1:10" ht="15.75" thickBot="1" x14ac:dyDescent="0.3">
      <c r="A61" s="385" t="s">
        <v>704</v>
      </c>
      <c r="B61" s="382">
        <v>3</v>
      </c>
      <c r="C61" s="383">
        <v>0</v>
      </c>
      <c r="D61" s="489">
        <v>0</v>
      </c>
      <c r="E61" s="388">
        <f t="shared" si="18"/>
        <v>3</v>
      </c>
      <c r="F61" s="389" t="s">
        <v>636</v>
      </c>
      <c r="G61" s="97">
        <v>15</v>
      </c>
      <c r="H61" s="210">
        <v>0</v>
      </c>
      <c r="I61" s="271">
        <v>0</v>
      </c>
      <c r="J61" s="391">
        <f t="shared" si="19"/>
        <v>15</v>
      </c>
    </row>
    <row r="62" spans="1:10" ht="15.75" thickBot="1" x14ac:dyDescent="0.3">
      <c r="A62" s="385" t="s">
        <v>554</v>
      </c>
      <c r="B62" s="382">
        <v>2</v>
      </c>
      <c r="C62" s="383">
        <v>1</v>
      </c>
      <c r="D62" s="489">
        <v>0</v>
      </c>
      <c r="E62" s="388">
        <f t="shared" si="18"/>
        <v>3</v>
      </c>
      <c r="F62" s="389" t="s">
        <v>156</v>
      </c>
      <c r="G62" s="97">
        <v>15</v>
      </c>
      <c r="H62" s="210">
        <v>0</v>
      </c>
      <c r="I62" s="271">
        <v>0</v>
      </c>
      <c r="J62" s="391">
        <f t="shared" si="19"/>
        <v>15</v>
      </c>
    </row>
    <row r="63" spans="1:10" ht="15.75" thickBot="1" x14ac:dyDescent="0.3">
      <c r="A63" s="385" t="s">
        <v>595</v>
      </c>
      <c r="B63" s="382">
        <v>2</v>
      </c>
      <c r="C63" s="383">
        <v>1</v>
      </c>
      <c r="D63" s="489">
        <v>0</v>
      </c>
      <c r="E63" s="388">
        <f t="shared" si="18"/>
        <v>3</v>
      </c>
      <c r="F63" s="389" t="s">
        <v>704</v>
      </c>
      <c r="G63" s="97">
        <v>15</v>
      </c>
      <c r="H63" s="210">
        <v>0</v>
      </c>
      <c r="I63" s="271">
        <v>0</v>
      </c>
      <c r="J63" s="391">
        <f t="shared" si="19"/>
        <v>15</v>
      </c>
    </row>
    <row r="64" spans="1:10" ht="15.75" thickBot="1" x14ac:dyDescent="0.3">
      <c r="A64" s="385" t="s">
        <v>151</v>
      </c>
      <c r="B64" s="382">
        <v>2</v>
      </c>
      <c r="C64" s="383">
        <v>0</v>
      </c>
      <c r="D64" s="489">
        <v>0</v>
      </c>
      <c r="E64" s="388">
        <f t="shared" si="18"/>
        <v>2</v>
      </c>
      <c r="F64" s="389" t="s">
        <v>554</v>
      </c>
      <c r="G64" s="97">
        <v>10</v>
      </c>
      <c r="H64" s="210">
        <v>5</v>
      </c>
      <c r="I64" s="271">
        <v>0</v>
      </c>
      <c r="J64" s="391">
        <f t="shared" si="19"/>
        <v>15</v>
      </c>
    </row>
    <row r="65" spans="1:10" ht="15.75" thickBot="1" x14ac:dyDescent="0.3">
      <c r="A65" s="385" t="s">
        <v>156</v>
      </c>
      <c r="B65" s="382">
        <v>2</v>
      </c>
      <c r="C65" s="383">
        <v>0</v>
      </c>
      <c r="D65" s="489">
        <v>0</v>
      </c>
      <c r="E65" s="388">
        <f t="shared" si="18"/>
        <v>2</v>
      </c>
      <c r="F65" s="389" t="s">
        <v>595</v>
      </c>
      <c r="G65" s="97">
        <v>10</v>
      </c>
      <c r="H65" s="210">
        <v>5</v>
      </c>
      <c r="I65" s="271">
        <v>0</v>
      </c>
      <c r="J65" s="391">
        <f t="shared" si="19"/>
        <v>15</v>
      </c>
    </row>
    <row r="66" spans="1:10" ht="15.75" thickBot="1" x14ac:dyDescent="0.3">
      <c r="A66" s="385" t="s">
        <v>878</v>
      </c>
      <c r="B66" s="382">
        <v>2</v>
      </c>
      <c r="C66" s="383">
        <v>0</v>
      </c>
      <c r="D66" s="489">
        <v>0</v>
      </c>
      <c r="E66" s="388">
        <f t="shared" si="18"/>
        <v>2</v>
      </c>
      <c r="F66" s="389" t="s">
        <v>151</v>
      </c>
      <c r="G66" s="97">
        <v>10</v>
      </c>
      <c r="H66" s="210">
        <v>0</v>
      </c>
      <c r="I66" s="271">
        <v>0</v>
      </c>
      <c r="J66" s="391">
        <f t="shared" si="19"/>
        <v>10</v>
      </c>
    </row>
    <row r="67" spans="1:10" ht="15.75" thickBot="1" x14ac:dyDescent="0.3">
      <c r="A67" s="385" t="s">
        <v>123</v>
      </c>
      <c r="B67" s="382">
        <v>1</v>
      </c>
      <c r="C67" s="383">
        <v>0</v>
      </c>
      <c r="D67" s="489">
        <v>0</v>
      </c>
      <c r="E67" s="388">
        <f t="shared" si="18"/>
        <v>1</v>
      </c>
      <c r="F67" s="389" t="s">
        <v>878</v>
      </c>
      <c r="G67" s="97">
        <v>10</v>
      </c>
      <c r="H67" s="210">
        <v>0</v>
      </c>
      <c r="I67" s="271">
        <v>0</v>
      </c>
      <c r="J67" s="391">
        <f t="shared" si="19"/>
        <v>10</v>
      </c>
    </row>
    <row r="68" spans="1:10" ht="15.75" thickBot="1" x14ac:dyDescent="0.3">
      <c r="A68" s="385" t="s">
        <v>1102</v>
      </c>
      <c r="B68" s="382">
        <v>1</v>
      </c>
      <c r="C68" s="383">
        <v>0</v>
      </c>
      <c r="D68" s="489">
        <v>0</v>
      </c>
      <c r="E68" s="388">
        <f t="shared" si="18"/>
        <v>1</v>
      </c>
      <c r="F68" s="389" t="s">
        <v>1102</v>
      </c>
      <c r="G68" s="97">
        <v>7</v>
      </c>
      <c r="H68" s="210">
        <v>0</v>
      </c>
      <c r="I68" s="271">
        <v>0</v>
      </c>
      <c r="J68" s="391">
        <f t="shared" si="19"/>
        <v>7</v>
      </c>
    </row>
    <row r="69" spans="1:10" ht="15.75" thickBot="1" x14ac:dyDescent="0.3">
      <c r="A69" s="385" t="s">
        <v>875</v>
      </c>
      <c r="B69" s="382">
        <v>0</v>
      </c>
      <c r="C69" s="383">
        <v>0</v>
      </c>
      <c r="D69" s="489">
        <v>1</v>
      </c>
      <c r="E69" s="388">
        <f t="shared" si="18"/>
        <v>1</v>
      </c>
      <c r="F69" s="389" t="s">
        <v>123</v>
      </c>
      <c r="G69" s="97">
        <v>5</v>
      </c>
      <c r="H69" s="210">
        <v>0</v>
      </c>
      <c r="I69" s="271">
        <v>0</v>
      </c>
      <c r="J69" s="391">
        <f t="shared" si="19"/>
        <v>5</v>
      </c>
    </row>
    <row r="70" spans="1:10" ht="15.75" thickBot="1" x14ac:dyDescent="0.3">
      <c r="A70" s="385" t="s">
        <v>770</v>
      </c>
      <c r="B70" s="382">
        <v>1</v>
      </c>
      <c r="C70" s="383">
        <v>0</v>
      </c>
      <c r="D70" s="489">
        <v>0</v>
      </c>
      <c r="E70" s="388">
        <f t="shared" si="18"/>
        <v>1</v>
      </c>
      <c r="F70" s="389" t="s">
        <v>875</v>
      </c>
      <c r="G70" s="97">
        <v>0</v>
      </c>
      <c r="H70" s="210">
        <v>0</v>
      </c>
      <c r="I70" s="271">
        <v>5</v>
      </c>
      <c r="J70" s="391">
        <f t="shared" si="19"/>
        <v>5</v>
      </c>
    </row>
    <row r="71" spans="1:10" ht="15.75" thickBot="1" x14ac:dyDescent="0.3">
      <c r="A71" s="385" t="s">
        <v>606</v>
      </c>
      <c r="B71" s="382">
        <v>1</v>
      </c>
      <c r="C71" s="383">
        <v>0</v>
      </c>
      <c r="D71" s="489">
        <v>0</v>
      </c>
      <c r="E71" s="388">
        <f t="shared" si="18"/>
        <v>1</v>
      </c>
      <c r="F71" s="389" t="s">
        <v>770</v>
      </c>
      <c r="G71" s="97">
        <v>5</v>
      </c>
      <c r="H71" s="210">
        <v>0</v>
      </c>
      <c r="I71" s="271">
        <v>0</v>
      </c>
      <c r="J71" s="391">
        <f t="shared" si="19"/>
        <v>5</v>
      </c>
    </row>
    <row r="72" spans="1:10" ht="15.75" thickBot="1" x14ac:dyDescent="0.3">
      <c r="A72" s="385" t="s">
        <v>722</v>
      </c>
      <c r="B72" s="382">
        <v>0</v>
      </c>
      <c r="C72" s="383">
        <v>0</v>
      </c>
      <c r="D72" s="489">
        <v>1</v>
      </c>
      <c r="E72" s="388">
        <f t="shared" si="18"/>
        <v>1</v>
      </c>
      <c r="F72" s="389" t="s">
        <v>722</v>
      </c>
      <c r="G72" s="97">
        <v>0</v>
      </c>
      <c r="H72" s="210">
        <v>0</v>
      </c>
      <c r="I72" s="271">
        <v>5</v>
      </c>
      <c r="J72" s="391">
        <f t="shared" si="19"/>
        <v>5</v>
      </c>
    </row>
    <row r="73" spans="1:10" ht="15.75" thickBot="1" x14ac:dyDescent="0.3">
      <c r="A73" s="385" t="s">
        <v>61</v>
      </c>
      <c r="B73" s="382">
        <v>1</v>
      </c>
      <c r="C73" s="383">
        <v>0</v>
      </c>
      <c r="D73" s="489">
        <v>0</v>
      </c>
      <c r="E73" s="388">
        <f t="shared" si="18"/>
        <v>1</v>
      </c>
      <c r="F73" s="389" t="s">
        <v>61</v>
      </c>
      <c r="G73" s="97">
        <v>5</v>
      </c>
      <c r="H73" s="210">
        <v>0</v>
      </c>
      <c r="I73" s="271">
        <v>0</v>
      </c>
      <c r="J73" s="391">
        <f t="shared" si="19"/>
        <v>5</v>
      </c>
    </row>
    <row r="74" spans="1:10" ht="15.75" thickBot="1" x14ac:dyDescent="0.3">
      <c r="A74" s="385" t="s">
        <v>874</v>
      </c>
      <c r="B74" s="382">
        <v>0</v>
      </c>
      <c r="C74" s="383">
        <v>0</v>
      </c>
      <c r="D74" s="489">
        <v>0</v>
      </c>
      <c r="E74" s="388">
        <f t="shared" si="18"/>
        <v>0</v>
      </c>
      <c r="F74" s="389" t="s">
        <v>152</v>
      </c>
      <c r="G74" s="97">
        <v>2</v>
      </c>
      <c r="H74" s="210">
        <v>0</v>
      </c>
      <c r="I74" s="271">
        <v>0</v>
      </c>
      <c r="J74" s="391">
        <f t="shared" si="19"/>
        <v>2</v>
      </c>
    </row>
    <row r="75" spans="1:10" ht="15.75" thickBot="1" x14ac:dyDescent="0.3">
      <c r="A75" s="385" t="s">
        <v>730</v>
      </c>
      <c r="B75" s="382">
        <v>0</v>
      </c>
      <c r="C75" s="383">
        <v>0</v>
      </c>
      <c r="D75" s="489">
        <v>0</v>
      </c>
      <c r="E75" s="388">
        <f t="shared" si="18"/>
        <v>0</v>
      </c>
      <c r="F75" s="389" t="s">
        <v>874</v>
      </c>
      <c r="G75" s="97">
        <v>0</v>
      </c>
      <c r="H75" s="210">
        <v>0</v>
      </c>
      <c r="I75" s="271">
        <v>0</v>
      </c>
      <c r="J75" s="391">
        <f t="shared" si="19"/>
        <v>0</v>
      </c>
    </row>
    <row r="76" spans="1:10" ht="15.75" thickBot="1" x14ac:dyDescent="0.3">
      <c r="A76" s="385" t="s">
        <v>83</v>
      </c>
      <c r="B76" s="382">
        <v>0</v>
      </c>
      <c r="C76" s="383">
        <v>0</v>
      </c>
      <c r="D76" s="489">
        <v>0</v>
      </c>
      <c r="E76" s="388">
        <f t="shared" si="18"/>
        <v>0</v>
      </c>
      <c r="F76" s="389" t="s">
        <v>730</v>
      </c>
      <c r="G76" s="97">
        <v>0</v>
      </c>
      <c r="H76" s="210">
        <v>0</v>
      </c>
      <c r="I76" s="271">
        <v>0</v>
      </c>
      <c r="J76" s="391">
        <f t="shared" si="19"/>
        <v>0</v>
      </c>
    </row>
    <row r="77" spans="1:10" ht="15.75" thickBot="1" x14ac:dyDescent="0.3">
      <c r="A77" s="385" t="s">
        <v>85</v>
      </c>
      <c r="B77" s="382">
        <v>0</v>
      </c>
      <c r="C77" s="383">
        <v>0</v>
      </c>
      <c r="D77" s="489">
        <v>0</v>
      </c>
      <c r="E77" s="388">
        <f t="shared" si="18"/>
        <v>0</v>
      </c>
      <c r="F77" s="389" t="s">
        <v>83</v>
      </c>
      <c r="G77" s="97">
        <v>0</v>
      </c>
      <c r="H77" s="210">
        <v>0</v>
      </c>
      <c r="I77" s="271">
        <v>0</v>
      </c>
      <c r="J77" s="391">
        <f t="shared" si="19"/>
        <v>0</v>
      </c>
    </row>
    <row r="78" spans="1:10" ht="15" customHeight="1" thickBot="1" x14ac:dyDescent="0.3">
      <c r="A78" s="385" t="s">
        <v>192</v>
      </c>
      <c r="B78" s="382">
        <v>0</v>
      </c>
      <c r="C78" s="383">
        <v>0</v>
      </c>
      <c r="D78" s="489">
        <v>0</v>
      </c>
      <c r="E78" s="388">
        <f t="shared" si="18"/>
        <v>0</v>
      </c>
      <c r="F78" s="389" t="s">
        <v>85</v>
      </c>
      <c r="G78" s="97">
        <v>0</v>
      </c>
      <c r="H78" s="210">
        <v>0</v>
      </c>
      <c r="I78" s="271">
        <v>0</v>
      </c>
      <c r="J78" s="391">
        <f t="shared" si="19"/>
        <v>0</v>
      </c>
    </row>
    <row r="79" spans="1:10" ht="15.75" thickBot="1" x14ac:dyDescent="0.3">
      <c r="A79" s="385" t="s">
        <v>877</v>
      </c>
      <c r="B79" s="382">
        <v>0</v>
      </c>
      <c r="C79" s="383">
        <v>0</v>
      </c>
      <c r="D79" s="489">
        <v>0</v>
      </c>
      <c r="E79" s="388">
        <f t="shared" si="18"/>
        <v>0</v>
      </c>
      <c r="F79" s="389" t="s">
        <v>192</v>
      </c>
      <c r="G79" s="97">
        <v>0</v>
      </c>
      <c r="H79" s="210">
        <v>0</v>
      </c>
      <c r="I79" s="271">
        <v>0</v>
      </c>
      <c r="J79" s="391">
        <f t="shared" si="19"/>
        <v>0</v>
      </c>
    </row>
    <row r="80" spans="1:10" ht="15.75" thickBot="1" x14ac:dyDescent="0.3">
      <c r="A80" s="385" t="s">
        <v>200</v>
      </c>
      <c r="B80" s="382">
        <v>0</v>
      </c>
      <c r="C80" s="383">
        <v>0</v>
      </c>
      <c r="D80" s="489">
        <v>0</v>
      </c>
      <c r="E80" s="388">
        <f t="shared" si="18"/>
        <v>0</v>
      </c>
      <c r="F80" s="389" t="s">
        <v>877</v>
      </c>
      <c r="G80" s="97">
        <v>0</v>
      </c>
      <c r="H80" s="210">
        <v>0</v>
      </c>
      <c r="I80" s="271">
        <v>0</v>
      </c>
      <c r="J80" s="391">
        <f t="shared" si="19"/>
        <v>0</v>
      </c>
    </row>
    <row r="81" spans="1:10" ht="15.75" thickBot="1" x14ac:dyDescent="0.3">
      <c r="A81" s="385" t="s">
        <v>329</v>
      </c>
      <c r="B81" s="382">
        <v>0</v>
      </c>
      <c r="C81" s="383">
        <v>0</v>
      </c>
      <c r="D81" s="489">
        <v>0</v>
      </c>
      <c r="E81" s="388">
        <f t="shared" si="18"/>
        <v>0</v>
      </c>
      <c r="F81" s="389" t="s">
        <v>200</v>
      </c>
      <c r="G81" s="97">
        <v>0</v>
      </c>
      <c r="H81" s="210">
        <v>0</v>
      </c>
      <c r="I81" s="271">
        <v>0</v>
      </c>
      <c r="J81" s="391">
        <f t="shared" si="19"/>
        <v>0</v>
      </c>
    </row>
    <row r="82" spans="1:10" ht="15.75" thickBot="1" x14ac:dyDescent="0.3">
      <c r="A82" s="385" t="s">
        <v>11</v>
      </c>
      <c r="B82" s="382">
        <v>0</v>
      </c>
      <c r="C82" s="383">
        <v>0</v>
      </c>
      <c r="D82" s="489">
        <v>0</v>
      </c>
      <c r="E82" s="388">
        <f t="shared" si="18"/>
        <v>0</v>
      </c>
      <c r="F82" s="389" t="s">
        <v>329</v>
      </c>
      <c r="G82" s="97">
        <v>0</v>
      </c>
      <c r="H82" s="210">
        <v>0</v>
      </c>
      <c r="I82" s="271">
        <v>0</v>
      </c>
      <c r="J82" s="391">
        <f t="shared" si="19"/>
        <v>0</v>
      </c>
    </row>
    <row r="83" spans="1:10" ht="15" customHeight="1" thickBot="1" x14ac:dyDescent="0.3">
      <c r="A83" s="385" t="s">
        <v>111</v>
      </c>
      <c r="B83" s="382">
        <v>0</v>
      </c>
      <c r="C83" s="383">
        <v>0</v>
      </c>
      <c r="D83" s="489">
        <v>0</v>
      </c>
      <c r="E83" s="388">
        <f t="shared" si="18"/>
        <v>0</v>
      </c>
      <c r="F83" s="389" t="s">
        <v>11</v>
      </c>
      <c r="G83" s="97">
        <v>0</v>
      </c>
      <c r="H83" s="210">
        <v>0</v>
      </c>
      <c r="I83" s="271">
        <v>0</v>
      </c>
      <c r="J83" s="391">
        <f t="shared" si="19"/>
        <v>0</v>
      </c>
    </row>
    <row r="84" spans="1:10" ht="15.75" thickBot="1" x14ac:dyDescent="0.3">
      <c r="A84" s="385" t="s">
        <v>152</v>
      </c>
      <c r="B84" s="382">
        <v>0</v>
      </c>
      <c r="C84" s="383">
        <v>0</v>
      </c>
      <c r="D84" s="489">
        <v>0</v>
      </c>
      <c r="E84" s="388">
        <f t="shared" si="18"/>
        <v>0</v>
      </c>
      <c r="F84" s="389" t="s">
        <v>111</v>
      </c>
      <c r="G84" s="97">
        <v>0</v>
      </c>
      <c r="H84" s="210">
        <v>0</v>
      </c>
      <c r="I84" s="271">
        <v>0</v>
      </c>
      <c r="J84" s="391">
        <f t="shared" si="19"/>
        <v>0</v>
      </c>
    </row>
    <row r="85" spans="1:10" ht="15" customHeight="1" thickBot="1" x14ac:dyDescent="0.3">
      <c r="A85" s="385" t="s">
        <v>198</v>
      </c>
      <c r="B85" s="382">
        <v>0</v>
      </c>
      <c r="C85" s="383">
        <v>0</v>
      </c>
      <c r="D85" s="489">
        <v>0</v>
      </c>
      <c r="E85" s="388">
        <f t="shared" si="18"/>
        <v>0</v>
      </c>
      <c r="F85" s="389" t="s">
        <v>198</v>
      </c>
      <c r="G85" s="97">
        <v>0</v>
      </c>
      <c r="H85" s="210">
        <v>0</v>
      </c>
      <c r="I85" s="271">
        <v>0</v>
      </c>
      <c r="J85" s="391">
        <f t="shared" si="19"/>
        <v>0</v>
      </c>
    </row>
    <row r="86" spans="1:10" ht="15.75" thickBot="1" x14ac:dyDescent="0.3">
      <c r="A86" s="385" t="s">
        <v>60</v>
      </c>
      <c r="B86" s="382">
        <v>0</v>
      </c>
      <c r="C86" s="383">
        <v>0</v>
      </c>
      <c r="D86" s="489">
        <v>0</v>
      </c>
      <c r="E86" s="388">
        <f t="shared" si="18"/>
        <v>0</v>
      </c>
      <c r="F86" s="389" t="s">
        <v>60</v>
      </c>
      <c r="G86" s="97">
        <v>0</v>
      </c>
      <c r="H86" s="210">
        <v>0</v>
      </c>
      <c r="I86" s="271">
        <v>0</v>
      </c>
      <c r="J86" s="391">
        <f t="shared" si="19"/>
        <v>0</v>
      </c>
    </row>
    <row r="87" spans="1:10" ht="15" customHeight="1" thickBot="1" x14ac:dyDescent="0.3">
      <c r="A87" s="385" t="s">
        <v>3</v>
      </c>
      <c r="B87" s="382">
        <f>SUM(B47:B86)</f>
        <v>102</v>
      </c>
      <c r="C87" s="383">
        <f>SUM(C47:C86)</f>
        <v>2</v>
      </c>
      <c r="D87" s="489">
        <f>SUM(D47:D86)</f>
        <v>3</v>
      </c>
      <c r="E87" s="388">
        <f t="shared" ref="E87" si="20">SUM(B87:D87)</f>
        <v>107</v>
      </c>
      <c r="F87" s="387" t="s">
        <v>3</v>
      </c>
      <c r="G87" s="147">
        <f>SUM(G47:G86)</f>
        <v>786</v>
      </c>
      <c r="H87" s="212">
        <f>SUM(H47:H86)</f>
        <v>14</v>
      </c>
      <c r="I87" s="271">
        <f>SUM(I47:I86)</f>
        <v>21</v>
      </c>
      <c r="J87" s="391">
        <f t="shared" ref="J87" si="21">SUM(G87:I87)</f>
        <v>821</v>
      </c>
    </row>
    <row r="88" spans="1:10" x14ac:dyDescent="0.25">
      <c r="A88" s="535" t="s">
        <v>95</v>
      </c>
      <c r="B88" s="536"/>
      <c r="C88" s="536"/>
      <c r="D88" s="536"/>
      <c r="E88" s="536"/>
      <c r="F88" s="536"/>
      <c r="G88" s="536"/>
    </row>
  </sheetData>
  <sortState xmlns:xlrd2="http://schemas.microsoft.com/office/spreadsheetml/2017/richdata2" ref="F47:J86">
    <sortCondition descending="1" ref="J47:J86"/>
  </sortState>
  <mergeCells count="43">
    <mergeCell ref="AI25:AK26"/>
    <mergeCell ref="AF25:AH26"/>
    <mergeCell ref="K31:W31"/>
    <mergeCell ref="AC25:AE26"/>
    <mergeCell ref="K32:W32"/>
    <mergeCell ref="AL20:AN21"/>
    <mergeCell ref="AO20:AQ21"/>
    <mergeCell ref="R20:T21"/>
    <mergeCell ref="U20:W21"/>
    <mergeCell ref="AC20:AE21"/>
    <mergeCell ref="AF20:AH21"/>
    <mergeCell ref="AI20:AK21"/>
    <mergeCell ref="A1:J1"/>
    <mergeCell ref="K25:K26"/>
    <mergeCell ref="L25:N26"/>
    <mergeCell ref="U25:W26"/>
    <mergeCell ref="U12:W13"/>
    <mergeCell ref="R25:T26"/>
    <mergeCell ref="W1:Y2"/>
    <mergeCell ref="T1:V2"/>
    <mergeCell ref="O25:Q26"/>
    <mergeCell ref="AC1:AE2"/>
    <mergeCell ref="AC12:AE13"/>
    <mergeCell ref="K20:K21"/>
    <mergeCell ref="L20:N21"/>
    <mergeCell ref="O20:Q21"/>
    <mergeCell ref="O12:Q13"/>
    <mergeCell ref="A88:G88"/>
    <mergeCell ref="AO1:AQ2"/>
    <mergeCell ref="R1:S2"/>
    <mergeCell ref="K12:K13"/>
    <mergeCell ref="AI12:AK13"/>
    <mergeCell ref="K1:K2"/>
    <mergeCell ref="L1:N2"/>
    <mergeCell ref="O1:Q2"/>
    <mergeCell ref="AL1:AN2"/>
    <mergeCell ref="L12:N13"/>
    <mergeCell ref="AI1:AK2"/>
    <mergeCell ref="AL12:AN13"/>
    <mergeCell ref="AO12:AQ13"/>
    <mergeCell ref="R12:T13"/>
    <mergeCell ref="AF12:AH13"/>
    <mergeCell ref="AF1:A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100"/>
  <sheetViews>
    <sheetView workbookViewId="0">
      <selection activeCell="P9" sqref="P9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4" width="4.7109375" customWidth="1"/>
    <col min="5" max="5" width="16.42578125" customWidth="1"/>
    <col min="6" max="8" width="5.28515625" customWidth="1"/>
    <col min="9" max="9" width="15.7109375" customWidth="1"/>
    <col min="10" max="44" width="5.7109375" customWidth="1"/>
  </cols>
  <sheetData>
    <row r="1" spans="1:51" ht="15.95" customHeight="1" thickBot="1" x14ac:dyDescent="0.3">
      <c r="A1" s="578" t="s">
        <v>809</v>
      </c>
      <c r="B1" s="579"/>
      <c r="C1" s="579"/>
      <c r="D1" s="579"/>
      <c r="E1" s="579"/>
      <c r="F1" s="579"/>
      <c r="G1" s="579"/>
      <c r="H1" s="580"/>
      <c r="I1" s="531" t="s">
        <v>658</v>
      </c>
      <c r="J1" s="525" t="s">
        <v>33</v>
      </c>
      <c r="K1" s="526"/>
      <c r="L1" s="527"/>
      <c r="M1" s="525" t="s">
        <v>110</v>
      </c>
      <c r="N1" s="526"/>
      <c r="O1" s="527"/>
      <c r="P1" s="525" t="s">
        <v>657</v>
      </c>
      <c r="Q1" s="527"/>
      <c r="R1" s="543" t="s">
        <v>836</v>
      </c>
      <c r="S1" s="549"/>
      <c r="T1" s="550"/>
      <c r="U1" s="543" t="s">
        <v>816</v>
      </c>
      <c r="V1" s="549"/>
      <c r="W1" s="550"/>
      <c r="X1" s="244"/>
      <c r="Y1" s="254"/>
      <c r="Z1" s="268"/>
      <c r="AA1" s="543" t="s">
        <v>574</v>
      </c>
      <c r="AB1" s="549"/>
      <c r="AC1" s="550"/>
      <c r="AD1" s="543" t="s">
        <v>217</v>
      </c>
      <c r="AE1" s="549"/>
      <c r="AF1" s="550"/>
      <c r="AG1" s="543" t="s">
        <v>147</v>
      </c>
      <c r="AH1" s="549"/>
      <c r="AI1" s="550"/>
      <c r="AJ1" s="543" t="s">
        <v>137</v>
      </c>
      <c r="AK1" s="549"/>
      <c r="AL1" s="550"/>
      <c r="AM1" s="543" t="s">
        <v>114</v>
      </c>
      <c r="AN1" s="549"/>
      <c r="AO1" s="550"/>
      <c r="AP1" s="543" t="s">
        <v>128</v>
      </c>
      <c r="AQ1" s="549"/>
      <c r="AR1" s="550"/>
      <c r="AT1" s="4"/>
      <c r="AU1" s="4"/>
      <c r="AV1" s="4"/>
      <c r="AY1" s="4"/>
    </row>
    <row r="2" spans="1:51" ht="15" customHeight="1" thickBot="1" x14ac:dyDescent="0.3">
      <c r="A2" s="295" t="s">
        <v>0</v>
      </c>
      <c r="B2" s="196" t="s">
        <v>815</v>
      </c>
      <c r="C2" s="264" t="s">
        <v>73</v>
      </c>
      <c r="D2" s="297" t="s">
        <v>1</v>
      </c>
      <c r="E2" s="298" t="s">
        <v>2</v>
      </c>
      <c r="F2" s="198" t="s">
        <v>815</v>
      </c>
      <c r="G2" s="266" t="s">
        <v>73</v>
      </c>
      <c r="H2" s="302" t="s">
        <v>1</v>
      </c>
      <c r="I2" s="532"/>
      <c r="J2" s="528"/>
      <c r="K2" s="529"/>
      <c r="L2" s="530"/>
      <c r="M2" s="528"/>
      <c r="N2" s="529"/>
      <c r="O2" s="530"/>
      <c r="P2" s="528"/>
      <c r="Q2" s="530"/>
      <c r="R2" s="551"/>
      <c r="S2" s="552"/>
      <c r="T2" s="553"/>
      <c r="U2" s="551"/>
      <c r="V2" s="552"/>
      <c r="W2" s="553"/>
      <c r="X2" s="244"/>
      <c r="Y2" s="254"/>
      <c r="Z2" s="268"/>
      <c r="AA2" s="551"/>
      <c r="AB2" s="552"/>
      <c r="AC2" s="553"/>
      <c r="AD2" s="551"/>
      <c r="AE2" s="552"/>
      <c r="AF2" s="553"/>
      <c r="AG2" s="551"/>
      <c r="AH2" s="552"/>
      <c r="AI2" s="553"/>
      <c r="AJ2" s="551"/>
      <c r="AK2" s="552"/>
      <c r="AL2" s="553"/>
      <c r="AM2" s="551"/>
      <c r="AN2" s="552"/>
      <c r="AO2" s="553"/>
      <c r="AP2" s="551"/>
      <c r="AQ2" s="552"/>
      <c r="AR2" s="553"/>
    </row>
    <row r="3" spans="1:51" ht="15" customHeight="1" thickBot="1" x14ac:dyDescent="0.3">
      <c r="A3" s="296" t="s">
        <v>291</v>
      </c>
      <c r="B3" s="197">
        <v>0</v>
      </c>
      <c r="C3" s="265">
        <v>0</v>
      </c>
      <c r="D3" s="299">
        <f t="shared" ref="D3:D49" si="0">SUM(B3:C3)</f>
        <v>0</v>
      </c>
      <c r="E3" s="300" t="s">
        <v>291</v>
      </c>
      <c r="F3" s="199">
        <v>0</v>
      </c>
      <c r="G3" s="267">
        <v>0</v>
      </c>
      <c r="H3" s="303">
        <f t="shared" ref="H3:H49" si="1">SUM(F3:G3)</f>
        <v>0</v>
      </c>
      <c r="I3" s="33" t="s">
        <v>51</v>
      </c>
      <c r="J3" s="3" t="s">
        <v>129</v>
      </c>
      <c r="K3" s="3" t="s">
        <v>27</v>
      </c>
      <c r="L3" s="3" t="s">
        <v>28</v>
      </c>
      <c r="M3" s="249" t="s">
        <v>129</v>
      </c>
      <c r="N3" s="3" t="s">
        <v>27</v>
      </c>
      <c r="O3" s="3" t="s">
        <v>28</v>
      </c>
      <c r="P3" s="3" t="s">
        <v>40</v>
      </c>
      <c r="Q3" s="3" t="s">
        <v>166</v>
      </c>
      <c r="R3" s="7" t="s">
        <v>129</v>
      </c>
      <c r="S3" s="7" t="s">
        <v>27</v>
      </c>
      <c r="T3" s="7" t="s">
        <v>28</v>
      </c>
      <c r="U3" s="221" t="s">
        <v>129</v>
      </c>
      <c r="V3" s="7" t="s">
        <v>27</v>
      </c>
      <c r="W3" s="7" t="s">
        <v>28</v>
      </c>
      <c r="X3" s="113"/>
      <c r="Y3" s="114"/>
      <c r="Z3" s="269"/>
      <c r="AA3" s="221" t="s">
        <v>129</v>
      </c>
      <c r="AB3" s="7" t="s">
        <v>27</v>
      </c>
      <c r="AC3" s="7" t="s">
        <v>28</v>
      </c>
      <c r="AD3" s="221" t="s">
        <v>129</v>
      </c>
      <c r="AE3" s="7" t="s">
        <v>27</v>
      </c>
      <c r="AF3" s="7" t="s">
        <v>28</v>
      </c>
      <c r="AG3" s="221" t="s">
        <v>129</v>
      </c>
      <c r="AH3" s="7" t="s">
        <v>27</v>
      </c>
      <c r="AI3" s="7" t="s">
        <v>28</v>
      </c>
      <c r="AJ3" s="7" t="s">
        <v>129</v>
      </c>
      <c r="AK3" s="7" t="s">
        <v>27</v>
      </c>
      <c r="AL3" s="7" t="s">
        <v>28</v>
      </c>
      <c r="AM3" s="7" t="s">
        <v>129</v>
      </c>
      <c r="AN3" s="7" t="s">
        <v>27</v>
      </c>
      <c r="AO3" s="7" t="s">
        <v>28</v>
      </c>
      <c r="AP3" s="7" t="s">
        <v>129</v>
      </c>
      <c r="AQ3" s="7" t="s">
        <v>27</v>
      </c>
      <c r="AR3" s="7" t="s">
        <v>28</v>
      </c>
    </row>
    <row r="4" spans="1:51" ht="15" customHeight="1" thickBot="1" x14ac:dyDescent="0.3">
      <c r="A4" s="296" t="s">
        <v>1007</v>
      </c>
      <c r="B4" s="197">
        <v>1</v>
      </c>
      <c r="C4" s="265">
        <v>1</v>
      </c>
      <c r="D4" s="299">
        <f t="shared" si="0"/>
        <v>2</v>
      </c>
      <c r="E4" s="300" t="s">
        <v>1007</v>
      </c>
      <c r="F4" s="199">
        <v>5</v>
      </c>
      <c r="G4" s="267">
        <v>5</v>
      </c>
      <c r="H4" s="303">
        <f t="shared" si="1"/>
        <v>10</v>
      </c>
      <c r="I4" s="394" t="s">
        <v>980</v>
      </c>
      <c r="J4" s="299">
        <v>5</v>
      </c>
      <c r="K4" s="299">
        <v>7</v>
      </c>
      <c r="L4" s="304">
        <f>SUM(J4/K4)*100</f>
        <v>71.428571428571431</v>
      </c>
      <c r="M4" s="299" t="s">
        <v>34</v>
      </c>
      <c r="N4" s="299" t="s">
        <v>34</v>
      </c>
      <c r="O4" s="304" t="s">
        <v>34</v>
      </c>
      <c r="P4" s="299">
        <v>1</v>
      </c>
      <c r="Q4" s="299">
        <v>1</v>
      </c>
      <c r="R4" s="221" t="s">
        <v>34</v>
      </c>
      <c r="S4" s="7" t="s">
        <v>34</v>
      </c>
      <c r="T4" s="7" t="s">
        <v>34</v>
      </c>
      <c r="U4" s="221" t="s">
        <v>34</v>
      </c>
      <c r="V4" s="7" t="s">
        <v>34</v>
      </c>
      <c r="W4" s="7" t="s">
        <v>34</v>
      </c>
      <c r="X4" s="395"/>
      <c r="Y4" s="396"/>
      <c r="Z4" s="397"/>
      <c r="AA4" s="221" t="s">
        <v>34</v>
      </c>
      <c r="AB4" s="7" t="s">
        <v>34</v>
      </c>
      <c r="AC4" s="7" t="s">
        <v>34</v>
      </c>
      <c r="AD4" s="221" t="s">
        <v>34</v>
      </c>
      <c r="AE4" s="7" t="s">
        <v>34</v>
      </c>
      <c r="AF4" s="7" t="s">
        <v>34</v>
      </c>
      <c r="AG4" s="221" t="s">
        <v>34</v>
      </c>
      <c r="AH4" s="7" t="s">
        <v>34</v>
      </c>
      <c r="AI4" s="7" t="s">
        <v>34</v>
      </c>
      <c r="AJ4" s="221" t="s">
        <v>34</v>
      </c>
      <c r="AK4" s="7" t="s">
        <v>34</v>
      </c>
      <c r="AL4" s="7" t="s">
        <v>34</v>
      </c>
      <c r="AM4" s="221" t="s">
        <v>34</v>
      </c>
      <c r="AN4" s="7" t="s">
        <v>34</v>
      </c>
      <c r="AO4" s="7" t="s">
        <v>34</v>
      </c>
      <c r="AP4" s="221" t="s">
        <v>34</v>
      </c>
      <c r="AQ4" s="7" t="s">
        <v>34</v>
      </c>
      <c r="AR4" s="7" t="s">
        <v>34</v>
      </c>
    </row>
    <row r="5" spans="1:51" ht="15" customHeight="1" thickBot="1" x14ac:dyDescent="0.3">
      <c r="A5" s="296" t="s">
        <v>1063</v>
      </c>
      <c r="B5" s="197">
        <v>1</v>
      </c>
      <c r="C5" s="265">
        <v>0</v>
      </c>
      <c r="D5" s="299">
        <f t="shared" si="0"/>
        <v>1</v>
      </c>
      <c r="E5" s="300" t="s">
        <v>1063</v>
      </c>
      <c r="F5" s="199">
        <v>5</v>
      </c>
      <c r="G5" s="267">
        <v>0</v>
      </c>
      <c r="H5" s="303">
        <f t="shared" si="1"/>
        <v>5</v>
      </c>
      <c r="I5" s="296" t="s">
        <v>690</v>
      </c>
      <c r="J5" s="299">
        <v>27</v>
      </c>
      <c r="K5" s="299">
        <v>32</v>
      </c>
      <c r="L5" s="304">
        <f>SUM(J5/K5)*100</f>
        <v>84.375</v>
      </c>
      <c r="M5" s="299" t="s">
        <v>34</v>
      </c>
      <c r="N5" s="299" t="s">
        <v>34</v>
      </c>
      <c r="O5" s="304" t="s">
        <v>34</v>
      </c>
      <c r="P5" s="299">
        <v>1</v>
      </c>
      <c r="Q5" s="299">
        <v>2</v>
      </c>
      <c r="R5" s="7">
        <v>35</v>
      </c>
      <c r="S5" s="7">
        <v>40</v>
      </c>
      <c r="T5" s="232">
        <f>SUM(R5/S5)*100</f>
        <v>87.5</v>
      </c>
      <c r="U5" s="221">
        <v>77</v>
      </c>
      <c r="V5" s="7">
        <v>91</v>
      </c>
      <c r="W5" s="232">
        <f>SUM(U5/V5)*100</f>
        <v>84.615384615384613</v>
      </c>
      <c r="X5" s="113"/>
      <c r="Y5" s="114"/>
      <c r="Z5" s="269"/>
      <c r="AA5" s="221">
        <v>61</v>
      </c>
      <c r="AB5" s="7">
        <v>77</v>
      </c>
      <c r="AC5" s="232">
        <f>SUM(AA5/AB5)*100</f>
        <v>79.220779220779221</v>
      </c>
      <c r="AD5" s="221">
        <v>51</v>
      </c>
      <c r="AE5" s="7">
        <v>70</v>
      </c>
      <c r="AF5" s="232">
        <f>SUM(AD5/AE5)*100</f>
        <v>72.857142857142847</v>
      </c>
      <c r="AG5" s="221">
        <v>37</v>
      </c>
      <c r="AH5" s="7">
        <v>50</v>
      </c>
      <c r="AI5" s="232">
        <f>SUM(AG5/AH5)*100</f>
        <v>74</v>
      </c>
      <c r="AJ5" s="7">
        <v>85</v>
      </c>
      <c r="AK5" s="7">
        <v>102</v>
      </c>
      <c r="AL5" s="232">
        <f>SUM(AJ5/AK5)*100</f>
        <v>83.333333333333343</v>
      </c>
      <c r="AM5" s="7">
        <v>87</v>
      </c>
      <c r="AN5" s="7">
        <v>122</v>
      </c>
      <c r="AO5" s="232">
        <f>SUM(AM5/AN5)*100</f>
        <v>71.311475409836063</v>
      </c>
      <c r="AP5" s="7" t="s">
        <v>34</v>
      </c>
      <c r="AQ5" s="7" t="s">
        <v>34</v>
      </c>
      <c r="AR5" s="7" t="s">
        <v>34</v>
      </c>
    </row>
    <row r="6" spans="1:51" ht="15" customHeight="1" thickBot="1" x14ac:dyDescent="0.3">
      <c r="A6" s="296" t="s">
        <v>974</v>
      </c>
      <c r="B6" s="197">
        <v>3</v>
      </c>
      <c r="C6" s="265">
        <v>2</v>
      </c>
      <c r="D6" s="299">
        <f t="shared" si="0"/>
        <v>5</v>
      </c>
      <c r="E6" s="300" t="s">
        <v>974</v>
      </c>
      <c r="F6" s="199">
        <v>15</v>
      </c>
      <c r="G6" s="267">
        <v>10</v>
      </c>
      <c r="H6" s="303">
        <f t="shared" si="1"/>
        <v>25</v>
      </c>
      <c r="I6" s="296" t="s">
        <v>733</v>
      </c>
      <c r="J6" s="299">
        <v>16</v>
      </c>
      <c r="K6" s="299">
        <v>19</v>
      </c>
      <c r="L6" s="304">
        <f>SUM(J6/K6)*100</f>
        <v>84.210526315789465</v>
      </c>
      <c r="M6" s="299">
        <v>6</v>
      </c>
      <c r="N6" s="299">
        <v>6</v>
      </c>
      <c r="O6" s="304">
        <f>SUM(M6/N6)*100</f>
        <v>100</v>
      </c>
      <c r="P6" s="299">
        <v>8</v>
      </c>
      <c r="Q6" s="299">
        <v>8</v>
      </c>
      <c r="R6" s="7">
        <v>5</v>
      </c>
      <c r="S6" s="7">
        <v>7</v>
      </c>
      <c r="T6" s="232">
        <f>SUM(R6/S6)*100</f>
        <v>71.428571428571431</v>
      </c>
      <c r="U6" s="221">
        <v>7</v>
      </c>
      <c r="V6" s="7">
        <v>9</v>
      </c>
      <c r="W6" s="232">
        <f>SUM(U6/V6)*100</f>
        <v>77.777777777777786</v>
      </c>
      <c r="X6" s="113"/>
      <c r="Y6" s="114"/>
      <c r="Z6" s="269"/>
      <c r="AA6" s="221">
        <v>6</v>
      </c>
      <c r="AB6" s="7">
        <v>10</v>
      </c>
      <c r="AC6" s="7">
        <v>60</v>
      </c>
      <c r="AD6" s="221" t="s">
        <v>34</v>
      </c>
      <c r="AE6" s="7" t="s">
        <v>34</v>
      </c>
      <c r="AF6" s="7" t="s">
        <v>34</v>
      </c>
      <c r="AG6" s="221" t="s">
        <v>34</v>
      </c>
      <c r="AH6" s="7" t="s">
        <v>34</v>
      </c>
      <c r="AI6" s="7" t="s">
        <v>34</v>
      </c>
      <c r="AJ6" s="7" t="s">
        <v>34</v>
      </c>
      <c r="AK6" s="7" t="s">
        <v>34</v>
      </c>
      <c r="AL6" s="7" t="s">
        <v>34</v>
      </c>
      <c r="AM6" s="7" t="s">
        <v>34</v>
      </c>
      <c r="AN6" s="7" t="s">
        <v>34</v>
      </c>
      <c r="AO6" s="7" t="s">
        <v>34</v>
      </c>
      <c r="AP6" s="7" t="s">
        <v>34</v>
      </c>
      <c r="AQ6" s="7" t="s">
        <v>34</v>
      </c>
      <c r="AR6" s="7" t="s">
        <v>34</v>
      </c>
    </row>
    <row r="7" spans="1:51" ht="15" customHeight="1" thickBot="1" x14ac:dyDescent="0.3">
      <c r="A7" s="296" t="s">
        <v>87</v>
      </c>
      <c r="B7" s="197">
        <v>1</v>
      </c>
      <c r="C7" s="265">
        <v>0</v>
      </c>
      <c r="D7" s="299">
        <f t="shared" si="0"/>
        <v>1</v>
      </c>
      <c r="E7" s="300" t="s">
        <v>87</v>
      </c>
      <c r="F7" s="199">
        <v>5</v>
      </c>
      <c r="G7" s="267">
        <v>0</v>
      </c>
      <c r="H7" s="303">
        <f t="shared" si="1"/>
        <v>5</v>
      </c>
      <c r="I7" s="296" t="s">
        <v>199</v>
      </c>
      <c r="J7" s="299" t="s">
        <v>34</v>
      </c>
      <c r="K7" s="299" t="s">
        <v>34</v>
      </c>
      <c r="L7" s="304" t="s">
        <v>34</v>
      </c>
      <c r="M7" s="299" t="s">
        <v>34</v>
      </c>
      <c r="N7" s="299" t="s">
        <v>34</v>
      </c>
      <c r="O7" s="304" t="s">
        <v>34</v>
      </c>
      <c r="P7" s="299">
        <v>3</v>
      </c>
      <c r="Q7" s="299">
        <v>3</v>
      </c>
      <c r="R7" s="7">
        <v>16</v>
      </c>
      <c r="S7" s="7">
        <v>21</v>
      </c>
      <c r="T7" s="232">
        <f>SUM(R7/S7)*100</f>
        <v>76.19047619047619</v>
      </c>
      <c r="U7" s="221">
        <v>1</v>
      </c>
      <c r="V7" s="7">
        <v>1</v>
      </c>
      <c r="W7" s="7">
        <v>50</v>
      </c>
      <c r="X7" s="113"/>
      <c r="Y7" s="114"/>
      <c r="Z7" s="269"/>
      <c r="AA7" s="221" t="s">
        <v>34</v>
      </c>
      <c r="AB7" s="7" t="s">
        <v>34</v>
      </c>
      <c r="AC7" s="7" t="s">
        <v>34</v>
      </c>
      <c r="AD7" s="221" t="s">
        <v>34</v>
      </c>
      <c r="AE7" s="7" t="s">
        <v>34</v>
      </c>
      <c r="AF7" s="7" t="s">
        <v>34</v>
      </c>
      <c r="AG7" s="221" t="s">
        <v>34</v>
      </c>
      <c r="AH7" s="7" t="s">
        <v>34</v>
      </c>
      <c r="AI7" s="7" t="s">
        <v>34</v>
      </c>
      <c r="AJ7" s="7" t="s">
        <v>34</v>
      </c>
      <c r="AK7" s="7" t="s">
        <v>34</v>
      </c>
      <c r="AL7" s="7" t="s">
        <v>34</v>
      </c>
      <c r="AM7" s="7" t="s">
        <v>34</v>
      </c>
      <c r="AN7" s="7" t="s">
        <v>34</v>
      </c>
      <c r="AO7" s="7" t="s">
        <v>34</v>
      </c>
      <c r="AP7" s="7" t="s">
        <v>34</v>
      </c>
      <c r="AQ7" s="7" t="s">
        <v>34</v>
      </c>
      <c r="AR7" s="7" t="s">
        <v>34</v>
      </c>
      <c r="AS7" t="s">
        <v>51</v>
      </c>
    </row>
    <row r="8" spans="1:51" ht="15" customHeight="1" thickBot="1" x14ac:dyDescent="0.3">
      <c r="A8" s="296" t="s">
        <v>979</v>
      </c>
      <c r="B8" s="197">
        <v>0</v>
      </c>
      <c r="C8" s="265">
        <v>0</v>
      </c>
      <c r="D8" s="299">
        <f t="shared" si="0"/>
        <v>0</v>
      </c>
      <c r="E8" s="300" t="s">
        <v>979</v>
      </c>
      <c r="F8" s="199">
        <v>14</v>
      </c>
      <c r="G8" s="267">
        <v>9</v>
      </c>
      <c r="H8" s="303">
        <f t="shared" si="1"/>
        <v>23</v>
      </c>
      <c r="I8" s="296" t="s">
        <v>743</v>
      </c>
      <c r="J8" s="299">
        <v>38</v>
      </c>
      <c r="K8" s="299">
        <v>51</v>
      </c>
      <c r="L8" s="304">
        <f>SUM(J8/K8)*100</f>
        <v>74.509803921568633</v>
      </c>
      <c r="M8" s="299" t="s">
        <v>34</v>
      </c>
      <c r="N8" s="299" t="s">
        <v>34</v>
      </c>
      <c r="O8" s="304" t="s">
        <v>34</v>
      </c>
      <c r="P8" s="299">
        <v>-1</v>
      </c>
      <c r="Q8" s="299">
        <v>-1</v>
      </c>
      <c r="R8" s="7">
        <v>10</v>
      </c>
      <c r="S8" s="7">
        <v>15</v>
      </c>
      <c r="T8" s="232">
        <f>SUM(R8/S8)*100</f>
        <v>66.666666666666657</v>
      </c>
      <c r="U8" s="221" t="s">
        <v>34</v>
      </c>
      <c r="V8" s="7" t="s">
        <v>34</v>
      </c>
      <c r="W8" s="7" t="s">
        <v>34</v>
      </c>
      <c r="X8" s="113"/>
      <c r="Y8" s="114"/>
      <c r="Z8" s="269"/>
      <c r="AA8" s="221" t="s">
        <v>34</v>
      </c>
      <c r="AB8" s="7" t="s">
        <v>34</v>
      </c>
      <c r="AC8" s="7" t="s">
        <v>34</v>
      </c>
      <c r="AD8" s="221" t="s">
        <v>34</v>
      </c>
      <c r="AE8" s="7" t="s">
        <v>34</v>
      </c>
      <c r="AF8" s="7" t="s">
        <v>34</v>
      </c>
      <c r="AG8" s="221" t="s">
        <v>34</v>
      </c>
      <c r="AH8" s="7" t="s">
        <v>34</v>
      </c>
      <c r="AI8" s="7" t="s">
        <v>34</v>
      </c>
      <c r="AJ8" s="221" t="s">
        <v>34</v>
      </c>
      <c r="AK8" s="7" t="s">
        <v>34</v>
      </c>
      <c r="AL8" s="7" t="s">
        <v>34</v>
      </c>
      <c r="AM8" s="221" t="s">
        <v>34</v>
      </c>
      <c r="AN8" s="7" t="s">
        <v>34</v>
      </c>
      <c r="AO8" s="7" t="s">
        <v>34</v>
      </c>
      <c r="AP8" s="221" t="s">
        <v>34</v>
      </c>
      <c r="AQ8" s="7" t="s">
        <v>34</v>
      </c>
      <c r="AR8" s="7" t="s">
        <v>34</v>
      </c>
    </row>
    <row r="9" spans="1:51" ht="15" customHeight="1" thickBot="1" x14ac:dyDescent="0.3">
      <c r="A9" s="296" t="s">
        <v>881</v>
      </c>
      <c r="B9" s="197">
        <v>0</v>
      </c>
      <c r="C9" s="265">
        <v>0</v>
      </c>
      <c r="D9" s="299">
        <f t="shared" si="0"/>
        <v>0</v>
      </c>
      <c r="E9" s="301" t="s">
        <v>881</v>
      </c>
      <c r="F9" s="199">
        <v>0</v>
      </c>
      <c r="G9" s="267">
        <v>0</v>
      </c>
      <c r="H9" s="303">
        <f t="shared" si="1"/>
        <v>0</v>
      </c>
      <c r="I9" s="296" t="s">
        <v>691</v>
      </c>
      <c r="J9" s="299" t="s">
        <v>34</v>
      </c>
      <c r="K9" s="299" t="s">
        <v>34</v>
      </c>
      <c r="L9" s="304" t="s">
        <v>34</v>
      </c>
      <c r="M9" s="299" t="s">
        <v>34</v>
      </c>
      <c r="N9" s="299" t="s">
        <v>34</v>
      </c>
      <c r="O9" s="304" t="s">
        <v>34</v>
      </c>
      <c r="P9" s="299">
        <v>1</v>
      </c>
      <c r="Q9" s="299" t="s">
        <v>41</v>
      </c>
      <c r="R9" s="7">
        <v>1</v>
      </c>
      <c r="S9" s="7">
        <v>1</v>
      </c>
      <c r="T9" s="232">
        <f>(R9/S9)*100</f>
        <v>100</v>
      </c>
      <c r="U9" s="221" t="s">
        <v>34</v>
      </c>
      <c r="V9" s="7" t="s">
        <v>34</v>
      </c>
      <c r="W9" s="7" t="s">
        <v>34</v>
      </c>
      <c r="X9" s="113"/>
      <c r="Y9" s="114"/>
      <c r="Z9" s="269"/>
      <c r="AA9" s="221" t="s">
        <v>34</v>
      </c>
      <c r="AB9" s="7" t="s">
        <v>34</v>
      </c>
      <c r="AC9" s="7" t="s">
        <v>34</v>
      </c>
      <c r="AD9" s="221" t="s">
        <v>34</v>
      </c>
      <c r="AE9" s="7" t="s">
        <v>34</v>
      </c>
      <c r="AF9" s="7" t="s">
        <v>34</v>
      </c>
      <c r="AG9" s="221" t="s">
        <v>34</v>
      </c>
      <c r="AH9" s="7" t="s">
        <v>34</v>
      </c>
      <c r="AI9" s="7" t="s">
        <v>34</v>
      </c>
      <c r="AJ9" s="7" t="s">
        <v>34</v>
      </c>
      <c r="AK9" s="7" t="s">
        <v>34</v>
      </c>
      <c r="AL9" s="7" t="s">
        <v>34</v>
      </c>
      <c r="AM9" s="7" t="s">
        <v>34</v>
      </c>
      <c r="AN9" s="7" t="s">
        <v>34</v>
      </c>
      <c r="AO9" s="7" t="s">
        <v>34</v>
      </c>
      <c r="AP9" s="7" t="s">
        <v>34</v>
      </c>
      <c r="AQ9" s="7" t="s">
        <v>34</v>
      </c>
      <c r="AR9" s="7" t="s">
        <v>34</v>
      </c>
    </row>
    <row r="10" spans="1:51" ht="15" customHeight="1" thickBot="1" x14ac:dyDescent="0.3">
      <c r="A10" s="296" t="s">
        <v>689</v>
      </c>
      <c r="B10" s="197">
        <v>0</v>
      </c>
      <c r="C10" s="265">
        <v>0</v>
      </c>
      <c r="D10" s="299">
        <f t="shared" si="0"/>
        <v>0</v>
      </c>
      <c r="E10" s="301" t="s">
        <v>689</v>
      </c>
      <c r="F10" s="199">
        <v>72</v>
      </c>
      <c r="G10" s="267">
        <v>40</v>
      </c>
      <c r="H10" s="303">
        <f t="shared" si="1"/>
        <v>112</v>
      </c>
      <c r="I10" s="296" t="s">
        <v>154</v>
      </c>
      <c r="J10" s="299" t="s">
        <v>34</v>
      </c>
      <c r="K10" s="299" t="s">
        <v>34</v>
      </c>
      <c r="L10" s="304" t="s">
        <v>34</v>
      </c>
      <c r="M10" s="299" t="s">
        <v>34</v>
      </c>
      <c r="N10" s="299" t="s">
        <v>34</v>
      </c>
      <c r="O10" s="304" t="s">
        <v>34</v>
      </c>
      <c r="P10" s="299" t="s">
        <v>41</v>
      </c>
      <c r="Q10" s="299">
        <v>5</v>
      </c>
      <c r="R10" s="7" t="s">
        <v>34</v>
      </c>
      <c r="S10" s="7" t="s">
        <v>34</v>
      </c>
      <c r="T10" s="232" t="s">
        <v>34</v>
      </c>
      <c r="U10" s="221" t="s">
        <v>34</v>
      </c>
      <c r="V10" s="7" t="s">
        <v>34</v>
      </c>
      <c r="W10" s="7" t="s">
        <v>34</v>
      </c>
      <c r="X10" s="113"/>
      <c r="Y10" s="114"/>
      <c r="Z10" s="269"/>
      <c r="AA10" s="221" t="s">
        <v>34</v>
      </c>
      <c r="AB10" s="7" t="s">
        <v>34</v>
      </c>
      <c r="AC10" s="7" t="s">
        <v>34</v>
      </c>
      <c r="AD10" s="221" t="s">
        <v>34</v>
      </c>
      <c r="AE10" s="7" t="s">
        <v>34</v>
      </c>
      <c r="AF10" s="7" t="s">
        <v>34</v>
      </c>
      <c r="AG10" s="221" t="s">
        <v>34</v>
      </c>
      <c r="AH10" s="7" t="s">
        <v>34</v>
      </c>
      <c r="AI10" s="7" t="s">
        <v>34</v>
      </c>
      <c r="AJ10" s="7" t="s">
        <v>34</v>
      </c>
      <c r="AK10" s="7" t="s">
        <v>34</v>
      </c>
      <c r="AL10" s="7" t="s">
        <v>34</v>
      </c>
      <c r="AM10" s="7" t="s">
        <v>34</v>
      </c>
      <c r="AN10" s="7" t="s">
        <v>34</v>
      </c>
      <c r="AO10" s="7" t="s">
        <v>34</v>
      </c>
      <c r="AP10" s="7" t="s">
        <v>34</v>
      </c>
      <c r="AQ10" s="7" t="s">
        <v>34</v>
      </c>
      <c r="AR10" s="7" t="s">
        <v>34</v>
      </c>
    </row>
    <row r="11" spans="1:51" ht="15" customHeight="1" thickBot="1" x14ac:dyDescent="0.3">
      <c r="A11" s="296" t="s">
        <v>142</v>
      </c>
      <c r="B11" s="197">
        <v>4</v>
      </c>
      <c r="C11" s="265">
        <v>1</v>
      </c>
      <c r="D11" s="299">
        <f t="shared" si="0"/>
        <v>5</v>
      </c>
      <c r="E11" s="301" t="s">
        <v>142</v>
      </c>
      <c r="F11" s="199">
        <v>20</v>
      </c>
      <c r="G11" s="267">
        <v>5</v>
      </c>
      <c r="H11" s="303">
        <f t="shared" si="1"/>
        <v>25</v>
      </c>
      <c r="I11" s="296" t="s">
        <v>21</v>
      </c>
      <c r="J11" s="299" t="s">
        <v>34</v>
      </c>
      <c r="K11" s="299" t="s">
        <v>34</v>
      </c>
      <c r="L11" s="304" t="s">
        <v>34</v>
      </c>
      <c r="M11" s="299" t="s">
        <v>34</v>
      </c>
      <c r="N11" s="299" t="s">
        <v>34</v>
      </c>
      <c r="O11" s="304" t="s">
        <v>34</v>
      </c>
      <c r="P11" s="299" t="s">
        <v>41</v>
      </c>
      <c r="Q11" s="299" t="s">
        <v>44</v>
      </c>
      <c r="R11" s="7" t="s">
        <v>34</v>
      </c>
      <c r="S11" s="7" t="s">
        <v>34</v>
      </c>
      <c r="T11" s="232" t="s">
        <v>34</v>
      </c>
      <c r="U11" s="221" t="s">
        <v>34</v>
      </c>
      <c r="V11" s="7" t="s">
        <v>34</v>
      </c>
      <c r="W11" s="7" t="s">
        <v>34</v>
      </c>
      <c r="X11" s="113"/>
      <c r="Y11" s="114"/>
      <c r="Z11" s="269"/>
      <c r="AA11" s="221" t="s">
        <v>34</v>
      </c>
      <c r="AB11" s="7" t="s">
        <v>34</v>
      </c>
      <c r="AC11" s="7" t="s">
        <v>34</v>
      </c>
      <c r="AD11" s="221" t="s">
        <v>34</v>
      </c>
      <c r="AE11" s="7" t="s">
        <v>34</v>
      </c>
      <c r="AF11" s="7" t="s">
        <v>34</v>
      </c>
      <c r="AG11" s="221" t="s">
        <v>34</v>
      </c>
      <c r="AH11" s="7" t="s">
        <v>34</v>
      </c>
      <c r="AI11" s="7" t="s">
        <v>34</v>
      </c>
      <c r="AJ11" s="7" t="s">
        <v>34</v>
      </c>
      <c r="AK11" s="7" t="s">
        <v>34</v>
      </c>
      <c r="AL11" s="7" t="s">
        <v>34</v>
      </c>
      <c r="AM11" s="7" t="s">
        <v>34</v>
      </c>
      <c r="AN11" s="7" t="s">
        <v>34</v>
      </c>
      <c r="AO11" s="7" t="s">
        <v>34</v>
      </c>
      <c r="AP11" s="7">
        <v>0</v>
      </c>
      <c r="AQ11" s="7">
        <v>1</v>
      </c>
      <c r="AR11" s="7">
        <v>0</v>
      </c>
    </row>
    <row r="12" spans="1:51" ht="15" customHeight="1" thickBot="1" x14ac:dyDescent="0.3">
      <c r="A12" s="296" t="s">
        <v>567</v>
      </c>
      <c r="B12" s="197">
        <v>0</v>
      </c>
      <c r="C12" s="265">
        <v>0</v>
      </c>
      <c r="D12" s="299">
        <f t="shared" si="0"/>
        <v>0</v>
      </c>
      <c r="E12" s="301" t="s">
        <v>567</v>
      </c>
      <c r="F12" s="199">
        <v>0</v>
      </c>
      <c r="G12" s="267">
        <v>0</v>
      </c>
      <c r="H12" s="303">
        <f t="shared" si="1"/>
        <v>0</v>
      </c>
      <c r="I12" s="26"/>
      <c r="AA12" s="245"/>
      <c r="AB12" s="245"/>
    </row>
    <row r="13" spans="1:51" ht="15" customHeight="1" thickBot="1" x14ac:dyDescent="0.3">
      <c r="A13" s="296" t="s">
        <v>826</v>
      </c>
      <c r="B13" s="197">
        <v>1</v>
      </c>
      <c r="C13" s="265">
        <v>0</v>
      </c>
      <c r="D13" s="299">
        <f t="shared" si="0"/>
        <v>1</v>
      </c>
      <c r="E13" s="301" t="s">
        <v>826</v>
      </c>
      <c r="F13" s="199">
        <v>5</v>
      </c>
      <c r="G13" s="267">
        <v>0</v>
      </c>
      <c r="H13" s="303">
        <f t="shared" si="1"/>
        <v>5</v>
      </c>
      <c r="I13" s="533" t="s">
        <v>660</v>
      </c>
      <c r="J13" s="525" t="s">
        <v>33</v>
      </c>
      <c r="K13" s="526"/>
      <c r="L13" s="527"/>
      <c r="M13" s="543" t="s">
        <v>836</v>
      </c>
      <c r="N13" s="549"/>
      <c r="O13" s="550"/>
      <c r="P13" s="543" t="s">
        <v>1009</v>
      </c>
      <c r="Q13" s="549"/>
      <c r="R13" s="550"/>
      <c r="S13" s="543" t="s">
        <v>1010</v>
      </c>
      <c r="T13" s="549"/>
      <c r="U13" s="550"/>
      <c r="V13" s="254"/>
      <c r="W13" s="254"/>
      <c r="X13" s="254"/>
      <c r="Y13" s="354"/>
      <c r="Z13" s="354"/>
      <c r="AA13" s="543" t="s">
        <v>1011</v>
      </c>
      <c r="AB13" s="549"/>
      <c r="AC13" s="550"/>
      <c r="AD13" s="543" t="s">
        <v>1012</v>
      </c>
      <c r="AE13" s="549"/>
      <c r="AF13" s="550"/>
      <c r="AG13" s="543" t="s">
        <v>1013</v>
      </c>
      <c r="AH13" s="549"/>
      <c r="AI13" s="550"/>
      <c r="AJ13" s="543" t="s">
        <v>576</v>
      </c>
      <c r="AK13" s="549"/>
      <c r="AL13" s="550"/>
      <c r="AM13" s="228"/>
    </row>
    <row r="14" spans="1:51" ht="15" customHeight="1" thickBot="1" x14ac:dyDescent="0.3">
      <c r="A14" s="296" t="s">
        <v>756</v>
      </c>
      <c r="B14" s="197">
        <v>2</v>
      </c>
      <c r="C14" s="265">
        <v>0</v>
      </c>
      <c r="D14" s="299">
        <f t="shared" si="0"/>
        <v>2</v>
      </c>
      <c r="E14" s="301" t="s">
        <v>756</v>
      </c>
      <c r="F14" s="199">
        <v>10</v>
      </c>
      <c r="G14" s="267">
        <v>0</v>
      </c>
      <c r="H14" s="303">
        <f t="shared" si="1"/>
        <v>10</v>
      </c>
      <c r="I14" s="534"/>
      <c r="J14" s="528"/>
      <c r="K14" s="529"/>
      <c r="L14" s="530"/>
      <c r="M14" s="551"/>
      <c r="N14" s="552"/>
      <c r="O14" s="553"/>
      <c r="P14" s="551"/>
      <c r="Q14" s="552"/>
      <c r="R14" s="553"/>
      <c r="S14" s="551"/>
      <c r="T14" s="552"/>
      <c r="U14" s="553"/>
      <c r="V14" s="254"/>
      <c r="W14" s="254"/>
      <c r="X14" s="254"/>
      <c r="Y14" s="354"/>
      <c r="Z14" s="354"/>
      <c r="AA14" s="551"/>
      <c r="AB14" s="552"/>
      <c r="AC14" s="553"/>
      <c r="AD14" s="551"/>
      <c r="AE14" s="552"/>
      <c r="AF14" s="553"/>
      <c r="AG14" s="551"/>
      <c r="AH14" s="552"/>
      <c r="AI14" s="553"/>
      <c r="AJ14" s="551"/>
      <c r="AK14" s="552"/>
      <c r="AL14" s="553"/>
      <c r="AM14" s="228"/>
    </row>
    <row r="15" spans="1:51" ht="15" customHeight="1" thickBot="1" x14ac:dyDescent="0.3">
      <c r="A15" s="296" t="s">
        <v>743</v>
      </c>
      <c r="B15" s="197">
        <v>0</v>
      </c>
      <c r="C15" s="265">
        <v>1</v>
      </c>
      <c r="D15" s="299">
        <f t="shared" si="0"/>
        <v>1</v>
      </c>
      <c r="E15" s="301" t="s">
        <v>743</v>
      </c>
      <c r="F15" s="199">
        <v>98</v>
      </c>
      <c r="G15" s="267">
        <v>22</v>
      </c>
      <c r="H15" s="303">
        <f t="shared" si="1"/>
        <v>120</v>
      </c>
      <c r="I15" s="33" t="s">
        <v>51</v>
      </c>
      <c r="J15" s="3" t="s">
        <v>129</v>
      </c>
      <c r="K15" s="3" t="s">
        <v>27</v>
      </c>
      <c r="L15" s="3" t="s">
        <v>28</v>
      </c>
      <c r="M15" s="7" t="s">
        <v>129</v>
      </c>
      <c r="N15" s="7" t="s">
        <v>27</v>
      </c>
      <c r="O15" s="7" t="s">
        <v>28</v>
      </c>
      <c r="P15" s="7" t="s">
        <v>129</v>
      </c>
      <c r="Q15" s="7" t="s">
        <v>27</v>
      </c>
      <c r="R15" s="7" t="s">
        <v>28</v>
      </c>
      <c r="S15" s="221" t="s">
        <v>129</v>
      </c>
      <c r="T15" s="7" t="s">
        <v>27</v>
      </c>
      <c r="U15" s="7" t="s">
        <v>28</v>
      </c>
      <c r="V15" s="354"/>
      <c r="W15" s="354"/>
      <c r="X15" s="354"/>
      <c r="Y15" s="354"/>
      <c r="Z15" s="354"/>
      <c r="AA15" s="221" t="s">
        <v>129</v>
      </c>
      <c r="AB15" s="7" t="s">
        <v>27</v>
      </c>
      <c r="AC15" s="7" t="s">
        <v>28</v>
      </c>
      <c r="AD15" s="221" t="s">
        <v>129</v>
      </c>
      <c r="AE15" s="7" t="s">
        <v>27</v>
      </c>
      <c r="AF15" s="7" t="s">
        <v>28</v>
      </c>
      <c r="AG15" s="221" t="s">
        <v>129</v>
      </c>
      <c r="AH15" s="7" t="s">
        <v>27</v>
      </c>
      <c r="AI15" s="7" t="s">
        <v>28</v>
      </c>
      <c r="AJ15" s="6" t="s">
        <v>129</v>
      </c>
      <c r="AK15" s="7" t="s">
        <v>27</v>
      </c>
      <c r="AL15" s="7" t="s">
        <v>28</v>
      </c>
      <c r="AM15" s="228"/>
      <c r="AS15" s="255"/>
    </row>
    <row r="16" spans="1:51" ht="15" customHeight="1" thickBot="1" x14ac:dyDescent="0.3">
      <c r="A16" s="296" t="s">
        <v>883</v>
      </c>
      <c r="B16" s="197">
        <v>0</v>
      </c>
      <c r="C16" s="265">
        <v>0</v>
      </c>
      <c r="D16" s="299">
        <f t="shared" si="0"/>
        <v>0</v>
      </c>
      <c r="E16" s="301" t="s">
        <v>883</v>
      </c>
      <c r="F16" s="199">
        <v>0</v>
      </c>
      <c r="G16" s="267">
        <v>0</v>
      </c>
      <c r="H16" s="303">
        <f t="shared" si="1"/>
        <v>0</v>
      </c>
      <c r="I16" s="394" t="s">
        <v>980</v>
      </c>
      <c r="J16" s="299">
        <v>3</v>
      </c>
      <c r="K16" s="299">
        <v>4</v>
      </c>
      <c r="L16" s="299">
        <f>SUM(J16/K16)*100</f>
        <v>75</v>
      </c>
      <c r="M16" s="221" t="s">
        <v>34</v>
      </c>
      <c r="N16" s="7" t="s">
        <v>34</v>
      </c>
      <c r="O16" s="7" t="s">
        <v>34</v>
      </c>
      <c r="P16" s="221" t="s">
        <v>34</v>
      </c>
      <c r="Q16" s="7" t="s">
        <v>34</v>
      </c>
      <c r="R16" s="7" t="s">
        <v>34</v>
      </c>
      <c r="S16" s="221" t="s">
        <v>34</v>
      </c>
      <c r="T16" s="7" t="s">
        <v>34</v>
      </c>
      <c r="U16" s="7" t="s">
        <v>34</v>
      </c>
      <c r="V16" s="408"/>
      <c r="W16" s="408"/>
      <c r="X16" s="408"/>
      <c r="Y16" s="408"/>
      <c r="Z16" s="408"/>
      <c r="AA16" s="221" t="s">
        <v>34</v>
      </c>
      <c r="AB16" s="7" t="s">
        <v>34</v>
      </c>
      <c r="AC16" s="7" t="s">
        <v>34</v>
      </c>
      <c r="AD16" s="221" t="s">
        <v>34</v>
      </c>
      <c r="AE16" s="7" t="s">
        <v>34</v>
      </c>
      <c r="AF16" s="7" t="s">
        <v>34</v>
      </c>
      <c r="AG16" s="221" t="s">
        <v>34</v>
      </c>
      <c r="AH16" s="7" t="s">
        <v>34</v>
      </c>
      <c r="AI16" s="7" t="s">
        <v>34</v>
      </c>
      <c r="AJ16" s="221" t="s">
        <v>34</v>
      </c>
      <c r="AK16" s="7" t="s">
        <v>34</v>
      </c>
      <c r="AL16" s="7" t="s">
        <v>34</v>
      </c>
      <c r="AM16" s="410"/>
      <c r="AN16" s="409"/>
      <c r="AO16" s="409"/>
      <c r="AP16" s="409"/>
      <c r="AQ16" s="409"/>
      <c r="AR16" s="409"/>
      <c r="AS16" s="275"/>
    </row>
    <row r="17" spans="1:44" ht="15" customHeight="1" thickBot="1" x14ac:dyDescent="0.3">
      <c r="A17" s="296" t="s">
        <v>1014</v>
      </c>
      <c r="B17" s="197">
        <v>1</v>
      </c>
      <c r="C17" s="265">
        <v>1</v>
      </c>
      <c r="D17" s="299">
        <f t="shared" si="0"/>
        <v>2</v>
      </c>
      <c r="E17" s="301" t="s">
        <v>1014</v>
      </c>
      <c r="F17" s="199">
        <v>5</v>
      </c>
      <c r="G17" s="267">
        <v>5</v>
      </c>
      <c r="H17" s="303">
        <f t="shared" si="1"/>
        <v>10</v>
      </c>
      <c r="I17" s="296" t="s">
        <v>690</v>
      </c>
      <c r="J17" s="299">
        <v>15</v>
      </c>
      <c r="K17" s="299">
        <v>19</v>
      </c>
      <c r="L17" s="304">
        <f>SUM(J17/K17)*100</f>
        <v>78.94736842105263</v>
      </c>
      <c r="M17" s="7">
        <v>16</v>
      </c>
      <c r="N17" s="7">
        <v>19</v>
      </c>
      <c r="O17" s="232">
        <f>SUM(M17/N17)*100</f>
        <v>84.210526315789465</v>
      </c>
      <c r="P17" s="7">
        <v>17</v>
      </c>
      <c r="Q17" s="7">
        <v>21</v>
      </c>
      <c r="R17" s="232">
        <f>SUM(P17/Q17)*100</f>
        <v>80.952380952380949</v>
      </c>
      <c r="S17" s="221">
        <v>21</v>
      </c>
      <c r="T17" s="7">
        <v>24</v>
      </c>
      <c r="U17" s="232">
        <f>SUM(S17/T17)*100</f>
        <v>87.5</v>
      </c>
      <c r="V17" s="354"/>
      <c r="W17" s="354"/>
      <c r="X17" s="354"/>
      <c r="Y17" s="354"/>
      <c r="Z17" s="354"/>
      <c r="AA17" s="221">
        <v>20</v>
      </c>
      <c r="AB17" s="7">
        <v>25</v>
      </c>
      <c r="AC17" s="232">
        <f>SUM(AA17/AB17)*100</f>
        <v>80</v>
      </c>
      <c r="AD17" s="236">
        <v>15</v>
      </c>
      <c r="AE17" s="237">
        <v>21</v>
      </c>
      <c r="AF17" s="248">
        <f>SUM(AD17/AE17)*100</f>
        <v>71.428571428571431</v>
      </c>
      <c r="AG17" s="274">
        <v>27</v>
      </c>
      <c r="AH17" s="237">
        <v>34</v>
      </c>
      <c r="AI17" s="248">
        <f>SUM(AG17/AH17)*100</f>
        <v>79.411764705882348</v>
      </c>
      <c r="AJ17" s="6">
        <v>27</v>
      </c>
      <c r="AK17" s="231">
        <v>40</v>
      </c>
      <c r="AL17" s="230">
        <f>SUM(AJ17/AK17)*100</f>
        <v>67.5</v>
      </c>
      <c r="AM17" s="256"/>
      <c r="AN17" s="255"/>
      <c r="AO17" s="255"/>
      <c r="AP17" s="255"/>
      <c r="AQ17" s="255"/>
      <c r="AR17" s="255"/>
    </row>
    <row r="18" spans="1:44" ht="15" customHeight="1" thickBot="1" x14ac:dyDescent="0.3">
      <c r="A18" s="296" t="s">
        <v>1077</v>
      </c>
      <c r="B18" s="197">
        <v>2</v>
      </c>
      <c r="C18" s="265">
        <v>0</v>
      </c>
      <c r="D18" s="299">
        <f t="shared" si="0"/>
        <v>2</v>
      </c>
      <c r="E18" s="301" t="s">
        <v>1077</v>
      </c>
      <c r="F18" s="199">
        <v>10</v>
      </c>
      <c r="G18" s="267">
        <v>0</v>
      </c>
      <c r="H18" s="303">
        <f t="shared" si="1"/>
        <v>10</v>
      </c>
      <c r="I18" s="296" t="s">
        <v>199</v>
      </c>
      <c r="J18" s="299" t="s">
        <v>34</v>
      </c>
      <c r="K18" s="299" t="s">
        <v>34</v>
      </c>
      <c r="L18" s="304" t="s">
        <v>34</v>
      </c>
      <c r="M18" s="7">
        <v>11</v>
      </c>
      <c r="N18" s="7">
        <v>16</v>
      </c>
      <c r="O18" s="232">
        <f>SUM(M18/N18)*100</f>
        <v>68.75</v>
      </c>
      <c r="P18" s="7" t="s">
        <v>34</v>
      </c>
      <c r="Q18" s="7" t="s">
        <v>34</v>
      </c>
      <c r="R18" s="7" t="s">
        <v>34</v>
      </c>
      <c r="S18" s="221" t="s">
        <v>34</v>
      </c>
      <c r="T18" s="7" t="s">
        <v>34</v>
      </c>
      <c r="U18" s="7" t="s">
        <v>34</v>
      </c>
      <c r="V18" s="354"/>
      <c r="W18" s="354"/>
      <c r="X18" s="354"/>
      <c r="Y18" s="354"/>
      <c r="Z18" s="354"/>
      <c r="AA18" s="6" t="s">
        <v>34</v>
      </c>
      <c r="AB18" s="7" t="s">
        <v>34</v>
      </c>
      <c r="AC18" s="7" t="s">
        <v>34</v>
      </c>
      <c r="AD18" s="7" t="s">
        <v>34</v>
      </c>
      <c r="AE18" s="7" t="s">
        <v>34</v>
      </c>
      <c r="AF18" s="7" t="s">
        <v>34</v>
      </c>
      <c r="AG18" s="7" t="s">
        <v>34</v>
      </c>
      <c r="AH18" s="7" t="s">
        <v>34</v>
      </c>
      <c r="AI18" s="7" t="s">
        <v>34</v>
      </c>
      <c r="AJ18" s="7" t="s">
        <v>34</v>
      </c>
      <c r="AK18" s="7" t="s">
        <v>34</v>
      </c>
      <c r="AL18" s="7" t="s">
        <v>34</v>
      </c>
      <c r="AM18" s="277"/>
      <c r="AN18" s="275"/>
      <c r="AO18" s="275"/>
      <c r="AP18" s="275"/>
      <c r="AQ18" s="275"/>
      <c r="AR18" s="275"/>
    </row>
    <row r="19" spans="1:44" ht="15" customHeight="1" thickBot="1" x14ac:dyDescent="0.3">
      <c r="A19" s="296" t="s">
        <v>693</v>
      </c>
      <c r="B19" s="197">
        <v>0</v>
      </c>
      <c r="C19" s="265">
        <v>0</v>
      </c>
      <c r="D19" s="299">
        <f t="shared" si="0"/>
        <v>0</v>
      </c>
      <c r="E19" s="301" t="s">
        <v>693</v>
      </c>
      <c r="F19" s="199">
        <v>0</v>
      </c>
      <c r="G19" s="267">
        <v>0</v>
      </c>
      <c r="H19" s="303">
        <f t="shared" si="1"/>
        <v>0</v>
      </c>
      <c r="I19" s="296" t="s">
        <v>743</v>
      </c>
      <c r="J19" s="299">
        <v>7</v>
      </c>
      <c r="K19" s="299">
        <v>10</v>
      </c>
      <c r="L19" s="304">
        <f>SUM(J19/K19)*100</f>
        <v>70</v>
      </c>
      <c r="M19" s="7" t="s">
        <v>34</v>
      </c>
      <c r="N19" s="7" t="s">
        <v>34</v>
      </c>
      <c r="O19" s="7" t="s">
        <v>34</v>
      </c>
      <c r="P19" s="7" t="s">
        <v>34</v>
      </c>
      <c r="Q19" s="7" t="s">
        <v>34</v>
      </c>
      <c r="R19" s="7" t="s">
        <v>34</v>
      </c>
      <c r="S19" s="7" t="s">
        <v>34</v>
      </c>
      <c r="T19" s="7" t="s">
        <v>34</v>
      </c>
      <c r="U19" s="7" t="s">
        <v>34</v>
      </c>
      <c r="V19" s="408"/>
      <c r="W19" s="408"/>
      <c r="X19" s="408"/>
      <c r="Y19" s="408"/>
      <c r="Z19" s="408"/>
      <c r="AA19" s="6" t="s">
        <v>34</v>
      </c>
      <c r="AB19" s="7" t="s">
        <v>34</v>
      </c>
      <c r="AC19" s="7" t="s">
        <v>34</v>
      </c>
      <c r="AD19" s="7" t="s">
        <v>34</v>
      </c>
      <c r="AE19" s="7" t="s">
        <v>34</v>
      </c>
      <c r="AF19" s="7" t="s">
        <v>34</v>
      </c>
      <c r="AG19" s="7" t="s">
        <v>34</v>
      </c>
      <c r="AH19" s="7" t="s">
        <v>34</v>
      </c>
      <c r="AI19" s="7" t="s">
        <v>34</v>
      </c>
      <c r="AJ19" s="7" t="s">
        <v>34</v>
      </c>
      <c r="AK19" s="7" t="s">
        <v>34</v>
      </c>
      <c r="AL19" s="7" t="s">
        <v>34</v>
      </c>
      <c r="AM19" s="410"/>
      <c r="AN19" s="409"/>
      <c r="AO19" s="409"/>
      <c r="AP19" s="409"/>
      <c r="AQ19" s="409"/>
      <c r="AR19" s="409"/>
    </row>
    <row r="20" spans="1:44" ht="15" customHeight="1" thickBot="1" x14ac:dyDescent="0.3">
      <c r="A20" s="296" t="s">
        <v>59</v>
      </c>
      <c r="B20" s="197">
        <v>0</v>
      </c>
      <c r="C20" s="265">
        <v>0</v>
      </c>
      <c r="D20" s="299">
        <f t="shared" si="0"/>
        <v>0</v>
      </c>
      <c r="E20" s="301" t="s">
        <v>59</v>
      </c>
      <c r="F20" s="199">
        <v>0</v>
      </c>
      <c r="G20" s="267">
        <v>0</v>
      </c>
      <c r="H20" s="303">
        <f t="shared" si="1"/>
        <v>0</v>
      </c>
      <c r="I20" s="485" t="s">
        <v>1035</v>
      </c>
      <c r="J20" s="486">
        <v>6</v>
      </c>
      <c r="K20" s="486">
        <v>7</v>
      </c>
      <c r="L20" s="487">
        <f>SUM(J20/K20)*100</f>
        <v>85.714285714285708</v>
      </c>
      <c r="M20" s="7" t="s">
        <v>34</v>
      </c>
      <c r="N20" s="7" t="s">
        <v>34</v>
      </c>
      <c r="O20" s="7" t="s">
        <v>34</v>
      </c>
      <c r="P20" s="7" t="s">
        <v>34</v>
      </c>
      <c r="Q20" s="7" t="s">
        <v>34</v>
      </c>
      <c r="R20" s="7" t="s">
        <v>34</v>
      </c>
      <c r="S20" s="7" t="s">
        <v>34</v>
      </c>
      <c r="T20" s="7" t="s">
        <v>34</v>
      </c>
      <c r="U20" s="7" t="s">
        <v>34</v>
      </c>
      <c r="V20" s="463"/>
      <c r="W20" s="463"/>
      <c r="X20" s="463"/>
      <c r="Y20" s="463"/>
      <c r="Z20" s="463"/>
      <c r="AA20" s="6" t="s">
        <v>34</v>
      </c>
      <c r="AB20" s="7" t="s">
        <v>34</v>
      </c>
      <c r="AC20" s="7" t="s">
        <v>34</v>
      </c>
      <c r="AD20" s="7" t="s">
        <v>34</v>
      </c>
      <c r="AE20" s="7" t="s">
        <v>34</v>
      </c>
      <c r="AF20" s="7" t="s">
        <v>34</v>
      </c>
      <c r="AG20" s="7" t="s">
        <v>34</v>
      </c>
      <c r="AH20" s="7" t="s">
        <v>34</v>
      </c>
      <c r="AI20" s="7" t="s">
        <v>34</v>
      </c>
      <c r="AJ20" s="7" t="s">
        <v>34</v>
      </c>
      <c r="AK20" s="7" t="s">
        <v>34</v>
      </c>
      <c r="AL20" s="7" t="s">
        <v>34</v>
      </c>
      <c r="AM20" s="467"/>
      <c r="AN20" s="464"/>
      <c r="AO20" s="464"/>
      <c r="AP20" s="464"/>
      <c r="AQ20" s="464"/>
      <c r="AR20" s="464"/>
    </row>
    <row r="21" spans="1:44" ht="15" customHeight="1" thickBot="1" x14ac:dyDescent="0.3">
      <c r="A21" s="296" t="s">
        <v>764</v>
      </c>
      <c r="B21" s="197">
        <v>3</v>
      </c>
      <c r="C21" s="265">
        <v>0</v>
      </c>
      <c r="D21" s="299">
        <f t="shared" si="0"/>
        <v>3</v>
      </c>
      <c r="E21" s="301" t="s">
        <v>764</v>
      </c>
      <c r="F21" s="199">
        <v>15</v>
      </c>
      <c r="G21" s="267">
        <v>0</v>
      </c>
      <c r="H21" s="303">
        <f t="shared" si="1"/>
        <v>15</v>
      </c>
      <c r="M21" s="228"/>
      <c r="N21" s="228"/>
      <c r="O21" s="228"/>
      <c r="P21" s="228"/>
      <c r="Q21" s="228"/>
      <c r="R21" s="228"/>
      <c r="S21" s="228"/>
      <c r="T21" s="228"/>
      <c r="U21" s="228"/>
      <c r="V21" s="354"/>
      <c r="W21" s="354"/>
      <c r="X21" s="354"/>
      <c r="Y21" s="354"/>
      <c r="Z21" s="354"/>
      <c r="AA21" s="310"/>
      <c r="AB21" s="310"/>
      <c r="AC21" s="310"/>
      <c r="AD21" s="228"/>
      <c r="AE21" s="228"/>
      <c r="AF21" s="228"/>
      <c r="AG21" s="228"/>
      <c r="AH21" s="228"/>
      <c r="AI21" s="228"/>
      <c r="AJ21" s="228"/>
    </row>
    <row r="22" spans="1:44" ht="15" customHeight="1" thickBot="1" x14ac:dyDescent="0.3">
      <c r="A22" s="296" t="s">
        <v>1055</v>
      </c>
      <c r="B22" s="197">
        <v>1</v>
      </c>
      <c r="C22" s="265">
        <v>0</v>
      </c>
      <c r="D22" s="299">
        <f>SUM(B22:C22)</f>
        <v>1</v>
      </c>
      <c r="E22" s="301" t="s">
        <v>1055</v>
      </c>
      <c r="F22" s="199">
        <v>5</v>
      </c>
      <c r="G22" s="267">
        <v>0</v>
      </c>
      <c r="H22" s="303">
        <f>SUM(F22:G22)</f>
        <v>5</v>
      </c>
      <c r="I22" s="515" t="s">
        <v>218</v>
      </c>
      <c r="J22" s="543" t="s">
        <v>836</v>
      </c>
      <c r="K22" s="549"/>
      <c r="L22" s="550"/>
      <c r="M22" s="543" t="s">
        <v>816</v>
      </c>
      <c r="N22" s="549"/>
      <c r="O22" s="550"/>
      <c r="P22" s="543" t="s">
        <v>574</v>
      </c>
      <c r="Q22" s="549"/>
      <c r="R22" s="550"/>
      <c r="S22" s="543" t="s">
        <v>217</v>
      </c>
      <c r="T22" s="549"/>
      <c r="U22" s="550"/>
      <c r="V22" s="354"/>
      <c r="W22" s="354"/>
      <c r="X22" s="354"/>
      <c r="Y22" s="354"/>
      <c r="Z22" s="354"/>
      <c r="AA22" s="543" t="s">
        <v>137</v>
      </c>
      <c r="AB22" s="549"/>
      <c r="AC22" s="550"/>
      <c r="AD22" s="543" t="s">
        <v>101</v>
      </c>
      <c r="AE22" s="549"/>
      <c r="AF22" s="550"/>
      <c r="AG22" s="228"/>
      <c r="AH22" s="228"/>
      <c r="AI22" s="228"/>
      <c r="AJ22" s="228"/>
    </row>
    <row r="23" spans="1:44" ht="15" customHeight="1" thickBot="1" x14ac:dyDescent="0.3">
      <c r="A23" s="296" t="s">
        <v>1035</v>
      </c>
      <c r="B23" s="197">
        <v>0</v>
      </c>
      <c r="C23" s="265">
        <v>0</v>
      </c>
      <c r="D23" s="299">
        <f t="shared" si="0"/>
        <v>0</v>
      </c>
      <c r="E23" s="301" t="s">
        <v>1035</v>
      </c>
      <c r="F23" s="199">
        <v>37</v>
      </c>
      <c r="G23" s="267">
        <v>14</v>
      </c>
      <c r="H23" s="303">
        <f t="shared" si="1"/>
        <v>51</v>
      </c>
      <c r="I23" s="516"/>
      <c r="J23" s="551"/>
      <c r="K23" s="552"/>
      <c r="L23" s="553"/>
      <c r="M23" s="551"/>
      <c r="N23" s="552"/>
      <c r="O23" s="553"/>
      <c r="P23" s="551"/>
      <c r="Q23" s="552"/>
      <c r="R23" s="553"/>
      <c r="S23" s="551"/>
      <c r="T23" s="552"/>
      <c r="U23" s="553"/>
      <c r="V23" s="354"/>
      <c r="W23" s="354"/>
      <c r="X23" s="354"/>
      <c r="Y23" s="354"/>
      <c r="Z23" s="354"/>
      <c r="AA23" s="551"/>
      <c r="AB23" s="552"/>
      <c r="AC23" s="553"/>
      <c r="AD23" s="551"/>
      <c r="AE23" s="552"/>
      <c r="AF23" s="553"/>
      <c r="AG23" s="228"/>
      <c r="AH23" s="228"/>
      <c r="AI23" s="228"/>
      <c r="AJ23" s="228"/>
    </row>
    <row r="24" spans="1:44" ht="15" customHeight="1" thickBot="1" x14ac:dyDescent="0.3">
      <c r="A24" s="296" t="s">
        <v>1016</v>
      </c>
      <c r="B24" s="197">
        <v>1</v>
      </c>
      <c r="C24" s="265">
        <v>1</v>
      </c>
      <c r="D24" s="299">
        <f t="shared" si="0"/>
        <v>2</v>
      </c>
      <c r="E24" s="301" t="s">
        <v>1016</v>
      </c>
      <c r="F24" s="199">
        <v>5</v>
      </c>
      <c r="G24" s="267">
        <v>5</v>
      </c>
      <c r="H24" s="303">
        <f t="shared" si="1"/>
        <v>10</v>
      </c>
      <c r="I24" s="33" t="s">
        <v>51</v>
      </c>
      <c r="J24" s="7" t="s">
        <v>129</v>
      </c>
      <c r="K24" s="7" t="s">
        <v>27</v>
      </c>
      <c r="L24" s="7" t="s">
        <v>28</v>
      </c>
      <c r="M24" s="7" t="s">
        <v>129</v>
      </c>
      <c r="N24" s="7" t="s">
        <v>27</v>
      </c>
      <c r="O24" s="7" t="s">
        <v>28</v>
      </c>
      <c r="P24" s="7" t="s">
        <v>129</v>
      </c>
      <c r="Q24" s="7" t="s">
        <v>27</v>
      </c>
      <c r="R24" s="7" t="s">
        <v>28</v>
      </c>
      <c r="S24" s="221" t="s">
        <v>129</v>
      </c>
      <c r="T24" s="7" t="s">
        <v>27</v>
      </c>
      <c r="U24" s="7" t="s">
        <v>28</v>
      </c>
      <c r="V24" s="354"/>
      <c r="W24" s="354"/>
      <c r="X24" s="354"/>
      <c r="Y24" s="354"/>
      <c r="Z24" s="354"/>
      <c r="AA24" s="221" t="s">
        <v>129</v>
      </c>
      <c r="AB24" s="7" t="s">
        <v>27</v>
      </c>
      <c r="AC24" s="7" t="s">
        <v>28</v>
      </c>
      <c r="AD24" s="221" t="s">
        <v>129</v>
      </c>
      <c r="AE24" s="7" t="s">
        <v>27</v>
      </c>
      <c r="AF24" s="7" t="s">
        <v>28</v>
      </c>
      <c r="AG24" s="228"/>
      <c r="AH24" s="228"/>
      <c r="AI24" s="228"/>
      <c r="AJ24" s="228"/>
    </row>
    <row r="25" spans="1:44" ht="15" customHeight="1" thickBot="1" x14ac:dyDescent="0.3">
      <c r="A25" s="296" t="s">
        <v>1046</v>
      </c>
      <c r="B25" s="197">
        <v>5</v>
      </c>
      <c r="C25" s="265">
        <v>0</v>
      </c>
      <c r="D25" s="299">
        <f t="shared" si="0"/>
        <v>5</v>
      </c>
      <c r="E25" s="301" t="s">
        <v>1046</v>
      </c>
      <c r="F25" s="199">
        <v>25</v>
      </c>
      <c r="G25" s="267">
        <v>0</v>
      </c>
      <c r="H25" s="303">
        <f t="shared" si="1"/>
        <v>25</v>
      </c>
      <c r="I25" s="296" t="s">
        <v>690</v>
      </c>
      <c r="J25" s="7" t="s">
        <v>34</v>
      </c>
      <c r="K25" s="7" t="s">
        <v>34</v>
      </c>
      <c r="L25" s="7" t="s">
        <v>34</v>
      </c>
      <c r="M25" s="7" t="s">
        <v>34</v>
      </c>
      <c r="N25" s="7" t="s">
        <v>34</v>
      </c>
      <c r="O25" s="7" t="s">
        <v>34</v>
      </c>
      <c r="P25" s="7" t="s">
        <v>34</v>
      </c>
      <c r="Q25" s="7" t="s">
        <v>34</v>
      </c>
      <c r="R25" s="7" t="s">
        <v>34</v>
      </c>
      <c r="S25" s="221" t="s">
        <v>34</v>
      </c>
      <c r="T25" s="7" t="s">
        <v>34</v>
      </c>
      <c r="U25" s="7" t="s">
        <v>34</v>
      </c>
      <c r="V25" s="354"/>
      <c r="W25" s="354"/>
      <c r="X25" s="354"/>
      <c r="Y25" s="354"/>
      <c r="Z25" s="354"/>
      <c r="AA25" s="221" t="s">
        <v>34</v>
      </c>
      <c r="AB25" s="7" t="s">
        <v>34</v>
      </c>
      <c r="AC25" s="7" t="s">
        <v>34</v>
      </c>
      <c r="AD25" s="236">
        <v>5</v>
      </c>
      <c r="AE25" s="237">
        <v>5</v>
      </c>
      <c r="AF25" s="248">
        <f>SUM(AD25/AE25)*100</f>
        <v>100</v>
      </c>
      <c r="AG25" s="228"/>
      <c r="AH25" s="228"/>
      <c r="AI25" s="228"/>
      <c r="AJ25" s="228"/>
    </row>
    <row r="26" spans="1:44" ht="15" customHeight="1" thickBot="1" x14ac:dyDescent="0.3">
      <c r="A26" s="296" t="s">
        <v>1088</v>
      </c>
      <c r="B26" s="197">
        <v>1</v>
      </c>
      <c r="C26" s="265">
        <v>2</v>
      </c>
      <c r="D26" s="299">
        <f t="shared" si="0"/>
        <v>3</v>
      </c>
      <c r="E26" s="301" t="s">
        <v>1088</v>
      </c>
      <c r="F26" s="199">
        <v>5</v>
      </c>
      <c r="G26" s="267">
        <v>10</v>
      </c>
      <c r="H26" s="303">
        <f t="shared" si="1"/>
        <v>15</v>
      </c>
      <c r="I26" s="296" t="s">
        <v>154</v>
      </c>
      <c r="J26" s="7">
        <v>0</v>
      </c>
      <c r="K26" s="7">
        <v>1</v>
      </c>
      <c r="L26" s="232">
        <f>(J26/K26)*100</f>
        <v>0</v>
      </c>
      <c r="M26" s="7" t="s">
        <v>34</v>
      </c>
      <c r="N26" s="7" t="s">
        <v>34</v>
      </c>
      <c r="O26" s="7" t="s">
        <v>34</v>
      </c>
      <c r="P26" s="7">
        <v>4</v>
      </c>
      <c r="Q26" s="7">
        <v>4</v>
      </c>
      <c r="R26" s="232">
        <f>SUM(P26/Q26)*100</f>
        <v>100</v>
      </c>
      <c r="S26" s="221">
        <v>1</v>
      </c>
      <c r="T26" s="7">
        <v>3</v>
      </c>
      <c r="U26" s="232">
        <f>SUM(S26/T26)*100</f>
        <v>33.333333333333329</v>
      </c>
      <c r="V26" s="354"/>
      <c r="W26" s="354"/>
      <c r="X26" s="354"/>
      <c r="Y26" s="354"/>
      <c r="Z26" s="354"/>
      <c r="AA26" s="221" t="s">
        <v>34</v>
      </c>
      <c r="AB26" s="7" t="s">
        <v>34</v>
      </c>
      <c r="AC26" s="7" t="s">
        <v>34</v>
      </c>
      <c r="AD26" s="221" t="s">
        <v>34</v>
      </c>
      <c r="AE26" s="7" t="s">
        <v>34</v>
      </c>
      <c r="AF26" s="7" t="s">
        <v>34</v>
      </c>
      <c r="AG26" s="228"/>
      <c r="AH26" s="228"/>
      <c r="AI26" s="228"/>
      <c r="AJ26" s="228"/>
    </row>
    <row r="27" spans="1:44" ht="15" customHeight="1" thickBot="1" x14ac:dyDescent="0.3">
      <c r="A27" s="296" t="s">
        <v>784</v>
      </c>
      <c r="B27" s="197">
        <v>3</v>
      </c>
      <c r="C27" s="265">
        <v>1</v>
      </c>
      <c r="D27" s="299">
        <f t="shared" si="0"/>
        <v>4</v>
      </c>
      <c r="E27" s="301" t="s">
        <v>784</v>
      </c>
      <c r="F27" s="199">
        <v>15</v>
      </c>
      <c r="G27" s="267">
        <v>5</v>
      </c>
      <c r="H27" s="303">
        <f t="shared" si="1"/>
        <v>20</v>
      </c>
      <c r="I27" s="296" t="s">
        <v>199</v>
      </c>
      <c r="J27" s="7">
        <v>8</v>
      </c>
      <c r="K27" s="7">
        <v>9</v>
      </c>
      <c r="L27" s="232">
        <f>(J27/K27)*100</f>
        <v>88.888888888888886</v>
      </c>
      <c r="M27" s="7">
        <v>5</v>
      </c>
      <c r="N27" s="7">
        <v>7</v>
      </c>
      <c r="O27" s="232">
        <f>SUM(M27/N27)*100</f>
        <v>71.428571428571431</v>
      </c>
      <c r="P27" s="7">
        <v>5</v>
      </c>
      <c r="Q27" s="7">
        <v>5</v>
      </c>
      <c r="R27" s="232">
        <f>SUM(P27/Q27)*100</f>
        <v>100</v>
      </c>
      <c r="S27" s="221" t="s">
        <v>34</v>
      </c>
      <c r="T27" s="7" t="s">
        <v>34</v>
      </c>
      <c r="U27" s="7" t="s">
        <v>34</v>
      </c>
      <c r="V27" s="354"/>
      <c r="W27" s="354"/>
      <c r="X27" s="354"/>
      <c r="Y27" s="354"/>
      <c r="Z27" s="354"/>
      <c r="AA27" s="221" t="s">
        <v>34</v>
      </c>
      <c r="AB27" s="7" t="s">
        <v>34</v>
      </c>
      <c r="AC27" s="7" t="s">
        <v>34</v>
      </c>
      <c r="AD27" s="221" t="s">
        <v>34</v>
      </c>
      <c r="AE27" s="7" t="s">
        <v>34</v>
      </c>
      <c r="AF27" s="7" t="s">
        <v>34</v>
      </c>
      <c r="AG27" s="228"/>
      <c r="AH27" s="228"/>
      <c r="AI27" s="228"/>
      <c r="AJ27" s="228"/>
    </row>
    <row r="28" spans="1:44" ht="15" customHeight="1" thickBot="1" x14ac:dyDescent="0.3">
      <c r="A28" s="296" t="s">
        <v>522</v>
      </c>
      <c r="B28" s="197">
        <v>0</v>
      </c>
      <c r="C28" s="265">
        <v>0</v>
      </c>
      <c r="D28" s="299">
        <f t="shared" si="0"/>
        <v>0</v>
      </c>
      <c r="E28" s="301" t="s">
        <v>522</v>
      </c>
      <c r="F28" s="199">
        <v>0</v>
      </c>
      <c r="G28" s="267">
        <v>0</v>
      </c>
      <c r="H28" s="303">
        <f t="shared" si="1"/>
        <v>0</v>
      </c>
      <c r="I28" s="155" t="s">
        <v>887</v>
      </c>
    </row>
    <row r="29" spans="1:44" ht="15" customHeight="1" thickBot="1" x14ac:dyDescent="0.3">
      <c r="A29" s="296" t="s">
        <v>958</v>
      </c>
      <c r="B29" s="197">
        <v>0</v>
      </c>
      <c r="C29" s="265">
        <v>2</v>
      </c>
      <c r="D29" s="299">
        <f t="shared" si="0"/>
        <v>2</v>
      </c>
      <c r="E29" s="301" t="s">
        <v>958</v>
      </c>
      <c r="F29" s="199">
        <v>0</v>
      </c>
      <c r="G29" s="267">
        <v>10</v>
      </c>
      <c r="H29" s="303">
        <f t="shared" si="1"/>
        <v>10</v>
      </c>
      <c r="I29" s="537" t="s">
        <v>888</v>
      </c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77"/>
      <c r="AN29" s="577"/>
      <c r="AO29" s="577"/>
    </row>
    <row r="30" spans="1:44" ht="15" customHeight="1" thickBot="1" x14ac:dyDescent="0.3">
      <c r="A30" s="296" t="s">
        <v>758</v>
      </c>
      <c r="B30" s="197">
        <v>0</v>
      </c>
      <c r="C30" s="265">
        <v>2</v>
      </c>
      <c r="D30" s="299">
        <f t="shared" si="0"/>
        <v>2</v>
      </c>
      <c r="E30" s="301" t="s">
        <v>758</v>
      </c>
      <c r="F30" s="199">
        <v>0</v>
      </c>
      <c r="G30" s="267">
        <v>10</v>
      </c>
      <c r="H30" s="303">
        <f t="shared" si="1"/>
        <v>10</v>
      </c>
      <c r="I30" s="537" t="s">
        <v>51</v>
      </c>
      <c r="J30" s="536"/>
      <c r="K30" s="536"/>
      <c r="L30" s="536"/>
      <c r="M30" s="536"/>
      <c r="N30" s="536"/>
      <c r="O30" s="536"/>
      <c r="P30" s="536"/>
      <c r="Q30" s="536"/>
      <c r="R30" s="536"/>
      <c r="S30" s="536"/>
      <c r="T30" s="536"/>
      <c r="U30" s="536"/>
    </row>
    <row r="31" spans="1:44" ht="15" customHeight="1" thickBot="1" x14ac:dyDescent="0.3">
      <c r="A31" s="296" t="s">
        <v>6</v>
      </c>
      <c r="B31" s="197">
        <v>1</v>
      </c>
      <c r="C31" s="265">
        <v>2</v>
      </c>
      <c r="D31" s="299">
        <f t="shared" si="0"/>
        <v>3</v>
      </c>
      <c r="E31" s="301" t="s">
        <v>6</v>
      </c>
      <c r="F31" s="199">
        <v>7</v>
      </c>
      <c r="G31" s="267">
        <v>14</v>
      </c>
      <c r="H31" s="303">
        <f t="shared" si="1"/>
        <v>21</v>
      </c>
    </row>
    <row r="32" spans="1:44" ht="15" customHeight="1" thickBot="1" x14ac:dyDescent="0.3">
      <c r="A32" s="296" t="s">
        <v>207</v>
      </c>
      <c r="B32" s="197">
        <v>2</v>
      </c>
      <c r="C32" s="265">
        <v>1</v>
      </c>
      <c r="D32" s="299">
        <f t="shared" si="0"/>
        <v>3</v>
      </c>
      <c r="E32" s="301" t="s">
        <v>207</v>
      </c>
      <c r="F32" s="199">
        <v>10</v>
      </c>
      <c r="G32" s="267">
        <v>5</v>
      </c>
      <c r="H32" s="303">
        <f t="shared" si="1"/>
        <v>15</v>
      </c>
    </row>
    <row r="33" spans="1:8" ht="15" customHeight="1" thickBot="1" x14ac:dyDescent="0.3">
      <c r="A33" s="296" t="s">
        <v>788</v>
      </c>
      <c r="B33" s="197">
        <v>3</v>
      </c>
      <c r="C33" s="265">
        <v>0</v>
      </c>
      <c r="D33" s="299">
        <f t="shared" si="0"/>
        <v>3</v>
      </c>
      <c r="E33" s="301" t="s">
        <v>788</v>
      </c>
      <c r="F33" s="199">
        <v>15</v>
      </c>
      <c r="G33" s="267">
        <v>0</v>
      </c>
      <c r="H33" s="303">
        <f t="shared" si="1"/>
        <v>15</v>
      </c>
    </row>
    <row r="34" spans="1:8" ht="15" customHeight="1" thickBot="1" x14ac:dyDescent="0.3">
      <c r="A34" s="296" t="s">
        <v>209</v>
      </c>
      <c r="B34" s="197">
        <v>0</v>
      </c>
      <c r="C34" s="265">
        <v>0</v>
      </c>
      <c r="D34" s="299">
        <f t="shared" si="0"/>
        <v>0</v>
      </c>
      <c r="E34" s="301" t="s">
        <v>209</v>
      </c>
      <c r="F34" s="199">
        <v>0</v>
      </c>
      <c r="G34" s="267">
        <v>0</v>
      </c>
      <c r="H34" s="303">
        <f t="shared" si="1"/>
        <v>0</v>
      </c>
    </row>
    <row r="35" spans="1:8" ht="15" customHeight="1" thickBot="1" x14ac:dyDescent="0.3">
      <c r="A35" s="296" t="s">
        <v>691</v>
      </c>
      <c r="B35" s="197">
        <v>1</v>
      </c>
      <c r="C35" s="265">
        <v>0</v>
      </c>
      <c r="D35" s="299">
        <f t="shared" si="0"/>
        <v>1</v>
      </c>
      <c r="E35" s="301" t="s">
        <v>691</v>
      </c>
      <c r="F35" s="199">
        <v>5</v>
      </c>
      <c r="G35" s="267">
        <v>0</v>
      </c>
      <c r="H35" s="303">
        <f t="shared" si="1"/>
        <v>5</v>
      </c>
    </row>
    <row r="36" spans="1:8" ht="15" customHeight="1" thickBot="1" x14ac:dyDescent="0.3">
      <c r="A36" s="296" t="s">
        <v>698</v>
      </c>
      <c r="B36" s="197">
        <v>0</v>
      </c>
      <c r="C36" s="265">
        <v>0</v>
      </c>
      <c r="D36" s="299">
        <f t="shared" si="0"/>
        <v>0</v>
      </c>
      <c r="E36" s="301" t="s">
        <v>698</v>
      </c>
      <c r="F36" s="199">
        <v>0</v>
      </c>
      <c r="G36" s="267">
        <v>0</v>
      </c>
      <c r="H36" s="303">
        <f t="shared" si="1"/>
        <v>0</v>
      </c>
    </row>
    <row r="37" spans="1:8" ht="15" customHeight="1" thickBot="1" x14ac:dyDescent="0.3">
      <c r="A37" s="296" t="s">
        <v>885</v>
      </c>
      <c r="B37" s="197">
        <v>0</v>
      </c>
      <c r="C37" s="265">
        <v>0</v>
      </c>
      <c r="D37" s="299">
        <f t="shared" si="0"/>
        <v>0</v>
      </c>
      <c r="E37" s="301" t="s">
        <v>885</v>
      </c>
      <c r="F37" s="199">
        <v>0</v>
      </c>
      <c r="G37" s="267">
        <v>0</v>
      </c>
      <c r="H37" s="303">
        <f t="shared" si="1"/>
        <v>0</v>
      </c>
    </row>
    <row r="38" spans="1:8" ht="15" customHeight="1" thickBot="1" x14ac:dyDescent="0.3">
      <c r="A38" s="296" t="s">
        <v>1054</v>
      </c>
      <c r="B38" s="197">
        <v>2</v>
      </c>
      <c r="C38" s="265">
        <v>0</v>
      </c>
      <c r="D38" s="299">
        <f>SUM(B38:C38)</f>
        <v>2</v>
      </c>
      <c r="E38" s="301" t="s">
        <v>1054</v>
      </c>
      <c r="F38" s="199">
        <v>10</v>
      </c>
      <c r="G38" s="267">
        <v>0</v>
      </c>
      <c r="H38" s="303">
        <f>SUM(F38:G38)</f>
        <v>10</v>
      </c>
    </row>
    <row r="39" spans="1:8" ht="15" customHeight="1" thickBot="1" x14ac:dyDescent="0.3">
      <c r="A39" s="296" t="s">
        <v>176</v>
      </c>
      <c r="B39" s="197">
        <v>2</v>
      </c>
      <c r="C39" s="265">
        <v>0</v>
      </c>
      <c r="D39" s="299">
        <f t="shared" si="0"/>
        <v>2</v>
      </c>
      <c r="E39" s="301" t="s">
        <v>176</v>
      </c>
      <c r="F39" s="199">
        <v>10</v>
      </c>
      <c r="G39" s="267">
        <v>0</v>
      </c>
      <c r="H39" s="303">
        <f t="shared" si="1"/>
        <v>10</v>
      </c>
    </row>
    <row r="40" spans="1:8" ht="15" customHeight="1" thickBot="1" x14ac:dyDescent="0.3">
      <c r="A40" s="296" t="s">
        <v>742</v>
      </c>
      <c r="B40" s="197">
        <v>0</v>
      </c>
      <c r="C40" s="265">
        <v>0</v>
      </c>
      <c r="D40" s="299">
        <f t="shared" si="0"/>
        <v>0</v>
      </c>
      <c r="E40" s="301" t="s">
        <v>742</v>
      </c>
      <c r="F40" s="199">
        <v>0</v>
      </c>
      <c r="G40" s="267">
        <v>0</v>
      </c>
      <c r="H40" s="303">
        <f t="shared" si="1"/>
        <v>0</v>
      </c>
    </row>
    <row r="41" spans="1:8" ht="15" customHeight="1" thickBot="1" x14ac:dyDescent="0.3">
      <c r="A41" s="296" t="s">
        <v>523</v>
      </c>
      <c r="B41" s="197">
        <v>2</v>
      </c>
      <c r="C41" s="265">
        <v>2</v>
      </c>
      <c r="D41" s="299">
        <f t="shared" si="0"/>
        <v>4</v>
      </c>
      <c r="E41" s="301" t="s">
        <v>523</v>
      </c>
      <c r="F41" s="199">
        <v>10</v>
      </c>
      <c r="G41" s="267">
        <v>10</v>
      </c>
      <c r="H41" s="303">
        <f t="shared" si="1"/>
        <v>20</v>
      </c>
    </row>
    <row r="42" spans="1:8" ht="15" customHeight="1" thickBot="1" x14ac:dyDescent="0.3">
      <c r="A42" s="296" t="s">
        <v>198</v>
      </c>
      <c r="B42" s="197">
        <v>0</v>
      </c>
      <c r="C42" s="265">
        <v>0</v>
      </c>
      <c r="D42" s="299">
        <f t="shared" si="0"/>
        <v>0</v>
      </c>
      <c r="E42" s="301" t="s">
        <v>198</v>
      </c>
      <c r="F42" s="199">
        <v>0</v>
      </c>
      <c r="G42" s="267">
        <v>0</v>
      </c>
      <c r="H42" s="303">
        <f t="shared" si="1"/>
        <v>0</v>
      </c>
    </row>
    <row r="43" spans="1:8" ht="15" customHeight="1" thickBot="1" x14ac:dyDescent="0.3">
      <c r="A43" s="296" t="s">
        <v>953</v>
      </c>
      <c r="B43" s="197">
        <v>3</v>
      </c>
      <c r="C43" s="265">
        <v>3</v>
      </c>
      <c r="D43" s="299">
        <f t="shared" si="0"/>
        <v>6</v>
      </c>
      <c r="E43" s="301" t="s">
        <v>953</v>
      </c>
      <c r="F43" s="199">
        <v>15</v>
      </c>
      <c r="G43" s="267">
        <v>15</v>
      </c>
      <c r="H43" s="303">
        <f t="shared" si="1"/>
        <v>30</v>
      </c>
    </row>
    <row r="44" spans="1:8" ht="15" customHeight="1" thickBot="1" x14ac:dyDescent="0.3">
      <c r="A44" s="296" t="s">
        <v>977</v>
      </c>
      <c r="B44" s="197">
        <v>1</v>
      </c>
      <c r="C44" s="265">
        <v>0</v>
      </c>
      <c r="D44" s="299">
        <f t="shared" si="0"/>
        <v>1</v>
      </c>
      <c r="E44" s="301" t="s">
        <v>977</v>
      </c>
      <c r="F44" s="199">
        <v>5</v>
      </c>
      <c r="G44" s="267">
        <v>0</v>
      </c>
      <c r="H44" s="303">
        <f t="shared" si="1"/>
        <v>5</v>
      </c>
    </row>
    <row r="45" spans="1:8" ht="15" customHeight="1" thickBot="1" x14ac:dyDescent="0.3">
      <c r="A45" s="296" t="s">
        <v>7</v>
      </c>
      <c r="B45" s="197">
        <v>0</v>
      </c>
      <c r="C45" s="265">
        <v>0</v>
      </c>
      <c r="D45" s="299">
        <f t="shared" si="0"/>
        <v>0</v>
      </c>
      <c r="E45" s="301" t="s">
        <v>7</v>
      </c>
      <c r="F45" s="199">
        <v>0</v>
      </c>
      <c r="G45" s="267">
        <v>0</v>
      </c>
      <c r="H45" s="303">
        <f t="shared" si="1"/>
        <v>0</v>
      </c>
    </row>
    <row r="46" spans="1:8" ht="15.75" thickBot="1" x14ac:dyDescent="0.3">
      <c r="A46" s="296" t="s">
        <v>154</v>
      </c>
      <c r="B46" s="197">
        <v>0</v>
      </c>
      <c r="C46" s="265">
        <v>0</v>
      </c>
      <c r="D46" s="299">
        <f t="shared" si="0"/>
        <v>0</v>
      </c>
      <c r="E46" s="301" t="s">
        <v>154</v>
      </c>
      <c r="F46" s="199">
        <v>0</v>
      </c>
      <c r="G46" s="267">
        <v>0</v>
      </c>
      <c r="H46" s="303">
        <f t="shared" si="1"/>
        <v>0</v>
      </c>
    </row>
    <row r="47" spans="1:8" ht="15.75" thickBot="1" x14ac:dyDescent="0.3">
      <c r="A47" s="296" t="s">
        <v>21</v>
      </c>
      <c r="B47" s="197">
        <v>0</v>
      </c>
      <c r="C47" s="265">
        <v>1</v>
      </c>
      <c r="D47" s="299">
        <f t="shared" si="0"/>
        <v>1</v>
      </c>
      <c r="E47" s="301" t="s">
        <v>21</v>
      </c>
      <c r="F47" s="199">
        <v>0</v>
      </c>
      <c r="G47" s="267">
        <v>5</v>
      </c>
      <c r="H47" s="303">
        <f t="shared" si="1"/>
        <v>5</v>
      </c>
    </row>
    <row r="48" spans="1:8" ht="15.75" thickBot="1" x14ac:dyDescent="0.3">
      <c r="A48" s="296" t="s">
        <v>39</v>
      </c>
      <c r="B48" s="197">
        <v>4</v>
      </c>
      <c r="C48" s="265">
        <v>1</v>
      </c>
      <c r="D48" s="299">
        <f t="shared" si="0"/>
        <v>5</v>
      </c>
      <c r="E48" s="301" t="s">
        <v>39</v>
      </c>
      <c r="F48" s="199">
        <v>20</v>
      </c>
      <c r="G48" s="267">
        <v>5</v>
      </c>
      <c r="H48" s="303">
        <f t="shared" si="1"/>
        <v>25</v>
      </c>
    </row>
    <row r="49" spans="1:8" ht="15.75" thickBot="1" x14ac:dyDescent="0.3">
      <c r="A49" s="296" t="s">
        <v>3</v>
      </c>
      <c r="B49" s="197">
        <f>SUM(B3:B48)</f>
        <v>51</v>
      </c>
      <c r="C49" s="265">
        <f>SUM(C3:C48)</f>
        <v>24</v>
      </c>
      <c r="D49" s="299">
        <f t="shared" si="0"/>
        <v>75</v>
      </c>
      <c r="E49" s="301" t="s">
        <v>3</v>
      </c>
      <c r="F49" s="199">
        <f>SUM(F3:F48)</f>
        <v>478</v>
      </c>
      <c r="G49" s="267">
        <f>SUM(G3:G48)</f>
        <v>204</v>
      </c>
      <c r="H49" s="303">
        <f t="shared" si="1"/>
        <v>682</v>
      </c>
    </row>
    <row r="50" spans="1:8" x14ac:dyDescent="0.25">
      <c r="B50" s="182"/>
      <c r="E50" s="41"/>
      <c r="F50" s="185"/>
      <c r="G50" s="41"/>
      <c r="H50" s="41"/>
    </row>
    <row r="51" spans="1:8" ht="15.75" thickBot="1" x14ac:dyDescent="0.3">
      <c r="A51" t="s">
        <v>30</v>
      </c>
      <c r="B51" s="182"/>
      <c r="E51" s="38"/>
      <c r="F51" s="184"/>
      <c r="G51" s="38"/>
      <c r="H51" s="38"/>
    </row>
    <row r="52" spans="1:8" ht="15.75" thickBot="1" x14ac:dyDescent="0.3">
      <c r="A52" s="295" t="s">
        <v>0</v>
      </c>
      <c r="B52" s="196" t="s">
        <v>815</v>
      </c>
      <c r="C52" s="264" t="s">
        <v>73</v>
      </c>
      <c r="D52" s="297" t="s">
        <v>1</v>
      </c>
      <c r="E52" s="298" t="s">
        <v>2</v>
      </c>
      <c r="F52" s="198" t="s">
        <v>815</v>
      </c>
      <c r="G52" s="266" t="s">
        <v>73</v>
      </c>
      <c r="H52" s="302" t="s">
        <v>1</v>
      </c>
    </row>
    <row r="53" spans="1:8" ht="15.75" thickBot="1" x14ac:dyDescent="0.3">
      <c r="A53" s="296" t="s">
        <v>953</v>
      </c>
      <c r="B53" s="197">
        <v>3</v>
      </c>
      <c r="C53" s="265">
        <v>3</v>
      </c>
      <c r="D53" s="299">
        <f t="shared" ref="D53:D98" si="2">SUM(B53:C53)</f>
        <v>6</v>
      </c>
      <c r="E53" s="300" t="s">
        <v>743</v>
      </c>
      <c r="F53" s="199">
        <v>98</v>
      </c>
      <c r="G53" s="267">
        <v>22</v>
      </c>
      <c r="H53" s="303">
        <f t="shared" ref="H53:H98" si="3">SUM(F53:G53)</f>
        <v>120</v>
      </c>
    </row>
    <row r="54" spans="1:8" ht="15.75" thickBot="1" x14ac:dyDescent="0.3">
      <c r="A54" s="296" t="s">
        <v>974</v>
      </c>
      <c r="B54" s="197">
        <v>3</v>
      </c>
      <c r="C54" s="265">
        <v>2</v>
      </c>
      <c r="D54" s="299">
        <f t="shared" si="2"/>
        <v>5</v>
      </c>
      <c r="E54" s="300" t="s">
        <v>689</v>
      </c>
      <c r="F54" s="199">
        <v>72</v>
      </c>
      <c r="G54" s="267">
        <v>40</v>
      </c>
      <c r="H54" s="303">
        <f t="shared" si="3"/>
        <v>112</v>
      </c>
    </row>
    <row r="55" spans="1:8" ht="15.75" thickBot="1" x14ac:dyDescent="0.3">
      <c r="A55" s="296" t="s">
        <v>142</v>
      </c>
      <c r="B55" s="197">
        <v>4</v>
      </c>
      <c r="C55" s="265">
        <v>1</v>
      </c>
      <c r="D55" s="299">
        <f t="shared" si="2"/>
        <v>5</v>
      </c>
      <c r="E55" s="300" t="s">
        <v>1035</v>
      </c>
      <c r="F55" s="199">
        <v>37</v>
      </c>
      <c r="G55" s="267">
        <v>14</v>
      </c>
      <c r="H55" s="303">
        <f t="shared" si="3"/>
        <v>51</v>
      </c>
    </row>
    <row r="56" spans="1:8" ht="15.75" thickBot="1" x14ac:dyDescent="0.3">
      <c r="A56" s="296" t="s">
        <v>1046</v>
      </c>
      <c r="B56" s="197">
        <v>5</v>
      </c>
      <c r="C56" s="265">
        <v>0</v>
      </c>
      <c r="D56" s="299">
        <f t="shared" si="2"/>
        <v>5</v>
      </c>
      <c r="E56" s="300" t="s">
        <v>953</v>
      </c>
      <c r="F56" s="199">
        <v>15</v>
      </c>
      <c r="G56" s="267">
        <v>15</v>
      </c>
      <c r="H56" s="303">
        <f t="shared" si="3"/>
        <v>30</v>
      </c>
    </row>
    <row r="57" spans="1:8" ht="15.75" thickBot="1" x14ac:dyDescent="0.3">
      <c r="A57" s="296" t="s">
        <v>39</v>
      </c>
      <c r="B57" s="197">
        <v>4</v>
      </c>
      <c r="C57" s="265">
        <v>1</v>
      </c>
      <c r="D57" s="299">
        <f t="shared" si="2"/>
        <v>5</v>
      </c>
      <c r="E57" s="300" t="s">
        <v>974</v>
      </c>
      <c r="F57" s="199">
        <v>15</v>
      </c>
      <c r="G57" s="267">
        <v>10</v>
      </c>
      <c r="H57" s="303">
        <f t="shared" si="3"/>
        <v>25</v>
      </c>
    </row>
    <row r="58" spans="1:8" ht="15.75" thickBot="1" x14ac:dyDescent="0.3">
      <c r="A58" s="296" t="s">
        <v>784</v>
      </c>
      <c r="B58" s="197">
        <v>3</v>
      </c>
      <c r="C58" s="265">
        <v>1</v>
      </c>
      <c r="D58" s="299">
        <f t="shared" si="2"/>
        <v>4</v>
      </c>
      <c r="E58" s="300" t="s">
        <v>142</v>
      </c>
      <c r="F58" s="199">
        <v>20</v>
      </c>
      <c r="G58" s="267">
        <v>5</v>
      </c>
      <c r="H58" s="303">
        <f t="shared" si="3"/>
        <v>25</v>
      </c>
    </row>
    <row r="59" spans="1:8" ht="15.75" thickBot="1" x14ac:dyDescent="0.3">
      <c r="A59" s="296" t="s">
        <v>523</v>
      </c>
      <c r="B59" s="197">
        <v>2</v>
      </c>
      <c r="C59" s="265">
        <v>2</v>
      </c>
      <c r="D59" s="299">
        <f t="shared" si="2"/>
        <v>4</v>
      </c>
      <c r="E59" s="301" t="s">
        <v>1046</v>
      </c>
      <c r="F59" s="199">
        <v>25</v>
      </c>
      <c r="G59" s="267">
        <v>0</v>
      </c>
      <c r="H59" s="303">
        <f t="shared" si="3"/>
        <v>25</v>
      </c>
    </row>
    <row r="60" spans="1:8" ht="15.75" thickBot="1" x14ac:dyDescent="0.3">
      <c r="A60" s="296" t="s">
        <v>764</v>
      </c>
      <c r="B60" s="197">
        <v>3</v>
      </c>
      <c r="C60" s="265">
        <v>0</v>
      </c>
      <c r="D60" s="299">
        <f t="shared" si="2"/>
        <v>3</v>
      </c>
      <c r="E60" s="301" t="s">
        <v>39</v>
      </c>
      <c r="F60" s="199">
        <v>20</v>
      </c>
      <c r="G60" s="267">
        <v>5</v>
      </c>
      <c r="H60" s="303">
        <f t="shared" si="3"/>
        <v>25</v>
      </c>
    </row>
    <row r="61" spans="1:8" ht="15.75" thickBot="1" x14ac:dyDescent="0.3">
      <c r="A61" s="296" t="s">
        <v>1088</v>
      </c>
      <c r="B61" s="197">
        <v>1</v>
      </c>
      <c r="C61" s="265">
        <v>2</v>
      </c>
      <c r="D61" s="299">
        <f t="shared" si="2"/>
        <v>3</v>
      </c>
      <c r="E61" s="301" t="s">
        <v>979</v>
      </c>
      <c r="F61" s="199">
        <v>14</v>
      </c>
      <c r="G61" s="267">
        <v>9</v>
      </c>
      <c r="H61" s="303">
        <f t="shared" si="3"/>
        <v>23</v>
      </c>
    </row>
    <row r="62" spans="1:8" ht="15.75" thickBot="1" x14ac:dyDescent="0.3">
      <c r="A62" s="296" t="s">
        <v>6</v>
      </c>
      <c r="B62" s="197">
        <v>1</v>
      </c>
      <c r="C62" s="265">
        <v>2</v>
      </c>
      <c r="D62" s="299">
        <f t="shared" si="2"/>
        <v>3</v>
      </c>
      <c r="E62" s="301" t="s">
        <v>6</v>
      </c>
      <c r="F62" s="199">
        <v>7</v>
      </c>
      <c r="G62" s="267">
        <v>14</v>
      </c>
      <c r="H62" s="303">
        <f t="shared" si="3"/>
        <v>21</v>
      </c>
    </row>
    <row r="63" spans="1:8" ht="15.75" thickBot="1" x14ac:dyDescent="0.3">
      <c r="A63" s="296" t="s">
        <v>207</v>
      </c>
      <c r="B63" s="197">
        <v>2</v>
      </c>
      <c r="C63" s="265">
        <v>1</v>
      </c>
      <c r="D63" s="299">
        <f t="shared" si="2"/>
        <v>3</v>
      </c>
      <c r="E63" s="301" t="s">
        <v>784</v>
      </c>
      <c r="F63" s="199">
        <v>15</v>
      </c>
      <c r="G63" s="267">
        <v>5</v>
      </c>
      <c r="H63" s="303">
        <f t="shared" si="3"/>
        <v>20</v>
      </c>
    </row>
    <row r="64" spans="1:8" ht="15.75" thickBot="1" x14ac:dyDescent="0.3">
      <c r="A64" s="296" t="s">
        <v>788</v>
      </c>
      <c r="B64" s="197">
        <v>3</v>
      </c>
      <c r="C64" s="265">
        <v>0</v>
      </c>
      <c r="D64" s="299">
        <f t="shared" si="2"/>
        <v>3</v>
      </c>
      <c r="E64" s="301" t="s">
        <v>523</v>
      </c>
      <c r="F64" s="199">
        <v>10</v>
      </c>
      <c r="G64" s="267">
        <v>10</v>
      </c>
      <c r="H64" s="303">
        <f t="shared" si="3"/>
        <v>20</v>
      </c>
    </row>
    <row r="65" spans="1:8" ht="15.75" thickBot="1" x14ac:dyDescent="0.3">
      <c r="A65" s="296" t="s">
        <v>1007</v>
      </c>
      <c r="B65" s="197">
        <v>1</v>
      </c>
      <c r="C65" s="265">
        <v>1</v>
      </c>
      <c r="D65" s="299">
        <f t="shared" si="2"/>
        <v>2</v>
      </c>
      <c r="E65" s="301" t="s">
        <v>764</v>
      </c>
      <c r="F65" s="199">
        <v>15</v>
      </c>
      <c r="G65" s="267">
        <v>0</v>
      </c>
      <c r="H65" s="303">
        <f t="shared" si="3"/>
        <v>15</v>
      </c>
    </row>
    <row r="66" spans="1:8" ht="15.75" thickBot="1" x14ac:dyDescent="0.3">
      <c r="A66" s="296" t="s">
        <v>756</v>
      </c>
      <c r="B66" s="197">
        <v>2</v>
      </c>
      <c r="C66" s="265">
        <v>0</v>
      </c>
      <c r="D66" s="299">
        <f t="shared" si="2"/>
        <v>2</v>
      </c>
      <c r="E66" s="301" t="s">
        <v>1088</v>
      </c>
      <c r="F66" s="199">
        <v>5</v>
      </c>
      <c r="G66" s="267">
        <v>10</v>
      </c>
      <c r="H66" s="303">
        <f t="shared" si="3"/>
        <v>15</v>
      </c>
    </row>
    <row r="67" spans="1:8" ht="15.75" thickBot="1" x14ac:dyDescent="0.3">
      <c r="A67" s="296" t="s">
        <v>1014</v>
      </c>
      <c r="B67" s="197">
        <v>1</v>
      </c>
      <c r="C67" s="265">
        <v>1</v>
      </c>
      <c r="D67" s="299">
        <f t="shared" si="2"/>
        <v>2</v>
      </c>
      <c r="E67" s="301" t="s">
        <v>207</v>
      </c>
      <c r="F67" s="199">
        <v>10</v>
      </c>
      <c r="G67" s="267">
        <v>5</v>
      </c>
      <c r="H67" s="303">
        <f t="shared" si="3"/>
        <v>15</v>
      </c>
    </row>
    <row r="68" spans="1:8" ht="15.75" thickBot="1" x14ac:dyDescent="0.3">
      <c r="A68" s="296" t="s">
        <v>1077</v>
      </c>
      <c r="B68" s="197">
        <v>2</v>
      </c>
      <c r="C68" s="265">
        <v>0</v>
      </c>
      <c r="D68" s="299">
        <f t="shared" si="2"/>
        <v>2</v>
      </c>
      <c r="E68" s="301" t="s">
        <v>788</v>
      </c>
      <c r="F68" s="199">
        <v>15</v>
      </c>
      <c r="G68" s="267">
        <v>0</v>
      </c>
      <c r="H68" s="303">
        <f t="shared" si="3"/>
        <v>15</v>
      </c>
    </row>
    <row r="69" spans="1:8" ht="15.75" thickBot="1" x14ac:dyDescent="0.3">
      <c r="A69" s="296" t="s">
        <v>1016</v>
      </c>
      <c r="B69" s="197">
        <v>1</v>
      </c>
      <c r="C69" s="265">
        <v>1</v>
      </c>
      <c r="D69" s="299">
        <f t="shared" si="2"/>
        <v>2</v>
      </c>
      <c r="E69" s="301" t="s">
        <v>1007</v>
      </c>
      <c r="F69" s="199">
        <v>5</v>
      </c>
      <c r="G69" s="267">
        <v>5</v>
      </c>
      <c r="H69" s="303">
        <f t="shared" si="3"/>
        <v>10</v>
      </c>
    </row>
    <row r="70" spans="1:8" ht="15.75" thickBot="1" x14ac:dyDescent="0.3">
      <c r="A70" s="296" t="s">
        <v>958</v>
      </c>
      <c r="B70" s="197">
        <v>0</v>
      </c>
      <c r="C70" s="265">
        <v>2</v>
      </c>
      <c r="D70" s="299">
        <f t="shared" si="2"/>
        <v>2</v>
      </c>
      <c r="E70" s="301" t="s">
        <v>756</v>
      </c>
      <c r="F70" s="199">
        <v>10</v>
      </c>
      <c r="G70" s="267">
        <v>0</v>
      </c>
      <c r="H70" s="303">
        <f t="shared" si="3"/>
        <v>10</v>
      </c>
    </row>
    <row r="71" spans="1:8" ht="15.75" thickBot="1" x14ac:dyDescent="0.3">
      <c r="A71" s="296" t="s">
        <v>758</v>
      </c>
      <c r="B71" s="197">
        <v>0</v>
      </c>
      <c r="C71" s="265">
        <v>2</v>
      </c>
      <c r="D71" s="299">
        <f t="shared" si="2"/>
        <v>2</v>
      </c>
      <c r="E71" s="301" t="s">
        <v>1014</v>
      </c>
      <c r="F71" s="199">
        <v>5</v>
      </c>
      <c r="G71" s="267">
        <v>5</v>
      </c>
      <c r="H71" s="303">
        <f t="shared" si="3"/>
        <v>10</v>
      </c>
    </row>
    <row r="72" spans="1:8" ht="15.75" thickBot="1" x14ac:dyDescent="0.3">
      <c r="A72" s="296" t="s">
        <v>1054</v>
      </c>
      <c r="B72" s="197">
        <v>2</v>
      </c>
      <c r="C72" s="265">
        <v>0</v>
      </c>
      <c r="D72" s="299">
        <f t="shared" si="2"/>
        <v>2</v>
      </c>
      <c r="E72" s="301" t="s">
        <v>1077</v>
      </c>
      <c r="F72" s="199">
        <v>10</v>
      </c>
      <c r="G72" s="267">
        <v>0</v>
      </c>
      <c r="H72" s="303">
        <f t="shared" si="3"/>
        <v>10</v>
      </c>
    </row>
    <row r="73" spans="1:8" ht="15.75" thickBot="1" x14ac:dyDescent="0.3">
      <c r="A73" s="296" t="s">
        <v>176</v>
      </c>
      <c r="B73" s="197">
        <v>2</v>
      </c>
      <c r="C73" s="265">
        <v>0</v>
      </c>
      <c r="D73" s="299">
        <f t="shared" si="2"/>
        <v>2</v>
      </c>
      <c r="E73" s="301" t="s">
        <v>1016</v>
      </c>
      <c r="F73" s="199">
        <v>5</v>
      </c>
      <c r="G73" s="267">
        <v>5</v>
      </c>
      <c r="H73" s="303">
        <f t="shared" si="3"/>
        <v>10</v>
      </c>
    </row>
    <row r="74" spans="1:8" ht="15.75" thickBot="1" x14ac:dyDescent="0.3">
      <c r="A74" s="296" t="s">
        <v>1063</v>
      </c>
      <c r="B74" s="197">
        <v>1</v>
      </c>
      <c r="C74" s="265">
        <v>0</v>
      </c>
      <c r="D74" s="299">
        <f t="shared" si="2"/>
        <v>1</v>
      </c>
      <c r="E74" s="301" t="s">
        <v>958</v>
      </c>
      <c r="F74" s="199">
        <v>0</v>
      </c>
      <c r="G74" s="267">
        <v>10</v>
      </c>
      <c r="H74" s="303">
        <f t="shared" si="3"/>
        <v>10</v>
      </c>
    </row>
    <row r="75" spans="1:8" ht="15.75" thickBot="1" x14ac:dyDescent="0.3">
      <c r="A75" s="296" t="s">
        <v>87</v>
      </c>
      <c r="B75" s="197">
        <v>1</v>
      </c>
      <c r="C75" s="265">
        <v>0</v>
      </c>
      <c r="D75" s="299">
        <f t="shared" si="2"/>
        <v>1</v>
      </c>
      <c r="E75" s="301" t="s">
        <v>758</v>
      </c>
      <c r="F75" s="199">
        <v>0</v>
      </c>
      <c r="G75" s="267">
        <v>10</v>
      </c>
      <c r="H75" s="303">
        <f t="shared" si="3"/>
        <v>10</v>
      </c>
    </row>
    <row r="76" spans="1:8" ht="15.75" thickBot="1" x14ac:dyDescent="0.3">
      <c r="A76" s="296" t="s">
        <v>826</v>
      </c>
      <c r="B76" s="197">
        <v>1</v>
      </c>
      <c r="C76" s="265">
        <v>0</v>
      </c>
      <c r="D76" s="299">
        <f t="shared" si="2"/>
        <v>1</v>
      </c>
      <c r="E76" s="301" t="s">
        <v>1054</v>
      </c>
      <c r="F76" s="199">
        <v>10</v>
      </c>
      <c r="G76" s="267">
        <v>0</v>
      </c>
      <c r="H76" s="303">
        <f t="shared" si="3"/>
        <v>10</v>
      </c>
    </row>
    <row r="77" spans="1:8" ht="15.75" thickBot="1" x14ac:dyDescent="0.3">
      <c r="A77" s="296" t="s">
        <v>743</v>
      </c>
      <c r="B77" s="197">
        <v>0</v>
      </c>
      <c r="C77" s="265">
        <v>1</v>
      </c>
      <c r="D77" s="299">
        <f t="shared" si="2"/>
        <v>1</v>
      </c>
      <c r="E77" s="301" t="s">
        <v>176</v>
      </c>
      <c r="F77" s="199">
        <v>10</v>
      </c>
      <c r="G77" s="267">
        <v>0</v>
      </c>
      <c r="H77" s="303">
        <f t="shared" si="3"/>
        <v>10</v>
      </c>
    </row>
    <row r="78" spans="1:8" ht="15.75" thickBot="1" x14ac:dyDescent="0.3">
      <c r="A78" s="296" t="s">
        <v>1055</v>
      </c>
      <c r="B78" s="197">
        <v>1</v>
      </c>
      <c r="C78" s="265">
        <v>0</v>
      </c>
      <c r="D78" s="299">
        <f t="shared" si="2"/>
        <v>1</v>
      </c>
      <c r="E78" s="301" t="s">
        <v>1063</v>
      </c>
      <c r="F78" s="199">
        <v>5</v>
      </c>
      <c r="G78" s="267">
        <v>0</v>
      </c>
      <c r="H78" s="303">
        <f t="shared" si="3"/>
        <v>5</v>
      </c>
    </row>
    <row r="79" spans="1:8" ht="15.75" thickBot="1" x14ac:dyDescent="0.3">
      <c r="A79" s="296" t="s">
        <v>691</v>
      </c>
      <c r="B79" s="197">
        <v>1</v>
      </c>
      <c r="C79" s="265">
        <v>0</v>
      </c>
      <c r="D79" s="299">
        <f t="shared" si="2"/>
        <v>1</v>
      </c>
      <c r="E79" s="301" t="s">
        <v>87</v>
      </c>
      <c r="F79" s="199">
        <v>5</v>
      </c>
      <c r="G79" s="267">
        <v>0</v>
      </c>
      <c r="H79" s="303">
        <f t="shared" si="3"/>
        <v>5</v>
      </c>
    </row>
    <row r="80" spans="1:8" ht="15.75" thickBot="1" x14ac:dyDescent="0.3">
      <c r="A80" s="296" t="s">
        <v>977</v>
      </c>
      <c r="B80" s="197">
        <v>1</v>
      </c>
      <c r="C80" s="265">
        <v>0</v>
      </c>
      <c r="D80" s="299">
        <f t="shared" si="2"/>
        <v>1</v>
      </c>
      <c r="E80" s="301" t="s">
        <v>826</v>
      </c>
      <c r="F80" s="199">
        <v>5</v>
      </c>
      <c r="G80" s="267">
        <v>0</v>
      </c>
      <c r="H80" s="303">
        <f t="shared" si="3"/>
        <v>5</v>
      </c>
    </row>
    <row r="81" spans="1:8" ht="15.75" thickBot="1" x14ac:dyDescent="0.3">
      <c r="A81" s="296" t="s">
        <v>21</v>
      </c>
      <c r="B81" s="197">
        <v>0</v>
      </c>
      <c r="C81" s="265">
        <v>1</v>
      </c>
      <c r="D81" s="299">
        <f t="shared" si="2"/>
        <v>1</v>
      </c>
      <c r="E81" s="301" t="s">
        <v>1055</v>
      </c>
      <c r="F81" s="199">
        <v>5</v>
      </c>
      <c r="G81" s="267">
        <v>0</v>
      </c>
      <c r="H81" s="303">
        <f t="shared" si="3"/>
        <v>5</v>
      </c>
    </row>
    <row r="82" spans="1:8" ht="15.75" thickBot="1" x14ac:dyDescent="0.3">
      <c r="A82" s="296" t="s">
        <v>291</v>
      </c>
      <c r="B82" s="197">
        <v>0</v>
      </c>
      <c r="C82" s="265">
        <v>0</v>
      </c>
      <c r="D82" s="299">
        <f t="shared" si="2"/>
        <v>0</v>
      </c>
      <c r="E82" s="301" t="s">
        <v>691</v>
      </c>
      <c r="F82" s="199">
        <v>5</v>
      </c>
      <c r="G82" s="267">
        <v>0</v>
      </c>
      <c r="H82" s="303">
        <f t="shared" si="3"/>
        <v>5</v>
      </c>
    </row>
    <row r="83" spans="1:8" ht="15.75" thickBot="1" x14ac:dyDescent="0.3">
      <c r="A83" s="296" t="s">
        <v>979</v>
      </c>
      <c r="B83" s="197">
        <v>0</v>
      </c>
      <c r="C83" s="265">
        <v>0</v>
      </c>
      <c r="D83" s="299">
        <f t="shared" si="2"/>
        <v>0</v>
      </c>
      <c r="E83" s="301" t="s">
        <v>977</v>
      </c>
      <c r="F83" s="199">
        <v>5</v>
      </c>
      <c r="G83" s="267">
        <v>0</v>
      </c>
      <c r="H83" s="303">
        <f t="shared" si="3"/>
        <v>5</v>
      </c>
    </row>
    <row r="84" spans="1:8" ht="15.75" thickBot="1" x14ac:dyDescent="0.3">
      <c r="A84" s="296" t="s">
        <v>881</v>
      </c>
      <c r="B84" s="197">
        <v>0</v>
      </c>
      <c r="C84" s="265">
        <v>0</v>
      </c>
      <c r="D84" s="299">
        <f t="shared" si="2"/>
        <v>0</v>
      </c>
      <c r="E84" s="301" t="s">
        <v>21</v>
      </c>
      <c r="F84" s="199">
        <v>0</v>
      </c>
      <c r="G84" s="267">
        <v>5</v>
      </c>
      <c r="H84" s="303">
        <f t="shared" si="3"/>
        <v>5</v>
      </c>
    </row>
    <row r="85" spans="1:8" ht="15.75" thickBot="1" x14ac:dyDescent="0.3">
      <c r="A85" s="296" t="s">
        <v>689</v>
      </c>
      <c r="B85" s="197">
        <v>0</v>
      </c>
      <c r="C85" s="265">
        <v>0</v>
      </c>
      <c r="D85" s="299">
        <f t="shared" si="2"/>
        <v>0</v>
      </c>
      <c r="E85" s="301" t="s">
        <v>291</v>
      </c>
      <c r="F85" s="199">
        <v>0</v>
      </c>
      <c r="G85" s="267">
        <v>0</v>
      </c>
      <c r="H85" s="303">
        <f t="shared" si="3"/>
        <v>0</v>
      </c>
    </row>
    <row r="86" spans="1:8" ht="15" customHeight="1" thickBot="1" x14ac:dyDescent="0.3">
      <c r="A86" s="296" t="s">
        <v>567</v>
      </c>
      <c r="B86" s="197">
        <v>0</v>
      </c>
      <c r="C86" s="265">
        <v>0</v>
      </c>
      <c r="D86" s="299">
        <f t="shared" si="2"/>
        <v>0</v>
      </c>
      <c r="E86" s="301" t="s">
        <v>881</v>
      </c>
      <c r="F86" s="199">
        <v>0</v>
      </c>
      <c r="G86" s="267">
        <v>0</v>
      </c>
      <c r="H86" s="303">
        <f t="shared" si="3"/>
        <v>0</v>
      </c>
    </row>
    <row r="87" spans="1:8" ht="15.75" thickBot="1" x14ac:dyDescent="0.3">
      <c r="A87" s="296" t="s">
        <v>883</v>
      </c>
      <c r="B87" s="197">
        <v>0</v>
      </c>
      <c r="C87" s="265">
        <v>0</v>
      </c>
      <c r="D87" s="299">
        <f t="shared" si="2"/>
        <v>0</v>
      </c>
      <c r="E87" s="301" t="s">
        <v>567</v>
      </c>
      <c r="F87" s="199">
        <v>0</v>
      </c>
      <c r="G87" s="267">
        <v>0</v>
      </c>
      <c r="H87" s="303">
        <f t="shared" si="3"/>
        <v>0</v>
      </c>
    </row>
    <row r="88" spans="1:8" ht="15.75" thickBot="1" x14ac:dyDescent="0.3">
      <c r="A88" s="296" t="s">
        <v>693</v>
      </c>
      <c r="B88" s="197">
        <v>0</v>
      </c>
      <c r="C88" s="265">
        <v>0</v>
      </c>
      <c r="D88" s="299">
        <f t="shared" si="2"/>
        <v>0</v>
      </c>
      <c r="E88" s="301" t="s">
        <v>883</v>
      </c>
      <c r="F88" s="199">
        <v>0</v>
      </c>
      <c r="G88" s="267">
        <v>0</v>
      </c>
      <c r="H88" s="303">
        <f t="shared" si="3"/>
        <v>0</v>
      </c>
    </row>
    <row r="89" spans="1:8" ht="15.75" thickBot="1" x14ac:dyDescent="0.3">
      <c r="A89" s="296" t="s">
        <v>59</v>
      </c>
      <c r="B89" s="197">
        <v>0</v>
      </c>
      <c r="C89" s="265">
        <v>0</v>
      </c>
      <c r="D89" s="299">
        <f t="shared" si="2"/>
        <v>0</v>
      </c>
      <c r="E89" s="301" t="s">
        <v>693</v>
      </c>
      <c r="F89" s="199">
        <v>0</v>
      </c>
      <c r="G89" s="267">
        <v>0</v>
      </c>
      <c r="H89" s="303">
        <f t="shared" si="3"/>
        <v>0</v>
      </c>
    </row>
    <row r="90" spans="1:8" ht="15.75" thickBot="1" x14ac:dyDescent="0.3">
      <c r="A90" s="296" t="s">
        <v>1035</v>
      </c>
      <c r="B90" s="197">
        <v>0</v>
      </c>
      <c r="C90" s="265">
        <v>0</v>
      </c>
      <c r="D90" s="299">
        <f t="shared" si="2"/>
        <v>0</v>
      </c>
      <c r="E90" s="301" t="s">
        <v>59</v>
      </c>
      <c r="F90" s="199">
        <v>0</v>
      </c>
      <c r="G90" s="267">
        <v>0</v>
      </c>
      <c r="H90" s="303">
        <f t="shared" si="3"/>
        <v>0</v>
      </c>
    </row>
    <row r="91" spans="1:8" ht="15.75" thickBot="1" x14ac:dyDescent="0.3">
      <c r="A91" s="296" t="s">
        <v>522</v>
      </c>
      <c r="B91" s="197">
        <v>0</v>
      </c>
      <c r="C91" s="265">
        <v>0</v>
      </c>
      <c r="D91" s="299">
        <f t="shared" si="2"/>
        <v>0</v>
      </c>
      <c r="E91" s="301" t="s">
        <v>522</v>
      </c>
      <c r="F91" s="199">
        <v>0</v>
      </c>
      <c r="G91" s="267">
        <v>0</v>
      </c>
      <c r="H91" s="303">
        <f t="shared" si="3"/>
        <v>0</v>
      </c>
    </row>
    <row r="92" spans="1:8" ht="15.75" thickBot="1" x14ac:dyDescent="0.3">
      <c r="A92" s="296" t="s">
        <v>209</v>
      </c>
      <c r="B92" s="197">
        <v>0</v>
      </c>
      <c r="C92" s="265">
        <v>0</v>
      </c>
      <c r="D92" s="299">
        <f t="shared" si="2"/>
        <v>0</v>
      </c>
      <c r="E92" s="301" t="s">
        <v>209</v>
      </c>
      <c r="F92" s="199">
        <v>0</v>
      </c>
      <c r="G92" s="267">
        <v>0</v>
      </c>
      <c r="H92" s="303">
        <f t="shared" si="3"/>
        <v>0</v>
      </c>
    </row>
    <row r="93" spans="1:8" ht="15" customHeight="1" thickBot="1" x14ac:dyDescent="0.3">
      <c r="A93" s="296" t="s">
        <v>698</v>
      </c>
      <c r="B93" s="197">
        <v>0</v>
      </c>
      <c r="C93" s="265">
        <v>0</v>
      </c>
      <c r="D93" s="299">
        <f t="shared" si="2"/>
        <v>0</v>
      </c>
      <c r="E93" s="301" t="s">
        <v>698</v>
      </c>
      <c r="F93" s="199">
        <v>0</v>
      </c>
      <c r="G93" s="267">
        <v>0</v>
      </c>
      <c r="H93" s="303">
        <f t="shared" si="3"/>
        <v>0</v>
      </c>
    </row>
    <row r="94" spans="1:8" ht="15.75" thickBot="1" x14ac:dyDescent="0.3">
      <c r="A94" s="296" t="s">
        <v>885</v>
      </c>
      <c r="B94" s="197">
        <v>0</v>
      </c>
      <c r="C94" s="265">
        <v>0</v>
      </c>
      <c r="D94" s="299">
        <f t="shared" si="2"/>
        <v>0</v>
      </c>
      <c r="E94" s="301" t="s">
        <v>885</v>
      </c>
      <c r="F94" s="199">
        <v>0</v>
      </c>
      <c r="G94" s="267">
        <v>0</v>
      </c>
      <c r="H94" s="303">
        <f t="shared" si="3"/>
        <v>0</v>
      </c>
    </row>
    <row r="95" spans="1:8" ht="15" customHeight="1" thickBot="1" x14ac:dyDescent="0.3">
      <c r="A95" s="296" t="s">
        <v>742</v>
      </c>
      <c r="B95" s="197">
        <v>0</v>
      </c>
      <c r="C95" s="265">
        <v>0</v>
      </c>
      <c r="D95" s="299">
        <f t="shared" si="2"/>
        <v>0</v>
      </c>
      <c r="E95" s="301" t="s">
        <v>742</v>
      </c>
      <c r="F95" s="199">
        <v>0</v>
      </c>
      <c r="G95" s="267">
        <v>0</v>
      </c>
      <c r="H95" s="303">
        <f t="shared" si="3"/>
        <v>0</v>
      </c>
    </row>
    <row r="96" spans="1:8" ht="15.75" thickBot="1" x14ac:dyDescent="0.3">
      <c r="A96" s="296" t="s">
        <v>198</v>
      </c>
      <c r="B96" s="197">
        <v>0</v>
      </c>
      <c r="C96" s="265">
        <v>0</v>
      </c>
      <c r="D96" s="299">
        <f t="shared" si="2"/>
        <v>0</v>
      </c>
      <c r="E96" s="301" t="s">
        <v>198</v>
      </c>
      <c r="F96" s="199">
        <v>0</v>
      </c>
      <c r="G96" s="267">
        <v>0</v>
      </c>
      <c r="H96" s="303">
        <f t="shared" si="3"/>
        <v>0</v>
      </c>
    </row>
    <row r="97" spans="1:8" ht="15.75" thickBot="1" x14ac:dyDescent="0.3">
      <c r="A97" s="296" t="s">
        <v>7</v>
      </c>
      <c r="B97" s="197">
        <v>0</v>
      </c>
      <c r="C97" s="265">
        <v>0</v>
      </c>
      <c r="D97" s="299">
        <f t="shared" si="2"/>
        <v>0</v>
      </c>
      <c r="E97" s="301" t="s">
        <v>7</v>
      </c>
      <c r="F97" s="199">
        <v>0</v>
      </c>
      <c r="G97" s="267">
        <v>0</v>
      </c>
      <c r="H97" s="303">
        <f t="shared" si="3"/>
        <v>0</v>
      </c>
    </row>
    <row r="98" spans="1:8" ht="15" customHeight="1" thickBot="1" x14ac:dyDescent="0.3">
      <c r="A98" s="296" t="s">
        <v>154</v>
      </c>
      <c r="B98" s="197">
        <v>0</v>
      </c>
      <c r="C98" s="265">
        <v>0</v>
      </c>
      <c r="D98" s="299">
        <f t="shared" si="2"/>
        <v>0</v>
      </c>
      <c r="E98" s="301" t="s">
        <v>154</v>
      </c>
      <c r="F98" s="199">
        <v>0</v>
      </c>
      <c r="G98" s="267">
        <v>0</v>
      </c>
      <c r="H98" s="303">
        <f t="shared" si="3"/>
        <v>0</v>
      </c>
    </row>
    <row r="99" spans="1:8" ht="15.75" thickBot="1" x14ac:dyDescent="0.3">
      <c r="A99" s="296" t="s">
        <v>3</v>
      </c>
      <c r="B99" s="197">
        <f>SUM(B53:B98)</f>
        <v>51</v>
      </c>
      <c r="C99" s="265">
        <f>SUM(C53:C98)</f>
        <v>24</v>
      </c>
      <c r="D99" s="299">
        <f t="shared" ref="D99" si="4">SUM(B99:C99)</f>
        <v>75</v>
      </c>
      <c r="E99" s="301" t="s">
        <v>3</v>
      </c>
      <c r="F99" s="199">
        <f>SUM(F53:F98)</f>
        <v>478</v>
      </c>
      <c r="G99" s="267">
        <f>SUM(G53:G98)</f>
        <v>204</v>
      </c>
      <c r="H99" s="303">
        <f t="shared" ref="H99" si="5">SUM(F99:G99)</f>
        <v>682</v>
      </c>
    </row>
    <row r="100" spans="1:8" x14ac:dyDescent="0.25">
      <c r="A100" s="535" t="s">
        <v>95</v>
      </c>
      <c r="B100" s="536"/>
      <c r="C100" s="536"/>
      <c r="D100" s="536"/>
      <c r="E100" s="536"/>
      <c r="F100" s="536"/>
      <c r="G100" s="536"/>
      <c r="H100" s="536"/>
    </row>
  </sheetData>
  <sortState xmlns:xlrd2="http://schemas.microsoft.com/office/spreadsheetml/2017/richdata2" ref="E53:H98">
    <sortCondition descending="1" ref="H53:H98"/>
  </sortState>
  <mergeCells count="32">
    <mergeCell ref="A100:H100"/>
    <mergeCell ref="AD1:AF2"/>
    <mergeCell ref="I30:U30"/>
    <mergeCell ref="I29:AO29"/>
    <mergeCell ref="A1:H1"/>
    <mergeCell ref="M22:O23"/>
    <mergeCell ref="AG13:AI14"/>
    <mergeCell ref="P22:R23"/>
    <mergeCell ref="AD22:AF23"/>
    <mergeCell ref="S22:U23"/>
    <mergeCell ref="U1:W2"/>
    <mergeCell ref="AD13:AF14"/>
    <mergeCell ref="AA22:AC23"/>
    <mergeCell ref="P13:R14"/>
    <mergeCell ref="R1:T2"/>
    <mergeCell ref="M13:O14"/>
    <mergeCell ref="AA1:AC2"/>
    <mergeCell ref="AA13:AC14"/>
    <mergeCell ref="AP1:AR2"/>
    <mergeCell ref="I22:I23"/>
    <mergeCell ref="J22:L23"/>
    <mergeCell ref="AM1:AO2"/>
    <mergeCell ref="P1:Q2"/>
    <mergeCell ref="I13:I14"/>
    <mergeCell ref="I1:I2"/>
    <mergeCell ref="J1:L2"/>
    <mergeCell ref="M1:O2"/>
    <mergeCell ref="AJ1:AL2"/>
    <mergeCell ref="J13:L14"/>
    <mergeCell ref="AG1:AI2"/>
    <mergeCell ref="S13:U14"/>
    <mergeCell ref="AJ13:AL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0"/>
  <sheetViews>
    <sheetView workbookViewId="0">
      <selection activeCell="X14" sqref="X14"/>
    </sheetView>
  </sheetViews>
  <sheetFormatPr defaultColWidth="8.85546875" defaultRowHeight="15" x14ac:dyDescent="0.25"/>
  <cols>
    <col min="1" max="1" width="16.42578125" customWidth="1"/>
    <col min="2" max="3" width="3.7109375" customWidth="1"/>
    <col min="4" max="4" width="4.7109375" customWidth="1"/>
    <col min="5" max="5" width="16.42578125" customWidth="1"/>
    <col min="6" max="8" width="5.28515625" customWidth="1"/>
    <col min="9" max="9" width="16.42578125" bestFit="1" customWidth="1"/>
    <col min="10" max="12" width="5.42578125" customWidth="1"/>
    <col min="13" max="24" width="5.7109375" customWidth="1"/>
    <col min="25" max="26" width="5.7109375" style="314" customWidth="1"/>
    <col min="27" max="45" width="5.7109375" customWidth="1"/>
  </cols>
  <sheetData>
    <row r="1" spans="1:52" ht="15" customHeight="1" thickBot="1" x14ac:dyDescent="0.3">
      <c r="A1" s="581" t="s">
        <v>810</v>
      </c>
      <c r="B1" s="582"/>
      <c r="C1" s="582"/>
      <c r="D1" s="582"/>
      <c r="E1" s="582"/>
      <c r="F1" s="582"/>
      <c r="G1" s="582"/>
      <c r="H1" s="583"/>
      <c r="I1" s="531" t="s">
        <v>658</v>
      </c>
      <c r="J1" s="525" t="s">
        <v>33</v>
      </c>
      <c r="K1" s="526"/>
      <c r="L1" s="527"/>
      <c r="M1" s="525" t="s">
        <v>110</v>
      </c>
      <c r="N1" s="526"/>
      <c r="O1" s="527"/>
      <c r="P1" s="525" t="s">
        <v>657</v>
      </c>
      <c r="Q1" s="527"/>
      <c r="R1" s="543" t="s">
        <v>836</v>
      </c>
      <c r="S1" s="549"/>
      <c r="T1" s="550"/>
      <c r="U1" s="543" t="s">
        <v>816</v>
      </c>
      <c r="V1" s="549"/>
      <c r="W1" s="550"/>
      <c r="X1" s="244"/>
      <c r="Y1" s="254"/>
      <c r="Z1" s="254"/>
      <c r="AA1" s="269"/>
      <c r="AB1" s="543" t="s">
        <v>574</v>
      </c>
      <c r="AC1" s="549"/>
      <c r="AD1" s="550"/>
      <c r="AE1" s="543" t="s">
        <v>217</v>
      </c>
      <c r="AF1" s="549"/>
      <c r="AG1" s="550"/>
      <c r="AH1" s="543" t="s">
        <v>147</v>
      </c>
      <c r="AI1" s="549"/>
      <c r="AJ1" s="550"/>
      <c r="AK1" s="543" t="s">
        <v>137</v>
      </c>
      <c r="AL1" s="549"/>
      <c r="AM1" s="550"/>
      <c r="AN1" s="543" t="s">
        <v>114</v>
      </c>
      <c r="AO1" s="549"/>
      <c r="AP1" s="550"/>
      <c r="AQ1" s="543" t="s">
        <v>115</v>
      </c>
      <c r="AR1" s="549"/>
      <c r="AS1" s="550"/>
      <c r="AU1" s="4"/>
      <c r="AV1" s="4"/>
      <c r="AW1" s="4"/>
      <c r="AZ1" s="4"/>
    </row>
    <row r="2" spans="1:52" ht="15" customHeight="1" thickBot="1" x14ac:dyDescent="0.3">
      <c r="A2" s="315" t="s">
        <v>0</v>
      </c>
      <c r="B2" s="372" t="s">
        <v>815</v>
      </c>
      <c r="C2" s="291" t="s">
        <v>73</v>
      </c>
      <c r="D2" s="278" t="s">
        <v>1</v>
      </c>
      <c r="E2" s="317" t="s">
        <v>2</v>
      </c>
      <c r="F2" s="147" t="s">
        <v>815</v>
      </c>
      <c r="G2" s="270" t="s">
        <v>73</v>
      </c>
      <c r="H2" s="320" t="s">
        <v>1</v>
      </c>
      <c r="I2" s="532"/>
      <c r="J2" s="528"/>
      <c r="K2" s="529"/>
      <c r="L2" s="530"/>
      <c r="M2" s="528"/>
      <c r="N2" s="529"/>
      <c r="O2" s="530"/>
      <c r="P2" s="528"/>
      <c r="Q2" s="530"/>
      <c r="R2" s="551"/>
      <c r="S2" s="552"/>
      <c r="T2" s="553"/>
      <c r="U2" s="551"/>
      <c r="V2" s="552"/>
      <c r="W2" s="553"/>
      <c r="X2" s="244"/>
      <c r="Y2" s="254"/>
      <c r="Z2" s="254"/>
      <c r="AA2" s="269"/>
      <c r="AB2" s="551"/>
      <c r="AC2" s="552"/>
      <c r="AD2" s="553"/>
      <c r="AE2" s="551"/>
      <c r="AF2" s="552"/>
      <c r="AG2" s="553"/>
      <c r="AH2" s="551"/>
      <c r="AI2" s="552"/>
      <c r="AJ2" s="553"/>
      <c r="AK2" s="551"/>
      <c r="AL2" s="552"/>
      <c r="AM2" s="553"/>
      <c r="AN2" s="551"/>
      <c r="AO2" s="552"/>
      <c r="AP2" s="553"/>
      <c r="AQ2" s="551"/>
      <c r="AR2" s="552"/>
      <c r="AS2" s="553"/>
    </row>
    <row r="3" spans="1:52" ht="15" customHeight="1" thickBot="1" x14ac:dyDescent="0.3">
      <c r="A3" s="316" t="s">
        <v>103</v>
      </c>
      <c r="B3" s="373">
        <v>0</v>
      </c>
      <c r="C3" s="292">
        <v>0</v>
      </c>
      <c r="D3" s="279">
        <f t="shared" ref="D3:D37" si="0">SUM(B3:C3)</f>
        <v>0</v>
      </c>
      <c r="E3" s="318" t="s">
        <v>103</v>
      </c>
      <c r="F3" s="97">
        <v>0</v>
      </c>
      <c r="G3" s="271">
        <v>5</v>
      </c>
      <c r="H3" s="321">
        <f t="shared" ref="H3:H37" si="1">SUM(F3:G3)</f>
        <v>5</v>
      </c>
      <c r="I3" s="33" t="s">
        <v>51</v>
      </c>
      <c r="J3" s="3" t="s">
        <v>129</v>
      </c>
      <c r="K3" s="3" t="s">
        <v>27</v>
      </c>
      <c r="L3" s="3" t="s">
        <v>28</v>
      </c>
      <c r="M3" s="3" t="s">
        <v>129</v>
      </c>
      <c r="N3" s="3" t="s">
        <v>27</v>
      </c>
      <c r="O3" s="3" t="s">
        <v>28</v>
      </c>
      <c r="P3" s="3" t="s">
        <v>40</v>
      </c>
      <c r="Q3" s="3" t="s">
        <v>166</v>
      </c>
      <c r="R3" s="7" t="s">
        <v>129</v>
      </c>
      <c r="S3" s="7" t="s">
        <v>27</v>
      </c>
      <c r="T3" s="7" t="s">
        <v>28</v>
      </c>
      <c r="U3" s="221" t="s">
        <v>129</v>
      </c>
      <c r="V3" s="7" t="s">
        <v>27</v>
      </c>
      <c r="W3" s="7" t="s">
        <v>28</v>
      </c>
      <c r="X3" s="113"/>
      <c r="Y3" s="114"/>
      <c r="Z3" s="114"/>
      <c r="AA3" s="269"/>
      <c r="AB3" s="221" t="s">
        <v>129</v>
      </c>
      <c r="AC3" s="7" t="s">
        <v>27</v>
      </c>
      <c r="AD3" s="7" t="s">
        <v>28</v>
      </c>
      <c r="AE3" s="221" t="s">
        <v>129</v>
      </c>
      <c r="AF3" s="7" t="s">
        <v>27</v>
      </c>
      <c r="AG3" s="7" t="s">
        <v>28</v>
      </c>
      <c r="AH3" s="221" t="s">
        <v>129</v>
      </c>
      <c r="AI3" s="7" t="s">
        <v>27</v>
      </c>
      <c r="AJ3" s="7" t="s">
        <v>28</v>
      </c>
      <c r="AK3" s="7" t="s">
        <v>129</v>
      </c>
      <c r="AL3" s="7" t="s">
        <v>27</v>
      </c>
      <c r="AM3" s="7" t="s">
        <v>28</v>
      </c>
      <c r="AN3" s="7" t="s">
        <v>129</v>
      </c>
      <c r="AO3" s="7" t="s">
        <v>27</v>
      </c>
      <c r="AP3" s="7" t="s">
        <v>28</v>
      </c>
      <c r="AQ3" s="7" t="s">
        <v>129</v>
      </c>
      <c r="AR3" s="7" t="s">
        <v>27</v>
      </c>
      <c r="AS3" s="7" t="s">
        <v>28</v>
      </c>
    </row>
    <row r="4" spans="1:52" ht="15" customHeight="1" thickBot="1" x14ac:dyDescent="0.3">
      <c r="A4" s="316" t="s">
        <v>578</v>
      </c>
      <c r="B4" s="373">
        <v>0</v>
      </c>
      <c r="C4" s="292">
        <v>0</v>
      </c>
      <c r="D4" s="279">
        <f t="shared" si="0"/>
        <v>0</v>
      </c>
      <c r="E4" s="318" t="s">
        <v>578</v>
      </c>
      <c r="F4" s="97">
        <v>0</v>
      </c>
      <c r="G4" s="271">
        <v>0</v>
      </c>
      <c r="H4" s="321">
        <f t="shared" si="1"/>
        <v>0</v>
      </c>
      <c r="I4" s="322" t="s">
        <v>103</v>
      </c>
      <c r="J4" s="323" t="s">
        <v>34</v>
      </c>
      <c r="K4" s="323" t="s">
        <v>34</v>
      </c>
      <c r="L4" s="324" t="s">
        <v>34</v>
      </c>
      <c r="M4" s="323" t="s">
        <v>34</v>
      </c>
      <c r="N4" s="323" t="s">
        <v>34</v>
      </c>
      <c r="O4" s="324" t="s">
        <v>34</v>
      </c>
      <c r="P4" s="323">
        <v>1</v>
      </c>
      <c r="Q4" s="323">
        <v>3</v>
      </c>
      <c r="R4" s="7">
        <v>3</v>
      </c>
      <c r="S4" s="7">
        <v>5</v>
      </c>
      <c r="T4" s="232">
        <f>(R4/S4)*100</f>
        <v>60</v>
      </c>
      <c r="U4" s="221" t="s">
        <v>34</v>
      </c>
      <c r="V4" s="7" t="s">
        <v>34</v>
      </c>
      <c r="W4" s="232" t="s">
        <v>34</v>
      </c>
      <c r="X4" s="113"/>
      <c r="Y4" s="114"/>
      <c r="Z4" s="114"/>
      <c r="AA4" s="269"/>
      <c r="AB4" s="221" t="s">
        <v>34</v>
      </c>
      <c r="AC4" s="7" t="s">
        <v>34</v>
      </c>
      <c r="AD4" s="7" t="s">
        <v>34</v>
      </c>
      <c r="AE4" s="221" t="s">
        <v>34</v>
      </c>
      <c r="AF4" s="7" t="s">
        <v>34</v>
      </c>
      <c r="AG4" s="7" t="s">
        <v>34</v>
      </c>
      <c r="AH4" s="221">
        <v>12</v>
      </c>
      <c r="AI4" s="7">
        <v>16</v>
      </c>
      <c r="AJ4" s="232">
        <v>75</v>
      </c>
      <c r="AK4" s="7" t="s">
        <v>34</v>
      </c>
      <c r="AL4" s="7" t="s">
        <v>34</v>
      </c>
      <c r="AM4" s="7" t="s">
        <v>34</v>
      </c>
      <c r="AN4" s="7" t="s">
        <v>34</v>
      </c>
      <c r="AO4" s="7" t="s">
        <v>34</v>
      </c>
      <c r="AP4" s="7" t="s">
        <v>34</v>
      </c>
      <c r="AQ4" s="7" t="s">
        <v>34</v>
      </c>
      <c r="AR4" s="7" t="s">
        <v>34</v>
      </c>
      <c r="AS4" s="7" t="s">
        <v>34</v>
      </c>
    </row>
    <row r="5" spans="1:52" ht="15" customHeight="1" thickBot="1" x14ac:dyDescent="0.3">
      <c r="A5" s="316" t="s">
        <v>579</v>
      </c>
      <c r="B5" s="373">
        <v>1</v>
      </c>
      <c r="C5" s="292">
        <v>0</v>
      </c>
      <c r="D5" s="279">
        <f t="shared" si="0"/>
        <v>1</v>
      </c>
      <c r="E5" s="318" t="s">
        <v>579</v>
      </c>
      <c r="F5" s="97">
        <v>5</v>
      </c>
      <c r="G5" s="271">
        <v>4</v>
      </c>
      <c r="H5" s="321">
        <f t="shared" si="1"/>
        <v>9</v>
      </c>
      <c r="I5" s="322" t="s">
        <v>579</v>
      </c>
      <c r="J5" s="323" t="s">
        <v>34</v>
      </c>
      <c r="K5" s="323" t="s">
        <v>34</v>
      </c>
      <c r="L5" s="324" t="s">
        <v>34</v>
      </c>
      <c r="M5" s="323" t="s">
        <v>34</v>
      </c>
      <c r="N5" s="323" t="s">
        <v>34</v>
      </c>
      <c r="O5" s="324" t="s">
        <v>34</v>
      </c>
      <c r="P5" s="323" t="s">
        <v>34</v>
      </c>
      <c r="Q5" s="323">
        <v>-1</v>
      </c>
      <c r="R5" s="7" t="s">
        <v>34</v>
      </c>
      <c r="S5" s="7" t="s">
        <v>34</v>
      </c>
      <c r="T5" s="232" t="s">
        <v>34</v>
      </c>
      <c r="U5" s="221" t="s">
        <v>34</v>
      </c>
      <c r="V5" s="7" t="s">
        <v>34</v>
      </c>
      <c r="W5" s="232" t="s">
        <v>34</v>
      </c>
      <c r="X5" s="113"/>
      <c r="Y5" s="114"/>
      <c r="Z5" s="114"/>
      <c r="AA5" s="269"/>
      <c r="AB5" s="221" t="s">
        <v>34</v>
      </c>
      <c r="AC5" s="7" t="s">
        <v>34</v>
      </c>
      <c r="AD5" s="232" t="s">
        <v>34</v>
      </c>
      <c r="AE5" s="221" t="s">
        <v>34</v>
      </c>
      <c r="AF5" s="7" t="s">
        <v>34</v>
      </c>
      <c r="AG5" s="232" t="s">
        <v>34</v>
      </c>
      <c r="AH5" s="221" t="s">
        <v>34</v>
      </c>
      <c r="AI5" s="7" t="s">
        <v>34</v>
      </c>
      <c r="AJ5" s="232" t="s">
        <v>34</v>
      </c>
      <c r="AK5" s="7" t="s">
        <v>34</v>
      </c>
      <c r="AL5" s="7" t="s">
        <v>34</v>
      </c>
      <c r="AM5" s="232" t="s">
        <v>34</v>
      </c>
      <c r="AN5" s="7" t="s">
        <v>34</v>
      </c>
      <c r="AO5" s="7" t="s">
        <v>34</v>
      </c>
      <c r="AP5" s="232" t="s">
        <v>34</v>
      </c>
      <c r="AQ5" s="7" t="s">
        <v>34</v>
      </c>
      <c r="AR5" s="7" t="s">
        <v>34</v>
      </c>
      <c r="AS5" s="232" t="s">
        <v>34</v>
      </c>
    </row>
    <row r="6" spans="1:52" ht="15" customHeight="1" thickBot="1" x14ac:dyDescent="0.3">
      <c r="A6" s="316" t="s">
        <v>580</v>
      </c>
      <c r="B6" s="373">
        <v>0</v>
      </c>
      <c r="C6" s="292">
        <v>0</v>
      </c>
      <c r="D6" s="279">
        <f t="shared" si="0"/>
        <v>0</v>
      </c>
      <c r="E6" s="318" t="s">
        <v>580</v>
      </c>
      <c r="F6" s="97">
        <v>0</v>
      </c>
      <c r="G6" s="271">
        <v>0</v>
      </c>
      <c r="H6" s="321">
        <f t="shared" si="1"/>
        <v>0</v>
      </c>
      <c r="I6" s="316" t="s">
        <v>600</v>
      </c>
      <c r="J6" s="323">
        <v>70</v>
      </c>
      <c r="K6" s="323">
        <v>94</v>
      </c>
      <c r="L6" s="324">
        <f>(J6/K6)*100</f>
        <v>74.468085106382972</v>
      </c>
      <c r="M6" s="323">
        <v>5</v>
      </c>
      <c r="N6" s="323">
        <v>7</v>
      </c>
      <c r="O6" s="324">
        <f>(M6/N6)*100</f>
        <v>71.428571428571431</v>
      </c>
      <c r="P6" s="323">
        <v>-1</v>
      </c>
      <c r="Q6" s="323">
        <v>-1</v>
      </c>
      <c r="R6" s="7">
        <v>21</v>
      </c>
      <c r="S6" s="7">
        <v>30</v>
      </c>
      <c r="T6" s="232">
        <f>(R6/S6)*100</f>
        <v>70</v>
      </c>
      <c r="U6" s="250">
        <v>37</v>
      </c>
      <c r="V6" s="232">
        <v>53</v>
      </c>
      <c r="W6" s="232">
        <v>69.811320754716974</v>
      </c>
      <c r="X6" s="113"/>
      <c r="Y6" s="114"/>
      <c r="Z6" s="114"/>
      <c r="AA6" s="269"/>
      <c r="AB6" s="250" t="s">
        <v>34</v>
      </c>
      <c r="AC6" s="232" t="s">
        <v>34</v>
      </c>
      <c r="AD6" s="232" t="s">
        <v>34</v>
      </c>
      <c r="AE6" s="250">
        <v>38</v>
      </c>
      <c r="AF6" s="232">
        <v>47</v>
      </c>
      <c r="AG6" s="232">
        <v>80.851063829787222</v>
      </c>
      <c r="AH6" s="250">
        <v>52</v>
      </c>
      <c r="AI6" s="232">
        <v>67</v>
      </c>
      <c r="AJ6" s="232">
        <v>77.611940298507463</v>
      </c>
      <c r="AK6" s="232">
        <v>25</v>
      </c>
      <c r="AL6" s="232">
        <v>33</v>
      </c>
      <c r="AM6" s="232">
        <v>75.757575757575751</v>
      </c>
      <c r="AN6" s="7" t="s">
        <v>34</v>
      </c>
      <c r="AO6" s="7" t="s">
        <v>34</v>
      </c>
      <c r="AP6" s="7" t="s">
        <v>34</v>
      </c>
      <c r="AQ6" s="7" t="s">
        <v>34</v>
      </c>
      <c r="AR6" s="7" t="s">
        <v>34</v>
      </c>
      <c r="AS6" s="7" t="s">
        <v>34</v>
      </c>
    </row>
    <row r="7" spans="1:52" ht="15" customHeight="1" thickBot="1" x14ac:dyDescent="0.3">
      <c r="A7" s="316" t="s">
        <v>177</v>
      </c>
      <c r="B7" s="373">
        <v>1</v>
      </c>
      <c r="C7" s="292">
        <v>2</v>
      </c>
      <c r="D7" s="279">
        <f t="shared" si="0"/>
        <v>3</v>
      </c>
      <c r="E7" s="318" t="s">
        <v>177</v>
      </c>
      <c r="F7" s="97">
        <v>5</v>
      </c>
      <c r="G7" s="271">
        <v>10</v>
      </c>
      <c r="H7" s="321">
        <f t="shared" si="1"/>
        <v>15</v>
      </c>
      <c r="I7" s="316" t="s">
        <v>590</v>
      </c>
      <c r="J7" s="323" t="s">
        <v>34</v>
      </c>
      <c r="K7" s="323" t="s">
        <v>34</v>
      </c>
      <c r="L7" s="324" t="s">
        <v>34</v>
      </c>
      <c r="M7" s="323" t="s">
        <v>34</v>
      </c>
      <c r="N7" s="323" t="s">
        <v>34</v>
      </c>
      <c r="O7" s="324" t="s">
        <v>34</v>
      </c>
      <c r="P7" s="323" t="s">
        <v>34</v>
      </c>
      <c r="Q7" s="323">
        <v>-1</v>
      </c>
      <c r="R7" s="7" t="s">
        <v>34</v>
      </c>
      <c r="S7" s="7" t="s">
        <v>34</v>
      </c>
      <c r="T7" s="232" t="s">
        <v>34</v>
      </c>
      <c r="U7" s="221" t="s">
        <v>34</v>
      </c>
      <c r="V7" s="7" t="s">
        <v>34</v>
      </c>
      <c r="W7" s="232" t="s">
        <v>34</v>
      </c>
      <c r="X7" s="113"/>
      <c r="Y7" s="114"/>
      <c r="Z7" s="114"/>
      <c r="AA7" s="269"/>
      <c r="AB7" s="221" t="s">
        <v>34</v>
      </c>
      <c r="AC7" s="7" t="s">
        <v>34</v>
      </c>
      <c r="AD7" s="232" t="s">
        <v>34</v>
      </c>
      <c r="AE7" s="221" t="s">
        <v>34</v>
      </c>
      <c r="AF7" s="7" t="s">
        <v>34</v>
      </c>
      <c r="AG7" s="232" t="s">
        <v>34</v>
      </c>
      <c r="AH7" s="221" t="s">
        <v>34</v>
      </c>
      <c r="AI7" s="7" t="s">
        <v>34</v>
      </c>
      <c r="AJ7" s="232" t="s">
        <v>34</v>
      </c>
      <c r="AK7" s="7" t="s">
        <v>34</v>
      </c>
      <c r="AL7" s="7" t="s">
        <v>34</v>
      </c>
      <c r="AM7" s="232" t="s">
        <v>34</v>
      </c>
      <c r="AN7" s="7" t="s">
        <v>34</v>
      </c>
      <c r="AO7" s="7" t="s">
        <v>34</v>
      </c>
      <c r="AP7" s="232" t="s">
        <v>34</v>
      </c>
      <c r="AQ7" s="7" t="s">
        <v>34</v>
      </c>
      <c r="AR7" s="7" t="s">
        <v>34</v>
      </c>
      <c r="AS7" s="232" t="s">
        <v>34</v>
      </c>
    </row>
    <row r="8" spans="1:52" ht="16.5" customHeight="1" thickBot="1" x14ac:dyDescent="0.3">
      <c r="A8" s="316" t="s">
        <v>702</v>
      </c>
      <c r="B8" s="373">
        <v>0</v>
      </c>
      <c r="C8" s="292">
        <v>0</v>
      </c>
      <c r="D8" s="279">
        <f t="shared" si="0"/>
        <v>0</v>
      </c>
      <c r="E8" s="319" t="s">
        <v>702</v>
      </c>
      <c r="F8" s="97">
        <v>0</v>
      </c>
      <c r="G8" s="271">
        <v>0</v>
      </c>
      <c r="H8" s="321">
        <f t="shared" si="1"/>
        <v>0</v>
      </c>
      <c r="I8" s="316" t="s">
        <v>667</v>
      </c>
      <c r="J8" s="323" t="s">
        <v>34</v>
      </c>
      <c r="K8" s="323" t="s">
        <v>34</v>
      </c>
      <c r="L8" s="324" t="s">
        <v>34</v>
      </c>
      <c r="M8" s="323" t="s">
        <v>34</v>
      </c>
      <c r="N8" s="323" t="s">
        <v>34</v>
      </c>
      <c r="O8" s="324" t="s">
        <v>34</v>
      </c>
      <c r="P8" s="323">
        <v>1</v>
      </c>
      <c r="Q8" s="323">
        <v>1</v>
      </c>
      <c r="R8" s="7">
        <v>1</v>
      </c>
      <c r="S8" s="7">
        <v>1</v>
      </c>
      <c r="T8" s="232">
        <f>(R8/S8)*100</f>
        <v>100</v>
      </c>
      <c r="U8" s="221" t="s">
        <v>34</v>
      </c>
      <c r="V8" s="7" t="s">
        <v>34</v>
      </c>
      <c r="W8" s="232" t="s">
        <v>34</v>
      </c>
      <c r="X8" s="113"/>
      <c r="Y8" s="114"/>
      <c r="Z8" s="114"/>
      <c r="AA8" s="269"/>
      <c r="AB8" s="221" t="s">
        <v>34</v>
      </c>
      <c r="AC8" s="7" t="s">
        <v>34</v>
      </c>
      <c r="AD8" s="232" t="s">
        <v>34</v>
      </c>
      <c r="AE8" s="221" t="s">
        <v>34</v>
      </c>
      <c r="AF8" s="7" t="s">
        <v>34</v>
      </c>
      <c r="AG8" s="232" t="s">
        <v>34</v>
      </c>
      <c r="AH8" s="221" t="s">
        <v>34</v>
      </c>
      <c r="AI8" s="7" t="s">
        <v>34</v>
      </c>
      <c r="AJ8" s="232" t="s">
        <v>34</v>
      </c>
      <c r="AK8" s="7" t="s">
        <v>34</v>
      </c>
      <c r="AL8" s="7" t="s">
        <v>34</v>
      </c>
      <c r="AM8" s="232" t="s">
        <v>34</v>
      </c>
      <c r="AN8" s="7" t="s">
        <v>34</v>
      </c>
      <c r="AO8" s="7" t="s">
        <v>34</v>
      </c>
      <c r="AP8" s="232" t="s">
        <v>34</v>
      </c>
      <c r="AQ8" s="7" t="s">
        <v>34</v>
      </c>
      <c r="AR8" s="7" t="s">
        <v>34</v>
      </c>
      <c r="AS8" s="232" t="s">
        <v>34</v>
      </c>
    </row>
    <row r="9" spans="1:52" ht="15" customHeight="1" thickBot="1" x14ac:dyDescent="0.3">
      <c r="A9" s="316" t="s">
        <v>644</v>
      </c>
      <c r="B9" s="373">
        <v>0</v>
      </c>
      <c r="C9" s="292">
        <v>0</v>
      </c>
      <c r="D9" s="279">
        <f t="shared" si="0"/>
        <v>0</v>
      </c>
      <c r="E9" s="319" t="s">
        <v>644</v>
      </c>
      <c r="F9" s="97">
        <v>0</v>
      </c>
      <c r="G9" s="271">
        <v>0</v>
      </c>
      <c r="H9" s="321">
        <f t="shared" si="1"/>
        <v>0</v>
      </c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</row>
    <row r="10" spans="1:52" ht="15" customHeight="1" thickBot="1" x14ac:dyDescent="0.3">
      <c r="A10" s="316" t="s">
        <v>736</v>
      </c>
      <c r="B10" s="373">
        <v>1</v>
      </c>
      <c r="C10" s="292">
        <v>0</v>
      </c>
      <c r="D10" s="279">
        <f t="shared" si="0"/>
        <v>1</v>
      </c>
      <c r="E10" s="318" t="s">
        <v>736</v>
      </c>
      <c r="F10" s="97">
        <v>5</v>
      </c>
      <c r="G10" s="271">
        <v>0</v>
      </c>
      <c r="H10" s="321">
        <f t="shared" si="1"/>
        <v>5</v>
      </c>
      <c r="I10" s="533" t="s">
        <v>660</v>
      </c>
      <c r="J10" s="586" t="s">
        <v>33</v>
      </c>
      <c r="K10" s="587"/>
      <c r="L10" s="588"/>
      <c r="M10" s="543" t="s">
        <v>836</v>
      </c>
      <c r="N10" s="549"/>
      <c r="O10" s="550"/>
      <c r="P10" s="543" t="s">
        <v>816</v>
      </c>
      <c r="Q10" s="549"/>
      <c r="R10" s="550"/>
      <c r="S10" s="543" t="s">
        <v>574</v>
      </c>
      <c r="T10" s="549"/>
      <c r="U10" s="550"/>
      <c r="V10" s="254"/>
      <c r="W10" s="254"/>
      <c r="X10" s="254"/>
      <c r="Y10" s="354"/>
      <c r="Z10" s="354"/>
      <c r="AA10" s="354"/>
      <c r="AB10" s="543" t="s">
        <v>217</v>
      </c>
      <c r="AC10" s="549"/>
      <c r="AD10" s="550"/>
      <c r="AE10" s="543" t="s">
        <v>147</v>
      </c>
      <c r="AF10" s="549"/>
      <c r="AG10" s="550"/>
      <c r="AH10" s="543" t="s">
        <v>137</v>
      </c>
      <c r="AI10" s="549"/>
      <c r="AJ10" s="550"/>
      <c r="AK10" s="543" t="s">
        <v>101</v>
      </c>
      <c r="AL10" s="549"/>
      <c r="AM10" s="550"/>
    </row>
    <row r="11" spans="1:52" ht="15" customHeight="1" thickBot="1" x14ac:dyDescent="0.3">
      <c r="A11" s="316" t="s">
        <v>581</v>
      </c>
      <c r="B11" s="373">
        <v>2</v>
      </c>
      <c r="C11" s="292">
        <v>0</v>
      </c>
      <c r="D11" s="279">
        <f t="shared" si="0"/>
        <v>2</v>
      </c>
      <c r="E11" s="318" t="s">
        <v>581</v>
      </c>
      <c r="F11" s="97">
        <v>10</v>
      </c>
      <c r="G11" s="271">
        <v>0</v>
      </c>
      <c r="H11" s="321">
        <f t="shared" si="1"/>
        <v>10</v>
      </c>
      <c r="I11" s="534"/>
      <c r="J11" s="589"/>
      <c r="K11" s="590"/>
      <c r="L11" s="591"/>
      <c r="M11" s="551"/>
      <c r="N11" s="552"/>
      <c r="O11" s="553"/>
      <c r="P11" s="551"/>
      <c r="Q11" s="552"/>
      <c r="R11" s="553"/>
      <c r="S11" s="551"/>
      <c r="T11" s="552"/>
      <c r="U11" s="553"/>
      <c r="V11" s="254"/>
      <c r="W11" s="254"/>
      <c r="X11" s="254"/>
      <c r="Y11" s="354"/>
      <c r="Z11" s="354"/>
      <c r="AA11" s="354"/>
      <c r="AB11" s="551"/>
      <c r="AC11" s="552"/>
      <c r="AD11" s="553"/>
      <c r="AE11" s="551"/>
      <c r="AF11" s="552"/>
      <c r="AG11" s="553"/>
      <c r="AH11" s="551"/>
      <c r="AI11" s="552"/>
      <c r="AJ11" s="553"/>
      <c r="AK11" s="551"/>
      <c r="AL11" s="552"/>
      <c r="AM11" s="553"/>
    </row>
    <row r="12" spans="1:52" ht="15" customHeight="1" thickBot="1" x14ac:dyDescent="0.3">
      <c r="A12" s="316" t="s">
        <v>760</v>
      </c>
      <c r="B12" s="373">
        <v>2</v>
      </c>
      <c r="C12" s="292">
        <v>1</v>
      </c>
      <c r="D12" s="279">
        <f t="shared" si="0"/>
        <v>3</v>
      </c>
      <c r="E12" s="318" t="s">
        <v>760</v>
      </c>
      <c r="F12" s="97">
        <v>10</v>
      </c>
      <c r="G12" s="271">
        <v>5</v>
      </c>
      <c r="H12" s="321">
        <f t="shared" si="1"/>
        <v>15</v>
      </c>
      <c r="I12" s="33" t="s">
        <v>51</v>
      </c>
      <c r="J12" s="280" t="s">
        <v>129</v>
      </c>
      <c r="K12" s="280" t="s">
        <v>27</v>
      </c>
      <c r="L12" s="280" t="s">
        <v>28</v>
      </c>
      <c r="M12" s="7" t="s">
        <v>129</v>
      </c>
      <c r="N12" s="7" t="s">
        <v>27</v>
      </c>
      <c r="O12" s="7" t="s">
        <v>28</v>
      </c>
      <c r="P12" s="7" t="s">
        <v>129</v>
      </c>
      <c r="Q12" s="7" t="s">
        <v>27</v>
      </c>
      <c r="R12" s="7" t="s">
        <v>28</v>
      </c>
      <c r="S12" s="221" t="s">
        <v>129</v>
      </c>
      <c r="T12" s="7" t="s">
        <v>27</v>
      </c>
      <c r="U12" s="7" t="s">
        <v>28</v>
      </c>
      <c r="V12" s="354"/>
      <c r="W12" s="354"/>
      <c r="X12" s="354"/>
      <c r="Y12" s="354"/>
      <c r="Z12" s="354"/>
      <c r="AA12" s="354"/>
      <c r="AB12" s="221" t="s">
        <v>129</v>
      </c>
      <c r="AC12" s="7" t="s">
        <v>27</v>
      </c>
      <c r="AD12" s="7" t="s">
        <v>28</v>
      </c>
      <c r="AE12" s="221" t="s">
        <v>129</v>
      </c>
      <c r="AF12" s="7" t="s">
        <v>27</v>
      </c>
      <c r="AG12" s="7" t="s">
        <v>28</v>
      </c>
      <c r="AH12" s="221" t="s">
        <v>129</v>
      </c>
      <c r="AI12" s="7" t="s">
        <v>27</v>
      </c>
      <c r="AJ12" s="7" t="s">
        <v>28</v>
      </c>
      <c r="AK12" s="6" t="s">
        <v>129</v>
      </c>
      <c r="AL12" s="7" t="s">
        <v>27</v>
      </c>
      <c r="AM12" s="7" t="s">
        <v>28</v>
      </c>
    </row>
    <row r="13" spans="1:52" ht="15" customHeight="1" thickBot="1" x14ac:dyDescent="0.3">
      <c r="A13" s="316" t="s">
        <v>774</v>
      </c>
      <c r="B13" s="373">
        <v>2</v>
      </c>
      <c r="C13" s="292">
        <v>0</v>
      </c>
      <c r="D13" s="279">
        <f t="shared" si="0"/>
        <v>2</v>
      </c>
      <c r="E13" s="318" t="s">
        <v>774</v>
      </c>
      <c r="F13" s="97">
        <v>10</v>
      </c>
      <c r="G13" s="271">
        <v>0</v>
      </c>
      <c r="H13" s="321">
        <f t="shared" si="1"/>
        <v>10</v>
      </c>
      <c r="I13" s="322" t="s">
        <v>103</v>
      </c>
      <c r="J13" s="323">
        <v>2</v>
      </c>
      <c r="K13" s="323">
        <v>2</v>
      </c>
      <c r="L13" s="324">
        <f t="shared" ref="L13:L14" si="2">(J13/K13)*100</f>
        <v>100</v>
      </c>
      <c r="M13" s="7">
        <v>0</v>
      </c>
      <c r="N13" s="7">
        <v>2</v>
      </c>
      <c r="O13" s="232">
        <f>(M13/N13)*100</f>
        <v>0</v>
      </c>
      <c r="P13" s="7" t="s">
        <v>34</v>
      </c>
      <c r="Q13" s="7" t="s">
        <v>34</v>
      </c>
      <c r="R13" s="232" t="s">
        <v>34</v>
      </c>
      <c r="S13" s="221">
        <v>7</v>
      </c>
      <c r="T13" s="7">
        <v>10</v>
      </c>
      <c r="U13" s="232">
        <f>SUM(S13/T13)*100</f>
        <v>70</v>
      </c>
      <c r="V13" s="354"/>
      <c r="W13" s="354"/>
      <c r="X13" s="354"/>
      <c r="Y13" s="354"/>
      <c r="Z13" s="354"/>
      <c r="AA13" s="354"/>
      <c r="AB13" s="221" t="s">
        <v>34</v>
      </c>
      <c r="AC13" s="7" t="s">
        <v>34</v>
      </c>
      <c r="AD13" s="232" t="s">
        <v>34</v>
      </c>
      <c r="AE13" s="221" t="s">
        <v>34</v>
      </c>
      <c r="AF13" s="7" t="s">
        <v>34</v>
      </c>
      <c r="AG13" s="232" t="s">
        <v>34</v>
      </c>
      <c r="AH13" s="6" t="s">
        <v>34</v>
      </c>
      <c r="AI13" s="7" t="s">
        <v>34</v>
      </c>
      <c r="AJ13" s="232" t="s">
        <v>34</v>
      </c>
      <c r="AK13" s="7" t="s">
        <v>34</v>
      </c>
      <c r="AL13" s="7" t="s">
        <v>34</v>
      </c>
      <c r="AM13" s="232" t="s">
        <v>34</v>
      </c>
    </row>
    <row r="14" spans="1:52" ht="15" customHeight="1" thickBot="1" x14ac:dyDescent="0.3">
      <c r="A14" s="316" t="s">
        <v>582</v>
      </c>
      <c r="B14" s="373">
        <v>0</v>
      </c>
      <c r="C14" s="292">
        <v>0</v>
      </c>
      <c r="D14" s="279">
        <f t="shared" si="0"/>
        <v>0</v>
      </c>
      <c r="E14" s="318" t="s">
        <v>582</v>
      </c>
      <c r="F14" s="97">
        <v>0</v>
      </c>
      <c r="G14" s="271">
        <v>0</v>
      </c>
      <c r="H14" s="321">
        <f t="shared" si="1"/>
        <v>0</v>
      </c>
      <c r="I14" s="322" t="s">
        <v>579</v>
      </c>
      <c r="J14" s="323">
        <v>2</v>
      </c>
      <c r="K14" s="323">
        <v>3</v>
      </c>
      <c r="L14" s="324">
        <f t="shared" si="2"/>
        <v>66.666666666666657</v>
      </c>
      <c r="M14" s="7" t="s">
        <v>34</v>
      </c>
      <c r="N14" s="7" t="s">
        <v>34</v>
      </c>
      <c r="O14" s="232" t="s">
        <v>34</v>
      </c>
      <c r="P14" s="7" t="s">
        <v>34</v>
      </c>
      <c r="Q14" s="7" t="s">
        <v>34</v>
      </c>
      <c r="R14" s="232" t="s">
        <v>34</v>
      </c>
      <c r="S14" s="221">
        <v>6</v>
      </c>
      <c r="T14" s="7">
        <v>13</v>
      </c>
      <c r="U14" s="232" t="s">
        <v>34</v>
      </c>
      <c r="V14" s="354"/>
      <c r="W14" s="354"/>
      <c r="X14" s="354"/>
      <c r="Y14" s="354"/>
      <c r="Z14" s="354"/>
      <c r="AA14" s="354"/>
      <c r="AB14" s="221" t="s">
        <v>34</v>
      </c>
      <c r="AC14" s="7" t="s">
        <v>34</v>
      </c>
      <c r="AD14" s="232" t="s">
        <v>34</v>
      </c>
      <c r="AE14" s="221">
        <v>4</v>
      </c>
      <c r="AF14" s="7">
        <v>5</v>
      </c>
      <c r="AG14" s="232" t="s">
        <v>34</v>
      </c>
      <c r="AH14" s="6" t="s">
        <v>34</v>
      </c>
      <c r="AI14" s="7" t="s">
        <v>34</v>
      </c>
      <c r="AJ14" s="232" t="s">
        <v>34</v>
      </c>
      <c r="AK14" s="7" t="s">
        <v>34</v>
      </c>
      <c r="AL14" s="7" t="s">
        <v>34</v>
      </c>
      <c r="AM14" s="232" t="s">
        <v>34</v>
      </c>
      <c r="AN14" t="s">
        <v>51</v>
      </c>
    </row>
    <row r="15" spans="1:52" ht="15" customHeight="1" thickBot="1" x14ac:dyDescent="0.3">
      <c r="A15" s="316" t="s">
        <v>643</v>
      </c>
      <c r="B15" s="373">
        <v>0</v>
      </c>
      <c r="C15" s="292">
        <v>0</v>
      </c>
      <c r="D15" s="279">
        <f t="shared" si="0"/>
        <v>0</v>
      </c>
      <c r="E15" s="318" t="s">
        <v>643</v>
      </c>
      <c r="F15" s="97">
        <v>0</v>
      </c>
      <c r="G15" s="271">
        <v>0</v>
      </c>
      <c r="H15" s="321">
        <f t="shared" si="1"/>
        <v>0</v>
      </c>
      <c r="I15" s="316" t="s">
        <v>600</v>
      </c>
      <c r="J15" s="323">
        <v>13</v>
      </c>
      <c r="K15" s="323">
        <v>15</v>
      </c>
      <c r="L15" s="324">
        <f>(J15/K15)*100</f>
        <v>86.666666666666671</v>
      </c>
      <c r="M15" s="7">
        <v>9</v>
      </c>
      <c r="N15" s="7">
        <v>11</v>
      </c>
      <c r="O15" s="232">
        <f>(M15/N15)*100</f>
        <v>81.818181818181827</v>
      </c>
      <c r="P15" s="7">
        <v>9</v>
      </c>
      <c r="Q15" s="7">
        <v>14</v>
      </c>
      <c r="R15" s="232">
        <v>64.285714285714292</v>
      </c>
      <c r="S15" s="221" t="s">
        <v>34</v>
      </c>
      <c r="T15" s="7" t="s">
        <v>34</v>
      </c>
      <c r="U15" s="232" t="s">
        <v>34</v>
      </c>
      <c r="V15" s="354"/>
      <c r="W15" s="354"/>
      <c r="X15" s="354"/>
      <c r="Y15" s="354"/>
      <c r="Z15" s="354"/>
      <c r="AA15" s="354"/>
      <c r="AB15" s="221">
        <v>20</v>
      </c>
      <c r="AC15" s="7">
        <v>26</v>
      </c>
      <c r="AD15" s="232">
        <v>76.923076923076934</v>
      </c>
      <c r="AE15" s="221">
        <v>22</v>
      </c>
      <c r="AF15" s="7">
        <v>25</v>
      </c>
      <c r="AG15" s="232">
        <v>88</v>
      </c>
      <c r="AH15" s="6">
        <v>6</v>
      </c>
      <c r="AI15" s="7">
        <v>11</v>
      </c>
      <c r="AJ15" s="232">
        <v>54.54545454545454</v>
      </c>
      <c r="AK15" s="7">
        <v>22</v>
      </c>
      <c r="AL15" s="7">
        <v>29</v>
      </c>
      <c r="AM15" s="232">
        <v>75.862068965517238</v>
      </c>
    </row>
    <row r="16" spans="1:52" ht="15" customHeight="1" thickBot="1" x14ac:dyDescent="0.3">
      <c r="A16" s="316" t="s">
        <v>583</v>
      </c>
      <c r="B16" s="373">
        <v>1</v>
      </c>
      <c r="C16" s="292">
        <v>0</v>
      </c>
      <c r="D16" s="279">
        <f t="shared" si="0"/>
        <v>1</v>
      </c>
      <c r="E16" s="318" t="s">
        <v>583</v>
      </c>
      <c r="F16" s="97">
        <v>5</v>
      </c>
      <c r="G16" s="271">
        <v>0</v>
      </c>
      <c r="H16" s="321">
        <f t="shared" si="1"/>
        <v>5</v>
      </c>
      <c r="I16" s="315" t="s">
        <v>590</v>
      </c>
      <c r="J16" s="323">
        <v>0</v>
      </c>
      <c r="K16" s="323">
        <v>1</v>
      </c>
      <c r="L16" s="324">
        <f>(J16/K16)*100</f>
        <v>0</v>
      </c>
      <c r="M16" s="7" t="s">
        <v>34</v>
      </c>
      <c r="N16" s="7" t="s">
        <v>34</v>
      </c>
      <c r="O16" s="232" t="s">
        <v>34</v>
      </c>
      <c r="P16" s="7" t="s">
        <v>34</v>
      </c>
      <c r="Q16" s="7" t="s">
        <v>34</v>
      </c>
      <c r="R16" s="232" t="s">
        <v>34</v>
      </c>
      <c r="S16" s="7" t="s">
        <v>34</v>
      </c>
      <c r="T16" s="7" t="s">
        <v>34</v>
      </c>
      <c r="U16" s="232" t="s">
        <v>34</v>
      </c>
      <c r="V16" s="408"/>
      <c r="W16" s="408"/>
      <c r="X16" s="408"/>
      <c r="Y16" s="408"/>
      <c r="Z16" s="408"/>
      <c r="AA16" s="408"/>
      <c r="AB16" s="221" t="s">
        <v>34</v>
      </c>
      <c r="AC16" s="7" t="s">
        <v>34</v>
      </c>
      <c r="AD16" s="232" t="s">
        <v>34</v>
      </c>
      <c r="AE16" s="221" t="s">
        <v>34</v>
      </c>
      <c r="AF16" s="7" t="s">
        <v>34</v>
      </c>
      <c r="AG16" s="232" t="s">
        <v>34</v>
      </c>
      <c r="AH16" s="6" t="s">
        <v>34</v>
      </c>
      <c r="AI16" s="7" t="s">
        <v>34</v>
      </c>
      <c r="AJ16" s="232" t="s">
        <v>34</v>
      </c>
      <c r="AK16" s="7" t="s">
        <v>34</v>
      </c>
      <c r="AL16" s="7" t="s">
        <v>34</v>
      </c>
      <c r="AM16" s="232" t="s">
        <v>34</v>
      </c>
      <c r="AN16" s="409"/>
      <c r="AO16" s="409"/>
      <c r="AP16" s="409"/>
      <c r="AQ16" s="409"/>
      <c r="AR16" s="409"/>
      <c r="AS16" s="409"/>
    </row>
    <row r="17" spans="1:43" ht="15" customHeight="1" thickBot="1" x14ac:dyDescent="0.3">
      <c r="A17" s="316" t="s">
        <v>654</v>
      </c>
      <c r="B17" s="373">
        <v>6</v>
      </c>
      <c r="C17" s="292">
        <v>3</v>
      </c>
      <c r="D17" s="279">
        <f t="shared" si="0"/>
        <v>9</v>
      </c>
      <c r="E17" s="318" t="s">
        <v>654</v>
      </c>
      <c r="F17" s="97">
        <v>30</v>
      </c>
      <c r="G17" s="271">
        <v>15</v>
      </c>
      <c r="H17" s="321">
        <f t="shared" si="1"/>
        <v>45</v>
      </c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354"/>
      <c r="W17" s="354"/>
      <c r="X17" s="354"/>
      <c r="Y17" s="354"/>
      <c r="Z17" s="354"/>
      <c r="AA17" s="354"/>
      <c r="AB17" s="227"/>
      <c r="AC17" s="227"/>
      <c r="AD17" s="227"/>
      <c r="AO17" s="163"/>
    </row>
    <row r="18" spans="1:43" ht="15" customHeight="1" thickBot="1" x14ac:dyDescent="0.3">
      <c r="A18" s="316" t="s">
        <v>584</v>
      </c>
      <c r="B18" s="373">
        <v>0</v>
      </c>
      <c r="C18" s="292">
        <v>1</v>
      </c>
      <c r="D18" s="279">
        <f t="shared" si="0"/>
        <v>1</v>
      </c>
      <c r="E18" s="318" t="s">
        <v>584</v>
      </c>
      <c r="F18" s="97">
        <v>0</v>
      </c>
      <c r="G18" s="271">
        <v>5</v>
      </c>
      <c r="H18" s="321">
        <f t="shared" si="1"/>
        <v>5</v>
      </c>
      <c r="I18" s="515" t="s">
        <v>218</v>
      </c>
      <c r="J18" s="543" t="s">
        <v>836</v>
      </c>
      <c r="K18" s="549"/>
      <c r="L18" s="550"/>
      <c r="M18" s="543" t="s">
        <v>816</v>
      </c>
      <c r="N18" s="549"/>
      <c r="O18" s="550"/>
      <c r="P18" s="543" t="s">
        <v>574</v>
      </c>
      <c r="Q18" s="549"/>
      <c r="R18" s="550"/>
      <c r="S18" s="543" t="s">
        <v>217</v>
      </c>
      <c r="T18" s="549"/>
      <c r="U18" s="550"/>
      <c r="V18" s="354"/>
      <c r="W18" s="354"/>
      <c r="X18" s="354"/>
      <c r="Y18" s="354"/>
      <c r="Z18" s="354"/>
      <c r="AA18" s="354"/>
      <c r="AB18" s="543" t="s">
        <v>137</v>
      </c>
      <c r="AC18" s="549"/>
      <c r="AD18" s="550"/>
      <c r="AE18" s="543" t="s">
        <v>101</v>
      </c>
      <c r="AF18" s="549"/>
      <c r="AG18" s="550"/>
    </row>
    <row r="19" spans="1:43" ht="15" customHeight="1" thickBot="1" x14ac:dyDescent="0.3">
      <c r="A19" s="316" t="s">
        <v>519</v>
      </c>
      <c r="B19" s="373">
        <v>0</v>
      </c>
      <c r="C19" s="292">
        <v>0</v>
      </c>
      <c r="D19" s="279">
        <f t="shared" si="0"/>
        <v>0</v>
      </c>
      <c r="E19" s="318" t="s">
        <v>519</v>
      </c>
      <c r="F19" s="97">
        <v>0</v>
      </c>
      <c r="G19" s="271">
        <v>0</v>
      </c>
      <c r="H19" s="321">
        <f t="shared" si="1"/>
        <v>0</v>
      </c>
      <c r="I19" s="516"/>
      <c r="J19" s="551"/>
      <c r="K19" s="552"/>
      <c r="L19" s="553"/>
      <c r="M19" s="551"/>
      <c r="N19" s="552"/>
      <c r="O19" s="553"/>
      <c r="P19" s="551"/>
      <c r="Q19" s="552"/>
      <c r="R19" s="553"/>
      <c r="S19" s="551"/>
      <c r="T19" s="552"/>
      <c r="U19" s="553"/>
      <c r="V19" s="354"/>
      <c r="W19" s="354"/>
      <c r="X19" s="354"/>
      <c r="Y19" s="354"/>
      <c r="Z19" s="354"/>
      <c r="AA19" s="354"/>
      <c r="AB19" s="551"/>
      <c r="AC19" s="552"/>
      <c r="AD19" s="553"/>
      <c r="AE19" s="551"/>
      <c r="AF19" s="552"/>
      <c r="AG19" s="553"/>
    </row>
    <row r="20" spans="1:43" ht="15" customHeight="1" thickBot="1" x14ac:dyDescent="0.3">
      <c r="A20" s="316" t="s">
        <v>585</v>
      </c>
      <c r="B20" s="373">
        <v>1</v>
      </c>
      <c r="C20" s="292">
        <v>0</v>
      </c>
      <c r="D20" s="279">
        <f t="shared" si="0"/>
        <v>1</v>
      </c>
      <c r="E20" s="318" t="s">
        <v>585</v>
      </c>
      <c r="F20" s="97">
        <v>5</v>
      </c>
      <c r="G20" s="271">
        <v>0</v>
      </c>
      <c r="H20" s="321">
        <f t="shared" si="1"/>
        <v>5</v>
      </c>
      <c r="I20" s="33" t="s">
        <v>51</v>
      </c>
      <c r="J20" s="7" t="s">
        <v>129</v>
      </c>
      <c r="K20" s="7" t="s">
        <v>27</v>
      </c>
      <c r="L20" s="7" t="s">
        <v>28</v>
      </c>
      <c r="M20" s="7" t="s">
        <v>129</v>
      </c>
      <c r="N20" s="7" t="s">
        <v>27</v>
      </c>
      <c r="O20" s="7" t="s">
        <v>28</v>
      </c>
      <c r="P20" s="7" t="s">
        <v>129</v>
      </c>
      <c r="Q20" s="7" t="s">
        <v>27</v>
      </c>
      <c r="R20" s="7" t="s">
        <v>28</v>
      </c>
      <c r="S20" s="221" t="s">
        <v>129</v>
      </c>
      <c r="T20" s="7" t="s">
        <v>27</v>
      </c>
      <c r="U20" s="7" t="s">
        <v>28</v>
      </c>
      <c r="V20" s="354"/>
      <c r="W20" s="354"/>
      <c r="X20" s="354"/>
      <c r="Y20" s="354"/>
      <c r="Z20" s="354"/>
      <c r="AA20" s="354"/>
      <c r="AB20" s="221" t="s">
        <v>129</v>
      </c>
      <c r="AC20" s="7" t="s">
        <v>27</v>
      </c>
      <c r="AD20" s="7" t="s">
        <v>28</v>
      </c>
      <c r="AE20" s="221" t="s">
        <v>129</v>
      </c>
      <c r="AF20" s="7" t="s">
        <v>27</v>
      </c>
      <c r="AG20" s="7" t="s">
        <v>28</v>
      </c>
    </row>
    <row r="21" spans="1:43" ht="15" customHeight="1" thickBot="1" x14ac:dyDescent="0.3">
      <c r="A21" s="316" t="s">
        <v>586</v>
      </c>
      <c r="B21" s="373">
        <v>0</v>
      </c>
      <c r="C21" s="292">
        <v>0</v>
      </c>
      <c r="D21" s="279">
        <f t="shared" si="0"/>
        <v>0</v>
      </c>
      <c r="E21" s="318" t="s">
        <v>586</v>
      </c>
      <c r="F21" s="97">
        <v>0</v>
      </c>
      <c r="G21" s="271">
        <v>0</v>
      </c>
      <c r="H21" s="321">
        <f t="shared" si="1"/>
        <v>0</v>
      </c>
      <c r="I21" s="322" t="s">
        <v>103</v>
      </c>
      <c r="J21" s="7" t="s">
        <v>34</v>
      </c>
      <c r="K21" s="7" t="s">
        <v>34</v>
      </c>
      <c r="L21" s="232" t="s">
        <v>34</v>
      </c>
      <c r="M21" s="7" t="s">
        <v>34</v>
      </c>
      <c r="N21" s="7" t="s">
        <v>34</v>
      </c>
      <c r="O21" s="232" t="s">
        <v>34</v>
      </c>
      <c r="P21" s="7" t="s">
        <v>34</v>
      </c>
      <c r="Q21" s="7" t="s">
        <v>34</v>
      </c>
      <c r="R21" s="232" t="s">
        <v>34</v>
      </c>
      <c r="S21" s="221" t="s">
        <v>34</v>
      </c>
      <c r="T21" s="7" t="s">
        <v>34</v>
      </c>
      <c r="U21" s="232" t="s">
        <v>34</v>
      </c>
      <c r="V21" s="354"/>
      <c r="W21" s="354"/>
      <c r="X21" s="354"/>
      <c r="Y21" s="354"/>
      <c r="Z21" s="354"/>
      <c r="AA21" s="354"/>
      <c r="AB21" s="221" t="s">
        <v>34</v>
      </c>
      <c r="AC21" s="7" t="s">
        <v>34</v>
      </c>
      <c r="AD21" s="232" t="s">
        <v>34</v>
      </c>
      <c r="AE21" s="221" t="s">
        <v>34</v>
      </c>
      <c r="AF21" s="7" t="s">
        <v>34</v>
      </c>
      <c r="AG21" s="7" t="s">
        <v>34</v>
      </c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</row>
    <row r="22" spans="1:43" ht="15" customHeight="1" thickBot="1" x14ac:dyDescent="0.3">
      <c r="A22" s="316" t="s">
        <v>587</v>
      </c>
      <c r="B22" s="373">
        <v>1</v>
      </c>
      <c r="C22" s="292">
        <v>0</v>
      </c>
      <c r="D22" s="279">
        <f t="shared" si="0"/>
        <v>1</v>
      </c>
      <c r="E22" s="318" t="s">
        <v>587</v>
      </c>
      <c r="F22" s="97">
        <v>177</v>
      </c>
      <c r="G22" s="271">
        <v>30</v>
      </c>
      <c r="H22" s="321">
        <f t="shared" si="1"/>
        <v>207</v>
      </c>
      <c r="I22" s="322" t="s">
        <v>579</v>
      </c>
      <c r="J22" s="7" t="s">
        <v>34</v>
      </c>
      <c r="K22" s="7" t="s">
        <v>34</v>
      </c>
      <c r="L22" s="232" t="s">
        <v>34</v>
      </c>
      <c r="M22" s="7" t="s">
        <v>34</v>
      </c>
      <c r="N22" s="7" t="s">
        <v>34</v>
      </c>
      <c r="O22" s="232" t="s">
        <v>34</v>
      </c>
      <c r="P22" s="7">
        <v>0</v>
      </c>
      <c r="Q22" s="7">
        <v>2</v>
      </c>
      <c r="R22" s="232">
        <v>0</v>
      </c>
      <c r="S22" s="221" t="s">
        <v>34</v>
      </c>
      <c r="T22" s="7" t="s">
        <v>34</v>
      </c>
      <c r="U22" s="232" t="s">
        <v>34</v>
      </c>
      <c r="V22" s="354"/>
      <c r="W22" s="354"/>
      <c r="X22" s="354"/>
      <c r="Y22" s="354"/>
      <c r="Z22" s="354"/>
      <c r="AA22" s="354"/>
      <c r="AB22" s="221" t="s">
        <v>34</v>
      </c>
      <c r="AC22" s="7" t="s">
        <v>34</v>
      </c>
      <c r="AD22" s="232" t="s">
        <v>34</v>
      </c>
      <c r="AE22" s="221" t="s">
        <v>34</v>
      </c>
      <c r="AF22" s="7" t="s">
        <v>34</v>
      </c>
      <c r="AG22" s="7" t="s">
        <v>34</v>
      </c>
    </row>
    <row r="23" spans="1:43" ht="15" customHeight="1" thickBot="1" x14ac:dyDescent="0.3">
      <c r="A23" s="316" t="s">
        <v>588</v>
      </c>
      <c r="B23" s="373">
        <v>6</v>
      </c>
      <c r="C23" s="292">
        <v>1</v>
      </c>
      <c r="D23" s="279">
        <f t="shared" si="0"/>
        <v>7</v>
      </c>
      <c r="E23" s="318" t="s">
        <v>588</v>
      </c>
      <c r="F23" s="97">
        <v>30</v>
      </c>
      <c r="G23" s="271">
        <v>5</v>
      </c>
      <c r="H23" s="321">
        <f t="shared" si="1"/>
        <v>35</v>
      </c>
      <c r="I23" s="316" t="s">
        <v>587</v>
      </c>
      <c r="J23" s="7">
        <v>8</v>
      </c>
      <c r="K23" s="7">
        <v>12</v>
      </c>
      <c r="L23" s="232">
        <f>(J23/K23)*100</f>
        <v>66.666666666666657</v>
      </c>
      <c r="M23" s="7" t="s">
        <v>34</v>
      </c>
      <c r="N23" s="7" t="s">
        <v>34</v>
      </c>
      <c r="O23" s="232" t="s">
        <v>34</v>
      </c>
      <c r="P23" s="7" t="s">
        <v>34</v>
      </c>
      <c r="Q23" s="7" t="s">
        <v>34</v>
      </c>
      <c r="R23" s="232" t="s">
        <v>34</v>
      </c>
      <c r="S23" s="221" t="s">
        <v>34</v>
      </c>
      <c r="T23" s="7" t="s">
        <v>34</v>
      </c>
      <c r="U23" s="232" t="s">
        <v>34</v>
      </c>
      <c r="V23" s="354"/>
      <c r="W23" s="354"/>
      <c r="X23" s="354"/>
      <c r="Y23" s="354"/>
      <c r="Z23" s="354"/>
      <c r="AA23" s="354"/>
      <c r="AB23" s="221" t="s">
        <v>34</v>
      </c>
      <c r="AC23" s="7" t="s">
        <v>34</v>
      </c>
      <c r="AD23" s="232" t="s">
        <v>34</v>
      </c>
      <c r="AE23" s="221" t="s">
        <v>34</v>
      </c>
      <c r="AF23" s="7" t="s">
        <v>34</v>
      </c>
      <c r="AG23" s="7" t="s">
        <v>34</v>
      </c>
    </row>
    <row r="24" spans="1:43" ht="15" customHeight="1" thickBot="1" x14ac:dyDescent="0.3">
      <c r="A24" s="316" t="s">
        <v>695</v>
      </c>
      <c r="B24" s="373">
        <v>2</v>
      </c>
      <c r="C24" s="292">
        <v>1</v>
      </c>
      <c r="D24" s="279">
        <f t="shared" si="0"/>
        <v>3</v>
      </c>
      <c r="E24" s="318" t="s">
        <v>695</v>
      </c>
      <c r="F24" s="97">
        <v>10</v>
      </c>
      <c r="G24" s="271">
        <v>5</v>
      </c>
      <c r="H24" s="321">
        <f t="shared" si="1"/>
        <v>15</v>
      </c>
      <c r="I24" s="585" t="s">
        <v>1021</v>
      </c>
      <c r="J24" s="554"/>
      <c r="K24" s="554"/>
      <c r="L24" s="554"/>
      <c r="M24" s="554"/>
      <c r="N24" s="554"/>
      <c r="O24" s="554"/>
      <c r="P24" s="554"/>
      <c r="Q24" s="554"/>
      <c r="R24" s="554"/>
      <c r="S24" s="554"/>
      <c r="T24" s="554"/>
      <c r="U24" s="554"/>
      <c r="V24" s="554"/>
      <c r="W24" s="554"/>
      <c r="X24" s="554"/>
      <c r="Y24" s="554"/>
      <c r="Z24" s="554"/>
      <c r="AA24" s="554"/>
      <c r="AB24" s="554"/>
      <c r="AC24" s="554"/>
      <c r="AD24" s="554"/>
    </row>
    <row r="25" spans="1:43" ht="15" customHeight="1" thickBot="1" x14ac:dyDescent="0.3">
      <c r="A25" s="316" t="s">
        <v>591</v>
      </c>
      <c r="B25" s="373">
        <v>3</v>
      </c>
      <c r="C25" s="292">
        <v>0</v>
      </c>
      <c r="D25" s="279">
        <f t="shared" si="0"/>
        <v>3</v>
      </c>
      <c r="E25" s="318" t="s">
        <v>591</v>
      </c>
      <c r="F25" s="97">
        <v>15</v>
      </c>
      <c r="G25" s="271">
        <v>0</v>
      </c>
      <c r="H25" s="321">
        <f t="shared" si="1"/>
        <v>15</v>
      </c>
      <c r="I25" s="584" t="s">
        <v>51</v>
      </c>
      <c r="J25" s="536"/>
      <c r="K25" s="536"/>
      <c r="L25" s="536"/>
      <c r="M25" s="536"/>
      <c r="N25" s="536"/>
      <c r="O25" s="536"/>
      <c r="P25" s="536"/>
      <c r="Q25" s="536"/>
      <c r="R25" s="536"/>
      <c r="S25" s="536"/>
      <c r="T25" s="536"/>
      <c r="U25" s="536"/>
    </row>
    <row r="26" spans="1:43" ht="15" customHeight="1" thickBot="1" x14ac:dyDescent="0.3">
      <c r="A26" s="316" t="s">
        <v>607</v>
      </c>
      <c r="B26" s="373">
        <v>0</v>
      </c>
      <c r="C26" s="292">
        <v>0</v>
      </c>
      <c r="D26" s="279">
        <f t="shared" si="0"/>
        <v>0</v>
      </c>
      <c r="E26" s="318" t="s">
        <v>607</v>
      </c>
      <c r="F26" s="97">
        <v>0</v>
      </c>
      <c r="G26" s="271">
        <v>0</v>
      </c>
      <c r="H26" s="321">
        <f t="shared" si="1"/>
        <v>0</v>
      </c>
    </row>
    <row r="27" spans="1:43" ht="15.75" thickBot="1" x14ac:dyDescent="0.3">
      <c r="A27" s="316" t="s">
        <v>590</v>
      </c>
      <c r="B27" s="373">
        <v>1</v>
      </c>
      <c r="C27" s="292">
        <v>0</v>
      </c>
      <c r="D27" s="279">
        <f t="shared" si="0"/>
        <v>1</v>
      </c>
      <c r="E27" s="318" t="s">
        <v>590</v>
      </c>
      <c r="F27" s="97">
        <v>5</v>
      </c>
      <c r="G27" s="271">
        <v>0</v>
      </c>
      <c r="H27" s="321">
        <f t="shared" si="1"/>
        <v>5</v>
      </c>
      <c r="N27" t="s">
        <v>51</v>
      </c>
      <c r="O27" t="s">
        <v>51</v>
      </c>
    </row>
    <row r="28" spans="1:43" ht="15.75" thickBot="1" x14ac:dyDescent="0.3">
      <c r="A28" s="316" t="s">
        <v>665</v>
      </c>
      <c r="B28" s="373">
        <v>0</v>
      </c>
      <c r="C28" s="292">
        <v>0</v>
      </c>
      <c r="D28" s="279">
        <f t="shared" si="0"/>
        <v>0</v>
      </c>
      <c r="E28" s="318" t="s">
        <v>665</v>
      </c>
      <c r="F28" s="97">
        <v>0</v>
      </c>
      <c r="G28" s="271">
        <v>0</v>
      </c>
      <c r="H28" s="321">
        <f t="shared" si="1"/>
        <v>0</v>
      </c>
    </row>
    <row r="29" spans="1:43" ht="15.75" thickBot="1" x14ac:dyDescent="0.3">
      <c r="A29" s="316" t="s">
        <v>120</v>
      </c>
      <c r="B29" s="373">
        <v>0</v>
      </c>
      <c r="C29" s="292">
        <v>0</v>
      </c>
      <c r="D29" s="279">
        <f t="shared" si="0"/>
        <v>0</v>
      </c>
      <c r="E29" s="318" t="s">
        <v>120</v>
      </c>
      <c r="F29" s="97">
        <v>0</v>
      </c>
      <c r="G29" s="271">
        <v>0</v>
      </c>
      <c r="H29" s="321">
        <f t="shared" si="1"/>
        <v>0</v>
      </c>
    </row>
    <row r="30" spans="1:43" ht="15.75" thickBot="1" x14ac:dyDescent="0.3">
      <c r="A30" s="316" t="s">
        <v>592</v>
      </c>
      <c r="B30" s="373">
        <v>4</v>
      </c>
      <c r="C30" s="292">
        <v>1</v>
      </c>
      <c r="D30" s="279">
        <f t="shared" si="0"/>
        <v>5</v>
      </c>
      <c r="E30" s="318" t="s">
        <v>592</v>
      </c>
      <c r="F30" s="97">
        <v>20</v>
      </c>
      <c r="G30" s="271">
        <v>5</v>
      </c>
      <c r="H30" s="321">
        <f t="shared" si="1"/>
        <v>25</v>
      </c>
    </row>
    <row r="31" spans="1:43" ht="15.75" thickBot="1" x14ac:dyDescent="0.3">
      <c r="A31" s="316" t="s">
        <v>667</v>
      </c>
      <c r="B31" s="373">
        <v>3</v>
      </c>
      <c r="C31" s="292">
        <v>0</v>
      </c>
      <c r="D31" s="279">
        <f t="shared" si="0"/>
        <v>3</v>
      </c>
      <c r="E31" s="318" t="s">
        <v>667</v>
      </c>
      <c r="F31" s="97">
        <v>15</v>
      </c>
      <c r="G31" s="271">
        <v>0</v>
      </c>
      <c r="H31" s="321">
        <f t="shared" si="1"/>
        <v>15</v>
      </c>
    </row>
    <row r="32" spans="1:43" ht="15.75" thickBot="1" x14ac:dyDescent="0.3">
      <c r="A32" s="316" t="s">
        <v>593</v>
      </c>
      <c r="B32" s="373">
        <v>1</v>
      </c>
      <c r="C32" s="292">
        <v>0</v>
      </c>
      <c r="D32" s="279">
        <f t="shared" si="0"/>
        <v>1</v>
      </c>
      <c r="E32" s="318" t="s">
        <v>593</v>
      </c>
      <c r="F32" s="97">
        <v>5</v>
      </c>
      <c r="G32" s="271">
        <v>0</v>
      </c>
      <c r="H32" s="321">
        <f t="shared" si="1"/>
        <v>5</v>
      </c>
    </row>
    <row r="33" spans="1:8" ht="15.75" thickBot="1" x14ac:dyDescent="0.3">
      <c r="A33" s="316" t="s">
        <v>594</v>
      </c>
      <c r="B33" s="373">
        <v>8</v>
      </c>
      <c r="C33" s="292">
        <v>1</v>
      </c>
      <c r="D33" s="279">
        <f t="shared" si="0"/>
        <v>9</v>
      </c>
      <c r="E33" s="318" t="s">
        <v>594</v>
      </c>
      <c r="F33" s="97">
        <v>40</v>
      </c>
      <c r="G33" s="271">
        <v>5</v>
      </c>
      <c r="H33" s="321">
        <f t="shared" si="1"/>
        <v>45</v>
      </c>
    </row>
    <row r="34" spans="1:8" ht="15.75" thickBot="1" x14ac:dyDescent="0.3">
      <c r="A34" s="316" t="s">
        <v>6</v>
      </c>
      <c r="B34" s="373">
        <v>1</v>
      </c>
      <c r="C34" s="292">
        <v>0</v>
      </c>
      <c r="D34" s="279">
        <f t="shared" si="0"/>
        <v>1</v>
      </c>
      <c r="E34" s="318" t="s">
        <v>6</v>
      </c>
      <c r="F34" s="97">
        <v>7</v>
      </c>
      <c r="G34" s="271">
        <v>0</v>
      </c>
      <c r="H34" s="321">
        <f t="shared" si="1"/>
        <v>7</v>
      </c>
    </row>
    <row r="35" spans="1:8" ht="15.75" thickBot="1" x14ac:dyDescent="0.3">
      <c r="A35" s="316" t="s">
        <v>1019</v>
      </c>
      <c r="B35" s="373">
        <v>1</v>
      </c>
      <c r="C35" s="292">
        <v>2</v>
      </c>
      <c r="D35" s="279">
        <f t="shared" si="0"/>
        <v>3</v>
      </c>
      <c r="E35" s="318" t="s">
        <v>1019</v>
      </c>
      <c r="F35" s="97">
        <v>5</v>
      </c>
      <c r="G35" s="271">
        <v>10</v>
      </c>
      <c r="H35" s="321">
        <f t="shared" si="1"/>
        <v>15</v>
      </c>
    </row>
    <row r="36" spans="1:8" ht="15.75" thickBot="1" x14ac:dyDescent="0.3">
      <c r="A36" s="316" t="s">
        <v>596</v>
      </c>
      <c r="B36" s="373">
        <v>5</v>
      </c>
      <c r="C36" s="292">
        <v>2</v>
      </c>
      <c r="D36" s="279">
        <f t="shared" si="0"/>
        <v>7</v>
      </c>
      <c r="E36" s="318" t="s">
        <v>596</v>
      </c>
      <c r="F36" s="97">
        <v>25</v>
      </c>
      <c r="G36" s="271">
        <v>10</v>
      </c>
      <c r="H36" s="321">
        <f t="shared" si="1"/>
        <v>35</v>
      </c>
    </row>
    <row r="37" spans="1:8" ht="15.75" thickBot="1" x14ac:dyDescent="0.3">
      <c r="A37" s="316" t="s">
        <v>7</v>
      </c>
      <c r="B37" s="373">
        <v>0</v>
      </c>
      <c r="C37" s="292">
        <v>0</v>
      </c>
      <c r="D37" s="279">
        <f t="shared" si="0"/>
        <v>0</v>
      </c>
      <c r="E37" s="318" t="s">
        <v>7</v>
      </c>
      <c r="F37" s="97">
        <v>0</v>
      </c>
      <c r="G37" s="271">
        <v>0</v>
      </c>
      <c r="H37" s="321">
        <f t="shared" si="1"/>
        <v>0</v>
      </c>
    </row>
    <row r="38" spans="1:8" ht="15.75" thickBot="1" x14ac:dyDescent="0.3">
      <c r="A38" s="316" t="s">
        <v>3</v>
      </c>
      <c r="B38" s="373">
        <f>SUM(B3:B37)</f>
        <v>53</v>
      </c>
      <c r="C38" s="292">
        <f>SUM(C3:C37)</f>
        <v>15</v>
      </c>
      <c r="D38" s="279">
        <f>SUM(D3:D37)</f>
        <v>68</v>
      </c>
      <c r="E38" s="318" t="s">
        <v>3</v>
      </c>
      <c r="F38" s="97">
        <f>SUM(F3:F37)</f>
        <v>439</v>
      </c>
      <c r="G38" s="271">
        <f>SUM(G3:G37)</f>
        <v>114</v>
      </c>
      <c r="H38" s="321">
        <f>SUM(H3:H37)</f>
        <v>553</v>
      </c>
    </row>
    <row r="39" spans="1:8" x14ac:dyDescent="0.25">
      <c r="A39" s="4" t="s">
        <v>51</v>
      </c>
      <c r="B39" s="346"/>
      <c r="C39" s="293"/>
      <c r="D39" s="4"/>
      <c r="E39" s="41"/>
      <c r="F39" s="185"/>
      <c r="G39" s="84"/>
      <c r="H39" s="41"/>
    </row>
    <row r="40" spans="1:8" ht="15.75" thickBot="1" x14ac:dyDescent="0.3">
      <c r="A40" t="s">
        <v>30</v>
      </c>
      <c r="B40" s="347"/>
      <c r="C40" s="294"/>
      <c r="E40" s="39"/>
      <c r="F40" s="184"/>
      <c r="G40" s="85"/>
      <c r="H40" s="39"/>
    </row>
    <row r="41" spans="1:8" ht="15.75" thickBot="1" x14ac:dyDescent="0.3">
      <c r="A41" s="315" t="s">
        <v>0</v>
      </c>
      <c r="B41" s="372" t="s">
        <v>815</v>
      </c>
      <c r="C41" s="291" t="s">
        <v>73</v>
      </c>
      <c r="D41" s="278" t="s">
        <v>1</v>
      </c>
      <c r="E41" s="317" t="s">
        <v>2</v>
      </c>
      <c r="F41" s="147" t="s">
        <v>815</v>
      </c>
      <c r="G41" s="270" t="s">
        <v>73</v>
      </c>
      <c r="H41" s="320" t="s">
        <v>1</v>
      </c>
    </row>
    <row r="42" spans="1:8" ht="15" customHeight="1" thickBot="1" x14ac:dyDescent="0.3">
      <c r="A42" s="316" t="s">
        <v>654</v>
      </c>
      <c r="B42" s="373">
        <v>6</v>
      </c>
      <c r="C42" s="292">
        <v>3</v>
      </c>
      <c r="D42" s="279">
        <f t="shared" ref="D42:D76" si="3">SUM(B42:C42)</f>
        <v>9</v>
      </c>
      <c r="E42" s="318" t="s">
        <v>587</v>
      </c>
      <c r="F42" s="97">
        <v>177</v>
      </c>
      <c r="G42" s="271">
        <v>30</v>
      </c>
      <c r="H42" s="321">
        <f t="shared" ref="H42:H76" si="4">SUM(F42:G42)</f>
        <v>207</v>
      </c>
    </row>
    <row r="43" spans="1:8" ht="15.75" thickBot="1" x14ac:dyDescent="0.3">
      <c r="A43" s="316" t="s">
        <v>594</v>
      </c>
      <c r="B43" s="373">
        <v>8</v>
      </c>
      <c r="C43" s="292">
        <v>1</v>
      </c>
      <c r="D43" s="279">
        <f t="shared" si="3"/>
        <v>9</v>
      </c>
      <c r="E43" s="318" t="s">
        <v>654</v>
      </c>
      <c r="F43" s="97">
        <v>30</v>
      </c>
      <c r="G43" s="271">
        <v>15</v>
      </c>
      <c r="H43" s="321">
        <f t="shared" si="4"/>
        <v>45</v>
      </c>
    </row>
    <row r="44" spans="1:8" ht="15.75" thickBot="1" x14ac:dyDescent="0.3">
      <c r="A44" s="316" t="s">
        <v>588</v>
      </c>
      <c r="B44" s="373">
        <v>6</v>
      </c>
      <c r="C44" s="292">
        <v>1</v>
      </c>
      <c r="D44" s="279">
        <f t="shared" si="3"/>
        <v>7</v>
      </c>
      <c r="E44" s="318" t="s">
        <v>594</v>
      </c>
      <c r="F44" s="97">
        <v>40</v>
      </c>
      <c r="G44" s="271">
        <v>5</v>
      </c>
      <c r="H44" s="321">
        <f t="shared" si="4"/>
        <v>45</v>
      </c>
    </row>
    <row r="45" spans="1:8" ht="15.75" thickBot="1" x14ac:dyDescent="0.3">
      <c r="A45" s="316" t="s">
        <v>596</v>
      </c>
      <c r="B45" s="373">
        <v>5</v>
      </c>
      <c r="C45" s="292">
        <v>2</v>
      </c>
      <c r="D45" s="279">
        <f t="shared" si="3"/>
        <v>7</v>
      </c>
      <c r="E45" s="318" t="s">
        <v>588</v>
      </c>
      <c r="F45" s="97">
        <v>30</v>
      </c>
      <c r="G45" s="271">
        <v>5</v>
      </c>
      <c r="H45" s="321">
        <f t="shared" si="4"/>
        <v>35</v>
      </c>
    </row>
    <row r="46" spans="1:8" ht="15.75" thickBot="1" x14ac:dyDescent="0.3">
      <c r="A46" s="316" t="s">
        <v>592</v>
      </c>
      <c r="B46" s="373">
        <v>4</v>
      </c>
      <c r="C46" s="292">
        <v>1</v>
      </c>
      <c r="D46" s="279">
        <f t="shared" si="3"/>
        <v>5</v>
      </c>
      <c r="E46" s="318" t="s">
        <v>596</v>
      </c>
      <c r="F46" s="97">
        <v>25</v>
      </c>
      <c r="G46" s="271">
        <v>10</v>
      </c>
      <c r="H46" s="321">
        <f t="shared" si="4"/>
        <v>35</v>
      </c>
    </row>
    <row r="47" spans="1:8" ht="15.75" thickBot="1" x14ac:dyDescent="0.3">
      <c r="A47" s="316" t="s">
        <v>177</v>
      </c>
      <c r="B47" s="373">
        <v>1</v>
      </c>
      <c r="C47" s="292">
        <v>2</v>
      </c>
      <c r="D47" s="279">
        <f t="shared" si="3"/>
        <v>3</v>
      </c>
      <c r="E47" s="319" t="s">
        <v>592</v>
      </c>
      <c r="F47" s="97">
        <v>20</v>
      </c>
      <c r="G47" s="271">
        <v>5</v>
      </c>
      <c r="H47" s="321">
        <f t="shared" si="4"/>
        <v>25</v>
      </c>
    </row>
    <row r="48" spans="1:8" ht="15.75" thickBot="1" x14ac:dyDescent="0.3">
      <c r="A48" s="316" t="s">
        <v>760</v>
      </c>
      <c r="B48" s="373">
        <v>2</v>
      </c>
      <c r="C48" s="292">
        <v>1</v>
      </c>
      <c r="D48" s="279">
        <f t="shared" si="3"/>
        <v>3</v>
      </c>
      <c r="E48" s="319" t="s">
        <v>177</v>
      </c>
      <c r="F48" s="97">
        <v>5</v>
      </c>
      <c r="G48" s="271">
        <v>10</v>
      </c>
      <c r="H48" s="321">
        <f t="shared" si="4"/>
        <v>15</v>
      </c>
    </row>
    <row r="49" spans="1:8" ht="15.75" thickBot="1" x14ac:dyDescent="0.3">
      <c r="A49" s="316" t="s">
        <v>695</v>
      </c>
      <c r="B49" s="373">
        <v>2</v>
      </c>
      <c r="C49" s="292">
        <v>1</v>
      </c>
      <c r="D49" s="279">
        <f t="shared" si="3"/>
        <v>3</v>
      </c>
      <c r="E49" s="318" t="s">
        <v>760</v>
      </c>
      <c r="F49" s="97">
        <v>10</v>
      </c>
      <c r="G49" s="271">
        <v>5</v>
      </c>
      <c r="H49" s="321">
        <f t="shared" si="4"/>
        <v>15</v>
      </c>
    </row>
    <row r="50" spans="1:8" ht="15.75" thickBot="1" x14ac:dyDescent="0.3">
      <c r="A50" s="316" t="s">
        <v>591</v>
      </c>
      <c r="B50" s="373">
        <v>3</v>
      </c>
      <c r="C50" s="292">
        <v>0</v>
      </c>
      <c r="D50" s="279">
        <f t="shared" si="3"/>
        <v>3</v>
      </c>
      <c r="E50" s="318" t="s">
        <v>695</v>
      </c>
      <c r="F50" s="97">
        <v>10</v>
      </c>
      <c r="G50" s="271">
        <v>5</v>
      </c>
      <c r="H50" s="321">
        <f t="shared" si="4"/>
        <v>15</v>
      </c>
    </row>
    <row r="51" spans="1:8" ht="15.75" thickBot="1" x14ac:dyDescent="0.3">
      <c r="A51" s="316" t="s">
        <v>667</v>
      </c>
      <c r="B51" s="373">
        <v>3</v>
      </c>
      <c r="C51" s="292">
        <v>0</v>
      </c>
      <c r="D51" s="279">
        <f t="shared" si="3"/>
        <v>3</v>
      </c>
      <c r="E51" s="318" t="s">
        <v>591</v>
      </c>
      <c r="F51" s="97">
        <v>15</v>
      </c>
      <c r="G51" s="271">
        <v>0</v>
      </c>
      <c r="H51" s="321">
        <f t="shared" si="4"/>
        <v>15</v>
      </c>
    </row>
    <row r="52" spans="1:8" ht="15.75" thickBot="1" x14ac:dyDescent="0.3">
      <c r="A52" s="316" t="s">
        <v>1019</v>
      </c>
      <c r="B52" s="373">
        <v>1</v>
      </c>
      <c r="C52" s="292">
        <v>2</v>
      </c>
      <c r="D52" s="279">
        <f t="shared" si="3"/>
        <v>3</v>
      </c>
      <c r="E52" s="318" t="s">
        <v>667</v>
      </c>
      <c r="F52" s="97">
        <v>15</v>
      </c>
      <c r="G52" s="271">
        <v>0</v>
      </c>
      <c r="H52" s="321">
        <f t="shared" si="4"/>
        <v>15</v>
      </c>
    </row>
    <row r="53" spans="1:8" ht="15.75" thickBot="1" x14ac:dyDescent="0.3">
      <c r="A53" s="316" t="s">
        <v>581</v>
      </c>
      <c r="B53" s="373">
        <v>2</v>
      </c>
      <c r="C53" s="292">
        <v>0</v>
      </c>
      <c r="D53" s="279">
        <f t="shared" si="3"/>
        <v>2</v>
      </c>
      <c r="E53" s="318" t="s">
        <v>1019</v>
      </c>
      <c r="F53" s="97">
        <v>5</v>
      </c>
      <c r="G53" s="271">
        <v>10</v>
      </c>
      <c r="H53" s="321">
        <f t="shared" si="4"/>
        <v>15</v>
      </c>
    </row>
    <row r="54" spans="1:8" ht="15.75" thickBot="1" x14ac:dyDescent="0.3">
      <c r="A54" s="316" t="s">
        <v>774</v>
      </c>
      <c r="B54" s="373">
        <v>2</v>
      </c>
      <c r="C54" s="292">
        <v>0</v>
      </c>
      <c r="D54" s="279">
        <f t="shared" si="3"/>
        <v>2</v>
      </c>
      <c r="E54" s="318" t="s">
        <v>581</v>
      </c>
      <c r="F54" s="97">
        <v>10</v>
      </c>
      <c r="G54" s="271">
        <v>0</v>
      </c>
      <c r="H54" s="321">
        <f t="shared" si="4"/>
        <v>10</v>
      </c>
    </row>
    <row r="55" spans="1:8" ht="15.75" thickBot="1" x14ac:dyDescent="0.3">
      <c r="A55" s="316" t="s">
        <v>579</v>
      </c>
      <c r="B55" s="373">
        <v>1</v>
      </c>
      <c r="C55" s="292">
        <v>0</v>
      </c>
      <c r="D55" s="279">
        <f t="shared" si="3"/>
        <v>1</v>
      </c>
      <c r="E55" s="318" t="s">
        <v>774</v>
      </c>
      <c r="F55" s="97">
        <v>10</v>
      </c>
      <c r="G55" s="271">
        <v>0</v>
      </c>
      <c r="H55" s="321">
        <f t="shared" si="4"/>
        <v>10</v>
      </c>
    </row>
    <row r="56" spans="1:8" ht="15.75" thickBot="1" x14ac:dyDescent="0.3">
      <c r="A56" s="316" t="s">
        <v>736</v>
      </c>
      <c r="B56" s="373">
        <v>1</v>
      </c>
      <c r="C56" s="292">
        <v>0</v>
      </c>
      <c r="D56" s="279">
        <f t="shared" si="3"/>
        <v>1</v>
      </c>
      <c r="E56" s="318" t="s">
        <v>579</v>
      </c>
      <c r="F56" s="97">
        <v>5</v>
      </c>
      <c r="G56" s="271">
        <v>4</v>
      </c>
      <c r="H56" s="321">
        <f t="shared" si="4"/>
        <v>9</v>
      </c>
    </row>
    <row r="57" spans="1:8" ht="15.75" thickBot="1" x14ac:dyDescent="0.3">
      <c r="A57" s="316" t="s">
        <v>583</v>
      </c>
      <c r="B57" s="373">
        <v>1</v>
      </c>
      <c r="C57" s="292">
        <v>0</v>
      </c>
      <c r="D57" s="279">
        <f t="shared" si="3"/>
        <v>1</v>
      </c>
      <c r="E57" s="318" t="s">
        <v>6</v>
      </c>
      <c r="F57" s="97">
        <v>7</v>
      </c>
      <c r="G57" s="271">
        <v>0</v>
      </c>
      <c r="H57" s="321">
        <f t="shared" si="4"/>
        <v>7</v>
      </c>
    </row>
    <row r="58" spans="1:8" ht="15.75" thickBot="1" x14ac:dyDescent="0.3">
      <c r="A58" s="316" t="s">
        <v>584</v>
      </c>
      <c r="B58" s="373">
        <v>0</v>
      </c>
      <c r="C58" s="292">
        <v>1</v>
      </c>
      <c r="D58" s="279">
        <f t="shared" si="3"/>
        <v>1</v>
      </c>
      <c r="E58" s="318" t="s">
        <v>103</v>
      </c>
      <c r="F58" s="97">
        <v>0</v>
      </c>
      <c r="G58" s="271">
        <v>5</v>
      </c>
      <c r="H58" s="321">
        <f t="shared" si="4"/>
        <v>5</v>
      </c>
    </row>
    <row r="59" spans="1:8" ht="15.75" thickBot="1" x14ac:dyDescent="0.3">
      <c r="A59" s="316" t="s">
        <v>585</v>
      </c>
      <c r="B59" s="373">
        <v>1</v>
      </c>
      <c r="C59" s="292">
        <v>0</v>
      </c>
      <c r="D59" s="279">
        <f t="shared" si="3"/>
        <v>1</v>
      </c>
      <c r="E59" s="318" t="s">
        <v>736</v>
      </c>
      <c r="F59" s="97">
        <v>5</v>
      </c>
      <c r="G59" s="271">
        <v>0</v>
      </c>
      <c r="H59" s="321">
        <f t="shared" si="4"/>
        <v>5</v>
      </c>
    </row>
    <row r="60" spans="1:8" ht="15.75" thickBot="1" x14ac:dyDescent="0.3">
      <c r="A60" s="316" t="s">
        <v>587</v>
      </c>
      <c r="B60" s="373">
        <v>1</v>
      </c>
      <c r="C60" s="292">
        <v>0</v>
      </c>
      <c r="D60" s="279">
        <f t="shared" si="3"/>
        <v>1</v>
      </c>
      <c r="E60" s="318" t="s">
        <v>583</v>
      </c>
      <c r="F60" s="97">
        <v>5</v>
      </c>
      <c r="G60" s="271">
        <v>0</v>
      </c>
      <c r="H60" s="321">
        <f t="shared" si="4"/>
        <v>5</v>
      </c>
    </row>
    <row r="61" spans="1:8" ht="15.75" thickBot="1" x14ac:dyDescent="0.3">
      <c r="A61" s="316" t="s">
        <v>590</v>
      </c>
      <c r="B61" s="373">
        <v>1</v>
      </c>
      <c r="C61" s="292">
        <v>0</v>
      </c>
      <c r="D61" s="279">
        <f t="shared" si="3"/>
        <v>1</v>
      </c>
      <c r="E61" s="318" t="s">
        <v>584</v>
      </c>
      <c r="F61" s="97">
        <v>0</v>
      </c>
      <c r="G61" s="271">
        <v>5</v>
      </c>
      <c r="H61" s="321">
        <f t="shared" si="4"/>
        <v>5</v>
      </c>
    </row>
    <row r="62" spans="1:8" ht="15.75" thickBot="1" x14ac:dyDescent="0.3">
      <c r="A62" s="316" t="s">
        <v>593</v>
      </c>
      <c r="B62" s="373">
        <v>1</v>
      </c>
      <c r="C62" s="292">
        <v>0</v>
      </c>
      <c r="D62" s="279">
        <f t="shared" si="3"/>
        <v>1</v>
      </c>
      <c r="E62" s="318" t="s">
        <v>585</v>
      </c>
      <c r="F62" s="97">
        <v>5</v>
      </c>
      <c r="G62" s="271">
        <v>0</v>
      </c>
      <c r="H62" s="321">
        <f t="shared" si="4"/>
        <v>5</v>
      </c>
    </row>
    <row r="63" spans="1:8" ht="15.75" thickBot="1" x14ac:dyDescent="0.3">
      <c r="A63" s="316" t="s">
        <v>6</v>
      </c>
      <c r="B63" s="373">
        <v>1</v>
      </c>
      <c r="C63" s="292">
        <v>0</v>
      </c>
      <c r="D63" s="279">
        <f t="shared" si="3"/>
        <v>1</v>
      </c>
      <c r="E63" s="318" t="s">
        <v>590</v>
      </c>
      <c r="F63" s="97">
        <v>5</v>
      </c>
      <c r="G63" s="271">
        <v>0</v>
      </c>
      <c r="H63" s="321">
        <f t="shared" si="4"/>
        <v>5</v>
      </c>
    </row>
    <row r="64" spans="1:8" ht="15.75" thickBot="1" x14ac:dyDescent="0.3">
      <c r="A64" s="316" t="s">
        <v>103</v>
      </c>
      <c r="B64" s="373">
        <v>0</v>
      </c>
      <c r="C64" s="292">
        <v>0</v>
      </c>
      <c r="D64" s="279">
        <f t="shared" si="3"/>
        <v>0</v>
      </c>
      <c r="E64" s="318" t="s">
        <v>593</v>
      </c>
      <c r="F64" s="97">
        <v>5</v>
      </c>
      <c r="G64" s="271">
        <v>0</v>
      </c>
      <c r="H64" s="321">
        <f t="shared" si="4"/>
        <v>5</v>
      </c>
    </row>
    <row r="65" spans="1:8" ht="15.75" thickBot="1" x14ac:dyDescent="0.3">
      <c r="A65" s="316" t="s">
        <v>578</v>
      </c>
      <c r="B65" s="373">
        <v>0</v>
      </c>
      <c r="C65" s="292">
        <v>0</v>
      </c>
      <c r="D65" s="279">
        <f t="shared" si="3"/>
        <v>0</v>
      </c>
      <c r="E65" s="318" t="s">
        <v>578</v>
      </c>
      <c r="F65" s="97">
        <v>0</v>
      </c>
      <c r="G65" s="271">
        <v>0</v>
      </c>
      <c r="H65" s="321">
        <f t="shared" si="4"/>
        <v>0</v>
      </c>
    </row>
    <row r="66" spans="1:8" ht="15.75" thickBot="1" x14ac:dyDescent="0.3">
      <c r="A66" s="316" t="s">
        <v>580</v>
      </c>
      <c r="B66" s="373">
        <v>0</v>
      </c>
      <c r="C66" s="292">
        <v>0</v>
      </c>
      <c r="D66" s="279">
        <f t="shared" si="3"/>
        <v>0</v>
      </c>
      <c r="E66" s="318" t="s">
        <v>580</v>
      </c>
      <c r="F66" s="97">
        <v>0</v>
      </c>
      <c r="G66" s="271">
        <v>0</v>
      </c>
      <c r="H66" s="321">
        <f t="shared" si="4"/>
        <v>0</v>
      </c>
    </row>
    <row r="67" spans="1:8" ht="15.75" thickBot="1" x14ac:dyDescent="0.3">
      <c r="A67" s="316" t="s">
        <v>702</v>
      </c>
      <c r="B67" s="373">
        <v>0</v>
      </c>
      <c r="C67" s="292">
        <v>0</v>
      </c>
      <c r="D67" s="279">
        <f t="shared" si="3"/>
        <v>0</v>
      </c>
      <c r="E67" s="318" t="s">
        <v>702</v>
      </c>
      <c r="F67" s="97">
        <v>0</v>
      </c>
      <c r="G67" s="271">
        <v>0</v>
      </c>
      <c r="H67" s="321">
        <f t="shared" si="4"/>
        <v>0</v>
      </c>
    </row>
    <row r="68" spans="1:8" ht="15.75" thickBot="1" x14ac:dyDescent="0.3">
      <c r="A68" s="316" t="s">
        <v>644</v>
      </c>
      <c r="B68" s="373">
        <v>0</v>
      </c>
      <c r="C68" s="292">
        <v>0</v>
      </c>
      <c r="D68" s="279">
        <f t="shared" si="3"/>
        <v>0</v>
      </c>
      <c r="E68" s="318" t="s">
        <v>644</v>
      </c>
      <c r="F68" s="97">
        <v>0</v>
      </c>
      <c r="G68" s="271">
        <v>0</v>
      </c>
      <c r="H68" s="321">
        <f t="shared" si="4"/>
        <v>0</v>
      </c>
    </row>
    <row r="69" spans="1:8" ht="15.75" thickBot="1" x14ac:dyDescent="0.3">
      <c r="A69" s="316" t="s">
        <v>582</v>
      </c>
      <c r="B69" s="373">
        <v>0</v>
      </c>
      <c r="C69" s="292">
        <v>0</v>
      </c>
      <c r="D69" s="279">
        <f t="shared" si="3"/>
        <v>0</v>
      </c>
      <c r="E69" s="318" t="s">
        <v>582</v>
      </c>
      <c r="F69" s="97">
        <v>0</v>
      </c>
      <c r="G69" s="271">
        <v>0</v>
      </c>
      <c r="H69" s="321">
        <f t="shared" si="4"/>
        <v>0</v>
      </c>
    </row>
    <row r="70" spans="1:8" ht="15.75" thickBot="1" x14ac:dyDescent="0.3">
      <c r="A70" s="316" t="s">
        <v>643</v>
      </c>
      <c r="B70" s="373">
        <v>0</v>
      </c>
      <c r="C70" s="292">
        <v>0</v>
      </c>
      <c r="D70" s="279">
        <f t="shared" si="3"/>
        <v>0</v>
      </c>
      <c r="E70" s="318" t="s">
        <v>643</v>
      </c>
      <c r="F70" s="97">
        <v>0</v>
      </c>
      <c r="G70" s="271">
        <v>0</v>
      </c>
      <c r="H70" s="321">
        <f t="shared" si="4"/>
        <v>0</v>
      </c>
    </row>
    <row r="71" spans="1:8" ht="15.75" thickBot="1" x14ac:dyDescent="0.3">
      <c r="A71" s="316" t="s">
        <v>519</v>
      </c>
      <c r="B71" s="373">
        <v>0</v>
      </c>
      <c r="C71" s="292">
        <v>0</v>
      </c>
      <c r="D71" s="279">
        <f t="shared" si="3"/>
        <v>0</v>
      </c>
      <c r="E71" s="318" t="s">
        <v>519</v>
      </c>
      <c r="F71" s="97">
        <v>0</v>
      </c>
      <c r="G71" s="271">
        <v>0</v>
      </c>
      <c r="H71" s="321">
        <f t="shared" si="4"/>
        <v>0</v>
      </c>
    </row>
    <row r="72" spans="1:8" ht="15.75" thickBot="1" x14ac:dyDescent="0.3">
      <c r="A72" s="316" t="s">
        <v>586</v>
      </c>
      <c r="B72" s="373">
        <v>0</v>
      </c>
      <c r="C72" s="292">
        <v>0</v>
      </c>
      <c r="D72" s="279">
        <f t="shared" si="3"/>
        <v>0</v>
      </c>
      <c r="E72" s="318" t="s">
        <v>586</v>
      </c>
      <c r="F72" s="97">
        <v>0</v>
      </c>
      <c r="G72" s="271">
        <v>0</v>
      </c>
      <c r="H72" s="321">
        <f t="shared" si="4"/>
        <v>0</v>
      </c>
    </row>
    <row r="73" spans="1:8" ht="15.75" thickBot="1" x14ac:dyDescent="0.3">
      <c r="A73" s="316" t="s">
        <v>607</v>
      </c>
      <c r="B73" s="373">
        <v>0</v>
      </c>
      <c r="C73" s="292">
        <v>0</v>
      </c>
      <c r="D73" s="279">
        <f t="shared" si="3"/>
        <v>0</v>
      </c>
      <c r="E73" s="318" t="s">
        <v>607</v>
      </c>
      <c r="F73" s="97">
        <v>0</v>
      </c>
      <c r="G73" s="271">
        <v>0</v>
      </c>
      <c r="H73" s="321">
        <f t="shared" si="4"/>
        <v>0</v>
      </c>
    </row>
    <row r="74" spans="1:8" ht="15.75" thickBot="1" x14ac:dyDescent="0.3">
      <c r="A74" s="316" t="s">
        <v>665</v>
      </c>
      <c r="B74" s="373">
        <v>0</v>
      </c>
      <c r="C74" s="292">
        <v>0</v>
      </c>
      <c r="D74" s="279">
        <f t="shared" si="3"/>
        <v>0</v>
      </c>
      <c r="E74" s="318" t="s">
        <v>665</v>
      </c>
      <c r="F74" s="97">
        <v>0</v>
      </c>
      <c r="G74" s="271">
        <v>0</v>
      </c>
      <c r="H74" s="321">
        <f t="shared" si="4"/>
        <v>0</v>
      </c>
    </row>
    <row r="75" spans="1:8" ht="15.75" thickBot="1" x14ac:dyDescent="0.3">
      <c r="A75" s="316" t="s">
        <v>120</v>
      </c>
      <c r="B75" s="373">
        <v>0</v>
      </c>
      <c r="C75" s="292">
        <v>0</v>
      </c>
      <c r="D75" s="279">
        <f t="shared" si="3"/>
        <v>0</v>
      </c>
      <c r="E75" s="318" t="s">
        <v>120</v>
      </c>
      <c r="F75" s="97">
        <v>0</v>
      </c>
      <c r="G75" s="271">
        <v>0</v>
      </c>
      <c r="H75" s="321">
        <f t="shared" si="4"/>
        <v>0</v>
      </c>
    </row>
    <row r="76" spans="1:8" ht="15" customHeight="1" thickBot="1" x14ac:dyDescent="0.3">
      <c r="A76" s="316" t="s">
        <v>7</v>
      </c>
      <c r="B76" s="373">
        <v>0</v>
      </c>
      <c r="C76" s="292">
        <v>0</v>
      </c>
      <c r="D76" s="279">
        <f t="shared" si="3"/>
        <v>0</v>
      </c>
      <c r="E76" s="318" t="s">
        <v>7</v>
      </c>
      <c r="F76" s="97">
        <v>0</v>
      </c>
      <c r="G76" s="271">
        <v>0</v>
      </c>
      <c r="H76" s="321">
        <f t="shared" si="4"/>
        <v>0</v>
      </c>
    </row>
    <row r="77" spans="1:8" ht="15.75" thickBot="1" x14ac:dyDescent="0.3">
      <c r="A77" s="316" t="s">
        <v>3</v>
      </c>
      <c r="B77" s="373">
        <f>SUM(B42:B76)</f>
        <v>53</v>
      </c>
      <c r="C77" s="292">
        <f>SUM(C42:C76)</f>
        <v>15</v>
      </c>
      <c r="D77" s="279">
        <f>SUM(D42:D76)</f>
        <v>68</v>
      </c>
      <c r="E77" s="318" t="s">
        <v>3</v>
      </c>
      <c r="F77" s="97">
        <f>SUM(F42:F76)</f>
        <v>439</v>
      </c>
      <c r="G77" s="271">
        <f>SUM(G42:G76)</f>
        <v>114</v>
      </c>
      <c r="H77" s="321">
        <f>SUM(H42:H76)</f>
        <v>553</v>
      </c>
    </row>
    <row r="78" spans="1:8" x14ac:dyDescent="0.25">
      <c r="A78" s="535" t="s">
        <v>95</v>
      </c>
      <c r="B78" s="536"/>
      <c r="C78" s="536"/>
      <c r="D78" s="536"/>
      <c r="E78" s="536"/>
      <c r="F78" s="536"/>
      <c r="G78" s="536"/>
    </row>
    <row r="79" spans="1:8" x14ac:dyDescent="0.25">
      <c r="F79" s="182"/>
    </row>
    <row r="80" spans="1:8" x14ac:dyDescent="0.25">
      <c r="F80" s="182"/>
    </row>
    <row r="81" spans="6:6" x14ac:dyDescent="0.25">
      <c r="F81" s="182"/>
    </row>
    <row r="82" spans="6:6" x14ac:dyDescent="0.25">
      <c r="F82" s="182"/>
    </row>
    <row r="83" spans="6:6" x14ac:dyDescent="0.25">
      <c r="F83" s="182"/>
    </row>
    <row r="84" spans="6:6" x14ac:dyDescent="0.25">
      <c r="F84" s="182"/>
    </row>
    <row r="85" spans="6:6" x14ac:dyDescent="0.25">
      <c r="F85" s="182"/>
    </row>
    <row r="86" spans="6:6" x14ac:dyDescent="0.25">
      <c r="F86" s="182"/>
    </row>
    <row r="87" spans="6:6" x14ac:dyDescent="0.25">
      <c r="F87" s="182"/>
    </row>
    <row r="88" spans="6:6" x14ac:dyDescent="0.25">
      <c r="F88" s="182"/>
    </row>
    <row r="89" spans="6:6" x14ac:dyDescent="0.25">
      <c r="F89" s="182"/>
    </row>
    <row r="90" spans="6:6" x14ac:dyDescent="0.25">
      <c r="F90" s="182"/>
    </row>
    <row r="91" spans="6:6" x14ac:dyDescent="0.25">
      <c r="F91" s="182"/>
    </row>
    <row r="92" spans="6:6" x14ac:dyDescent="0.25">
      <c r="F92" s="182"/>
    </row>
    <row r="93" spans="6:6" x14ac:dyDescent="0.25">
      <c r="F93" s="182"/>
    </row>
    <row r="94" spans="6:6" x14ac:dyDescent="0.25">
      <c r="F94" s="182"/>
    </row>
    <row r="95" spans="6:6" x14ac:dyDescent="0.25">
      <c r="F95" s="182"/>
    </row>
    <row r="96" spans="6:6" x14ac:dyDescent="0.25">
      <c r="F96" s="182"/>
    </row>
    <row r="97" spans="6:6" x14ac:dyDescent="0.25">
      <c r="F97" s="182"/>
    </row>
    <row r="98" spans="6:6" x14ac:dyDescent="0.25">
      <c r="F98" s="182"/>
    </row>
    <row r="99" spans="6:6" x14ac:dyDescent="0.25">
      <c r="F99" s="182"/>
    </row>
    <row r="100" spans="6:6" x14ac:dyDescent="0.25">
      <c r="F100" s="182"/>
    </row>
    <row r="101" spans="6:6" x14ac:dyDescent="0.25">
      <c r="F101" s="182"/>
    </row>
    <row r="102" spans="6:6" x14ac:dyDescent="0.25">
      <c r="F102" s="182"/>
    </row>
    <row r="103" spans="6:6" x14ac:dyDescent="0.25">
      <c r="F103" s="182"/>
    </row>
    <row r="104" spans="6:6" x14ac:dyDescent="0.25">
      <c r="F104" s="182"/>
    </row>
    <row r="105" spans="6:6" x14ac:dyDescent="0.25">
      <c r="F105" s="182"/>
    </row>
    <row r="106" spans="6:6" x14ac:dyDescent="0.25">
      <c r="F106" s="182"/>
    </row>
    <row r="107" spans="6:6" x14ac:dyDescent="0.25">
      <c r="F107" s="182"/>
    </row>
    <row r="108" spans="6:6" x14ac:dyDescent="0.25">
      <c r="F108" s="182"/>
    </row>
    <row r="109" spans="6:6" x14ac:dyDescent="0.25">
      <c r="F109" s="182"/>
    </row>
    <row r="110" spans="6:6" x14ac:dyDescent="0.25">
      <c r="F110" s="182"/>
    </row>
    <row r="111" spans="6:6" x14ac:dyDescent="0.25">
      <c r="F111" s="182"/>
    </row>
    <row r="112" spans="6:6" x14ac:dyDescent="0.25">
      <c r="F112" s="182"/>
    </row>
    <row r="113" spans="6:6" x14ac:dyDescent="0.25">
      <c r="F113" s="182"/>
    </row>
    <row r="114" spans="6:6" x14ac:dyDescent="0.25">
      <c r="F114" s="182"/>
    </row>
    <row r="115" spans="6:6" x14ac:dyDescent="0.25">
      <c r="F115" s="182"/>
    </row>
    <row r="116" spans="6:6" x14ac:dyDescent="0.25">
      <c r="F116" s="182"/>
    </row>
    <row r="117" spans="6:6" x14ac:dyDescent="0.25">
      <c r="F117" s="182"/>
    </row>
    <row r="118" spans="6:6" x14ac:dyDescent="0.25">
      <c r="F118" s="182"/>
    </row>
    <row r="119" spans="6:6" x14ac:dyDescent="0.25">
      <c r="F119" s="182"/>
    </row>
    <row r="120" spans="6:6" x14ac:dyDescent="0.25">
      <c r="F120" s="182"/>
    </row>
    <row r="121" spans="6:6" x14ac:dyDescent="0.25">
      <c r="F121" s="182"/>
    </row>
    <row r="122" spans="6:6" x14ac:dyDescent="0.25">
      <c r="F122" s="182"/>
    </row>
    <row r="123" spans="6:6" x14ac:dyDescent="0.25">
      <c r="F123" s="182"/>
    </row>
    <row r="124" spans="6:6" x14ac:dyDescent="0.25">
      <c r="F124" s="182"/>
    </row>
    <row r="125" spans="6:6" x14ac:dyDescent="0.25">
      <c r="F125" s="182"/>
    </row>
    <row r="126" spans="6:6" x14ac:dyDescent="0.25">
      <c r="F126" s="182"/>
    </row>
    <row r="127" spans="6:6" x14ac:dyDescent="0.25">
      <c r="F127" s="182"/>
    </row>
    <row r="128" spans="6:6" x14ac:dyDescent="0.25">
      <c r="F128" s="182"/>
    </row>
    <row r="129" spans="6:6" x14ac:dyDescent="0.25">
      <c r="F129" s="182"/>
    </row>
    <row r="130" spans="6:6" x14ac:dyDescent="0.25">
      <c r="F130" s="182"/>
    </row>
  </sheetData>
  <sortState xmlns:xlrd2="http://schemas.microsoft.com/office/spreadsheetml/2017/richdata2" ref="E42:H76">
    <sortCondition descending="1" ref="H42:H76"/>
  </sortState>
  <mergeCells count="32">
    <mergeCell ref="M10:O11"/>
    <mergeCell ref="AB1:AD2"/>
    <mergeCell ref="AB10:AD11"/>
    <mergeCell ref="A1:H1"/>
    <mergeCell ref="I25:U25"/>
    <mergeCell ref="I24:AD24"/>
    <mergeCell ref="J10:L11"/>
    <mergeCell ref="S18:U19"/>
    <mergeCell ref="U1:W2"/>
    <mergeCell ref="P10:R11"/>
    <mergeCell ref="M18:O19"/>
    <mergeCell ref="AE18:AG19"/>
    <mergeCell ref="AH1:AJ2"/>
    <mergeCell ref="AK10:AM11"/>
    <mergeCell ref="S10:U11"/>
    <mergeCell ref="R1:T2"/>
    <mergeCell ref="A78:G78"/>
    <mergeCell ref="AE1:AG2"/>
    <mergeCell ref="AE10:AG11"/>
    <mergeCell ref="AB18:AD19"/>
    <mergeCell ref="AQ1:AS2"/>
    <mergeCell ref="I18:I19"/>
    <mergeCell ref="J18:L19"/>
    <mergeCell ref="AN1:AP2"/>
    <mergeCell ref="P1:Q2"/>
    <mergeCell ref="I10:I11"/>
    <mergeCell ref="I1:I2"/>
    <mergeCell ref="J1:L2"/>
    <mergeCell ref="M1:O2"/>
    <mergeCell ref="AK1:AM2"/>
    <mergeCell ref="AH10:AJ11"/>
    <mergeCell ref="P18:R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X90"/>
  <sheetViews>
    <sheetView workbookViewId="0">
      <selection activeCell="S36" sqref="S36"/>
    </sheetView>
  </sheetViews>
  <sheetFormatPr defaultColWidth="8.85546875" defaultRowHeight="15" x14ac:dyDescent="0.25"/>
  <cols>
    <col min="1" max="1" width="18.28515625" bestFit="1" customWidth="1"/>
    <col min="2" max="2" width="3.7109375" customWidth="1"/>
    <col min="3" max="3" width="4.140625" customWidth="1"/>
    <col min="4" max="4" width="4.7109375" customWidth="1"/>
    <col min="5" max="5" width="18.28515625" bestFit="1" customWidth="1"/>
    <col min="6" max="8" width="5.28515625" customWidth="1"/>
    <col min="9" max="9" width="16.7109375" customWidth="1"/>
    <col min="10" max="47" width="5.7109375" customWidth="1"/>
  </cols>
  <sheetData>
    <row r="1" spans="1:50" ht="15" customHeight="1" thickBot="1" x14ac:dyDescent="0.3">
      <c r="A1" s="593" t="s">
        <v>889</v>
      </c>
      <c r="B1" s="594"/>
      <c r="C1" s="594"/>
      <c r="D1" s="594"/>
      <c r="E1" s="594"/>
      <c r="F1" s="594"/>
      <c r="G1" s="594"/>
      <c r="H1" s="595"/>
      <c r="I1" s="531" t="s">
        <v>658</v>
      </c>
      <c r="J1" s="525" t="s">
        <v>33</v>
      </c>
      <c r="K1" s="526"/>
      <c r="L1" s="527"/>
      <c r="M1" s="525" t="s">
        <v>110</v>
      </c>
      <c r="N1" s="526"/>
      <c r="O1" s="527"/>
      <c r="P1" s="525" t="s">
        <v>657</v>
      </c>
      <c r="Q1" s="527"/>
      <c r="R1" s="543" t="s">
        <v>836</v>
      </c>
      <c r="S1" s="549"/>
      <c r="T1" s="550"/>
      <c r="U1" s="543" t="s">
        <v>816</v>
      </c>
      <c r="V1" s="549"/>
      <c r="W1" s="550"/>
      <c r="X1" s="244"/>
      <c r="Y1" s="254"/>
      <c r="Z1" s="543" t="s">
        <v>574</v>
      </c>
      <c r="AA1" s="549"/>
      <c r="AB1" s="550"/>
      <c r="AC1" s="543" t="s">
        <v>217</v>
      </c>
      <c r="AD1" s="549"/>
      <c r="AE1" s="550"/>
      <c r="AF1" s="543" t="s">
        <v>147</v>
      </c>
      <c r="AG1" s="549"/>
      <c r="AH1" s="550"/>
      <c r="AI1" s="543" t="s">
        <v>137</v>
      </c>
      <c r="AJ1" s="549"/>
      <c r="AK1" s="550"/>
      <c r="AL1" s="543" t="s">
        <v>101</v>
      </c>
      <c r="AM1" s="549"/>
      <c r="AN1" s="550"/>
      <c r="AO1" s="543" t="s">
        <v>128</v>
      </c>
      <c r="AP1" s="549"/>
      <c r="AQ1" s="550"/>
      <c r="AS1" s="4"/>
      <c r="AT1" s="4"/>
      <c r="AU1" s="4"/>
      <c r="AX1" s="4"/>
    </row>
    <row r="2" spans="1:50" ht="15" customHeight="1" thickBot="1" x14ac:dyDescent="0.3">
      <c r="A2" s="374" t="s">
        <v>0</v>
      </c>
      <c r="B2" s="154" t="s">
        <v>815</v>
      </c>
      <c r="C2" s="284" t="s">
        <v>73</v>
      </c>
      <c r="D2" s="141" t="s">
        <v>1</v>
      </c>
      <c r="E2" s="376" t="s">
        <v>2</v>
      </c>
      <c r="F2" s="147" t="s">
        <v>815</v>
      </c>
      <c r="G2" s="270" t="s">
        <v>73</v>
      </c>
      <c r="H2" s="148" t="s">
        <v>1</v>
      </c>
      <c r="I2" s="532"/>
      <c r="J2" s="528"/>
      <c r="K2" s="529"/>
      <c r="L2" s="530"/>
      <c r="M2" s="528"/>
      <c r="N2" s="529"/>
      <c r="O2" s="530"/>
      <c r="P2" s="528"/>
      <c r="Q2" s="530"/>
      <c r="R2" s="551"/>
      <c r="S2" s="552"/>
      <c r="T2" s="553"/>
      <c r="U2" s="551"/>
      <c r="V2" s="552"/>
      <c r="W2" s="553"/>
      <c r="X2" s="244"/>
      <c r="Y2" s="254"/>
      <c r="Z2" s="551"/>
      <c r="AA2" s="552"/>
      <c r="AB2" s="553"/>
      <c r="AC2" s="551"/>
      <c r="AD2" s="552"/>
      <c r="AE2" s="553"/>
      <c r="AF2" s="551"/>
      <c r="AG2" s="552"/>
      <c r="AH2" s="553"/>
      <c r="AI2" s="551"/>
      <c r="AJ2" s="552"/>
      <c r="AK2" s="553"/>
      <c r="AL2" s="551"/>
      <c r="AM2" s="552"/>
      <c r="AN2" s="553"/>
      <c r="AO2" s="551"/>
      <c r="AP2" s="552"/>
      <c r="AQ2" s="553"/>
    </row>
    <row r="3" spans="1:50" ht="15" customHeight="1" thickBot="1" x14ac:dyDescent="0.3">
      <c r="A3" s="375" t="s">
        <v>890</v>
      </c>
      <c r="B3" s="96">
        <v>0</v>
      </c>
      <c r="C3" s="285">
        <v>0</v>
      </c>
      <c r="D3" s="5">
        <f>SUM(B3:C3)</f>
        <v>0</v>
      </c>
      <c r="E3" s="377" t="s">
        <v>890</v>
      </c>
      <c r="F3" s="97">
        <v>0</v>
      </c>
      <c r="G3" s="271">
        <v>0</v>
      </c>
      <c r="H3" s="78">
        <f>SUM(F3:G3)</f>
        <v>0</v>
      </c>
      <c r="I3" s="34" t="s">
        <v>51</v>
      </c>
      <c r="J3" s="3" t="s">
        <v>129</v>
      </c>
      <c r="K3" s="3" t="s">
        <v>27</v>
      </c>
      <c r="L3" s="3" t="s">
        <v>28</v>
      </c>
      <c r="M3" s="3" t="s">
        <v>129</v>
      </c>
      <c r="N3" s="3" t="s">
        <v>27</v>
      </c>
      <c r="O3" s="3" t="s">
        <v>28</v>
      </c>
      <c r="P3" s="3" t="s">
        <v>40</v>
      </c>
      <c r="Q3" s="3" t="s">
        <v>166</v>
      </c>
      <c r="R3" s="7" t="s">
        <v>129</v>
      </c>
      <c r="S3" s="7" t="s">
        <v>27</v>
      </c>
      <c r="T3" s="7" t="s">
        <v>28</v>
      </c>
      <c r="U3" s="221" t="s">
        <v>129</v>
      </c>
      <c r="V3" s="7" t="s">
        <v>27</v>
      </c>
      <c r="W3" s="7" t="s">
        <v>28</v>
      </c>
      <c r="X3" s="113"/>
      <c r="Y3" s="114"/>
      <c r="Z3" s="221" t="s">
        <v>129</v>
      </c>
      <c r="AA3" s="7" t="s">
        <v>27</v>
      </c>
      <c r="AB3" s="7" t="s">
        <v>28</v>
      </c>
      <c r="AC3" s="221" t="s">
        <v>129</v>
      </c>
      <c r="AD3" s="7" t="s">
        <v>27</v>
      </c>
      <c r="AE3" s="7" t="s">
        <v>28</v>
      </c>
      <c r="AF3" s="221" t="s">
        <v>129</v>
      </c>
      <c r="AG3" s="7" t="s">
        <v>27</v>
      </c>
      <c r="AH3" s="7" t="s">
        <v>28</v>
      </c>
      <c r="AI3" s="7" t="s">
        <v>129</v>
      </c>
      <c r="AJ3" s="7" t="s">
        <v>27</v>
      </c>
      <c r="AK3" s="7" t="s">
        <v>28</v>
      </c>
      <c r="AL3" s="7" t="s">
        <v>129</v>
      </c>
      <c r="AM3" s="7" t="s">
        <v>27</v>
      </c>
      <c r="AN3" s="7" t="s">
        <v>28</v>
      </c>
      <c r="AO3" s="7" t="s">
        <v>129</v>
      </c>
      <c r="AP3" s="7" t="s">
        <v>27</v>
      </c>
      <c r="AQ3" s="7" t="s">
        <v>28</v>
      </c>
    </row>
    <row r="4" spans="1:50" ht="15" customHeight="1" thickBot="1" x14ac:dyDescent="0.3">
      <c r="A4" s="375" t="s">
        <v>920</v>
      </c>
      <c r="B4" s="96">
        <v>0</v>
      </c>
      <c r="C4" s="285">
        <v>1</v>
      </c>
      <c r="D4" s="5">
        <f t="shared" ref="D4:D31" si="0">SUM(B4:C4)</f>
        <v>1</v>
      </c>
      <c r="E4" s="377" t="s">
        <v>920</v>
      </c>
      <c r="F4" s="97">
        <v>0</v>
      </c>
      <c r="G4" s="271">
        <v>5</v>
      </c>
      <c r="H4" s="78">
        <f t="shared" ref="H4:H31" si="1">SUM(F4:G4)</f>
        <v>5</v>
      </c>
      <c r="I4" s="375" t="s">
        <v>949</v>
      </c>
      <c r="J4" s="5" t="s">
        <v>34</v>
      </c>
      <c r="K4" s="5" t="s">
        <v>34</v>
      </c>
      <c r="L4" s="379" t="s">
        <v>34</v>
      </c>
      <c r="M4" s="5" t="s">
        <v>34</v>
      </c>
      <c r="N4" s="5" t="s">
        <v>34</v>
      </c>
      <c r="O4" s="379" t="s">
        <v>34</v>
      </c>
      <c r="P4" s="5">
        <v>-1</v>
      </c>
      <c r="Q4" s="5">
        <v>-1</v>
      </c>
      <c r="R4" s="7" t="s">
        <v>34</v>
      </c>
      <c r="S4" s="7" t="s">
        <v>34</v>
      </c>
      <c r="T4" s="232" t="s">
        <v>34</v>
      </c>
      <c r="U4" s="221">
        <v>0</v>
      </c>
      <c r="V4" s="7">
        <v>1</v>
      </c>
      <c r="W4" s="232">
        <f>SUM(U4/V4)*100</f>
        <v>0</v>
      </c>
      <c r="X4" s="355"/>
      <c r="Y4" s="353"/>
      <c r="Z4" s="6" t="s">
        <v>34</v>
      </c>
      <c r="AA4" s="7" t="s">
        <v>34</v>
      </c>
      <c r="AB4" s="232" t="s">
        <v>34</v>
      </c>
      <c r="AC4" s="221">
        <v>1</v>
      </c>
      <c r="AD4" s="7">
        <v>1</v>
      </c>
      <c r="AE4" s="232">
        <f>SUM(AC4/AD4)*100</f>
        <v>100</v>
      </c>
      <c r="AF4" s="221">
        <v>1</v>
      </c>
      <c r="AG4" s="7">
        <v>1</v>
      </c>
      <c r="AH4" s="232">
        <f>SUM(AF4/AG4)*100</f>
        <v>100</v>
      </c>
      <c r="AI4" s="7">
        <v>0</v>
      </c>
      <c r="AJ4" s="7">
        <v>1</v>
      </c>
      <c r="AK4" s="232">
        <f>SUM(AI4/AJ4)*100</f>
        <v>0</v>
      </c>
      <c r="AL4" s="7">
        <v>2</v>
      </c>
      <c r="AM4" s="7">
        <v>3</v>
      </c>
      <c r="AN4" s="232">
        <f>SUM(AL4/AM4)*100</f>
        <v>66.666666666666657</v>
      </c>
      <c r="AO4" s="7">
        <v>0</v>
      </c>
      <c r="AP4" s="7">
        <v>4</v>
      </c>
      <c r="AQ4" s="7">
        <v>0</v>
      </c>
    </row>
    <row r="5" spans="1:50" ht="15" customHeight="1" thickBot="1" x14ac:dyDescent="0.3">
      <c r="A5" s="375" t="s">
        <v>1005</v>
      </c>
      <c r="B5" s="96">
        <v>0</v>
      </c>
      <c r="C5" s="285">
        <v>1</v>
      </c>
      <c r="D5" s="5">
        <f t="shared" si="0"/>
        <v>1</v>
      </c>
      <c r="E5" s="378" t="s">
        <v>1005</v>
      </c>
      <c r="F5" s="97">
        <v>0</v>
      </c>
      <c r="G5" s="271">
        <v>5</v>
      </c>
      <c r="H5" s="78">
        <f t="shared" si="1"/>
        <v>5</v>
      </c>
      <c r="I5" s="375" t="s">
        <v>921</v>
      </c>
      <c r="J5" s="5">
        <v>35</v>
      </c>
      <c r="K5" s="5">
        <v>51</v>
      </c>
      <c r="L5" s="379">
        <f>SUM(J5/K5)*100</f>
        <v>68.627450980392155</v>
      </c>
      <c r="M5" s="5">
        <v>2</v>
      </c>
      <c r="N5" s="5">
        <v>3</v>
      </c>
      <c r="O5" s="379">
        <f>SUM(M5/N5)*100</f>
        <v>66.666666666666657</v>
      </c>
      <c r="P5" s="5">
        <v>1</v>
      </c>
      <c r="Q5" s="5">
        <v>1</v>
      </c>
      <c r="R5" s="7" t="s">
        <v>34</v>
      </c>
      <c r="S5" s="7" t="s">
        <v>34</v>
      </c>
      <c r="T5" s="232" t="s">
        <v>34</v>
      </c>
      <c r="U5" s="7">
        <v>5</v>
      </c>
      <c r="V5" s="7">
        <v>6</v>
      </c>
      <c r="W5" s="7">
        <v>100</v>
      </c>
      <c r="X5" s="355"/>
      <c r="Y5" s="353"/>
      <c r="Z5" s="221" t="s">
        <v>34</v>
      </c>
      <c r="AA5" s="7" t="s">
        <v>34</v>
      </c>
      <c r="AB5" s="232" t="s">
        <v>34</v>
      </c>
      <c r="AC5" s="7" t="s">
        <v>34</v>
      </c>
      <c r="AD5" s="7" t="s">
        <v>34</v>
      </c>
      <c r="AE5" s="232" t="s">
        <v>34</v>
      </c>
      <c r="AF5" s="7" t="s">
        <v>34</v>
      </c>
      <c r="AG5" s="7" t="s">
        <v>34</v>
      </c>
      <c r="AH5" s="232" t="s">
        <v>34</v>
      </c>
      <c r="AI5" s="7" t="s">
        <v>34</v>
      </c>
      <c r="AJ5" s="7" t="s">
        <v>34</v>
      </c>
      <c r="AK5" s="232" t="s">
        <v>34</v>
      </c>
      <c r="AL5" s="7" t="s">
        <v>34</v>
      </c>
      <c r="AM5" s="7" t="s">
        <v>34</v>
      </c>
      <c r="AN5" s="232" t="s">
        <v>34</v>
      </c>
      <c r="AO5" s="7" t="s">
        <v>34</v>
      </c>
      <c r="AP5" s="7" t="s">
        <v>34</v>
      </c>
      <c r="AQ5" s="232" t="s">
        <v>34</v>
      </c>
    </row>
    <row r="6" spans="1:50" ht="15" customHeight="1" thickBot="1" x14ac:dyDescent="0.3">
      <c r="A6" s="375" t="s">
        <v>893</v>
      </c>
      <c r="B6" s="96">
        <v>1</v>
      </c>
      <c r="C6" s="285">
        <v>0</v>
      </c>
      <c r="D6" s="5">
        <f t="shared" si="0"/>
        <v>1</v>
      </c>
      <c r="E6" s="378" t="s">
        <v>893</v>
      </c>
      <c r="F6" s="97">
        <v>5</v>
      </c>
      <c r="G6" s="271">
        <v>0</v>
      </c>
      <c r="H6" s="78">
        <f t="shared" si="1"/>
        <v>5</v>
      </c>
      <c r="I6" s="375" t="s">
        <v>922</v>
      </c>
      <c r="J6" s="5">
        <v>11</v>
      </c>
      <c r="K6" s="5">
        <v>14</v>
      </c>
      <c r="L6" s="379">
        <f>SUM(J6/K6)*100</f>
        <v>78.571428571428569</v>
      </c>
      <c r="M6" s="5" t="s">
        <v>34</v>
      </c>
      <c r="N6" s="5" t="s">
        <v>34</v>
      </c>
      <c r="O6" s="379" t="s">
        <v>34</v>
      </c>
      <c r="P6" s="5">
        <v>5</v>
      </c>
      <c r="Q6" s="5">
        <v>5</v>
      </c>
      <c r="R6" s="7" t="s">
        <v>34</v>
      </c>
      <c r="S6" s="7" t="s">
        <v>34</v>
      </c>
      <c r="T6" s="232" t="s">
        <v>34</v>
      </c>
      <c r="U6" s="7">
        <v>41</v>
      </c>
      <c r="V6" s="7">
        <v>51</v>
      </c>
      <c r="W6" s="232">
        <f>SUM(U6/V6)*100</f>
        <v>80.392156862745097</v>
      </c>
      <c r="X6" s="355"/>
      <c r="Y6" s="353"/>
      <c r="Z6" s="221">
        <v>30</v>
      </c>
      <c r="AA6" s="7">
        <v>38</v>
      </c>
      <c r="AB6" s="232">
        <f>SUM(Z6/AA6)*100</f>
        <v>78.94736842105263</v>
      </c>
      <c r="AC6" s="221">
        <v>11</v>
      </c>
      <c r="AD6" s="7">
        <v>13</v>
      </c>
      <c r="AE6" s="232">
        <f>SUM(AC6/AD6)*100</f>
        <v>84.615384615384613</v>
      </c>
      <c r="AF6" s="221">
        <v>22</v>
      </c>
      <c r="AG6" s="7">
        <v>37</v>
      </c>
      <c r="AH6" s="232">
        <f>SUM(AF6/AG6)*100</f>
        <v>59.45945945945946</v>
      </c>
      <c r="AI6" s="7">
        <v>61</v>
      </c>
      <c r="AJ6" s="7">
        <v>75</v>
      </c>
      <c r="AK6" s="232">
        <f>SUM(AI6/AJ6)*100</f>
        <v>81.333333333333329</v>
      </c>
      <c r="AL6" s="7">
        <v>41</v>
      </c>
      <c r="AM6" s="7">
        <v>55</v>
      </c>
      <c r="AN6" s="232">
        <f>SUM(AL6/AM6)*100</f>
        <v>74.545454545454547</v>
      </c>
      <c r="AO6" s="7">
        <v>67</v>
      </c>
      <c r="AP6" s="7">
        <v>92</v>
      </c>
      <c r="AQ6" s="232">
        <f>SUM(AO6/AP6)*100</f>
        <v>72.826086956521735</v>
      </c>
    </row>
    <row r="7" spans="1:50" ht="15" customHeight="1" thickBot="1" x14ac:dyDescent="0.3">
      <c r="A7" s="375" t="s">
        <v>895</v>
      </c>
      <c r="B7" s="96">
        <v>0</v>
      </c>
      <c r="C7" s="285">
        <v>0</v>
      </c>
      <c r="D7" s="5">
        <f t="shared" si="0"/>
        <v>0</v>
      </c>
      <c r="E7" s="378" t="s">
        <v>895</v>
      </c>
      <c r="F7" s="97">
        <v>0</v>
      </c>
      <c r="G7" s="271">
        <v>0</v>
      </c>
      <c r="H7" s="78">
        <f t="shared" si="1"/>
        <v>0</v>
      </c>
      <c r="I7" s="375" t="s">
        <v>923</v>
      </c>
      <c r="J7" s="5">
        <v>10</v>
      </c>
      <c r="K7" s="5">
        <v>14</v>
      </c>
      <c r="L7" s="379">
        <f>SUM(J7/K7)*100</f>
        <v>71.428571428571431</v>
      </c>
      <c r="M7" s="5">
        <v>1</v>
      </c>
      <c r="N7" s="5">
        <v>1</v>
      </c>
      <c r="O7" s="379">
        <f>SUM(M7/N7)*100</f>
        <v>100</v>
      </c>
      <c r="P7" s="5">
        <v>1</v>
      </c>
      <c r="Q7" s="5">
        <v>1</v>
      </c>
      <c r="R7" s="7" t="s">
        <v>34</v>
      </c>
      <c r="S7" s="7" t="s">
        <v>34</v>
      </c>
      <c r="T7" s="232" t="s">
        <v>34</v>
      </c>
      <c r="U7" s="7">
        <v>2</v>
      </c>
      <c r="V7" s="7">
        <v>2</v>
      </c>
      <c r="W7" s="232">
        <f>SUM(U7/V7)*100</f>
        <v>100</v>
      </c>
      <c r="X7" s="355"/>
      <c r="Y7" s="353"/>
      <c r="Z7" s="221">
        <v>19</v>
      </c>
      <c r="AA7" s="7">
        <v>23</v>
      </c>
      <c r="AB7" s="232">
        <f>SUM(Z7/AA7)*100</f>
        <v>82.608695652173907</v>
      </c>
      <c r="AC7" s="221">
        <v>24</v>
      </c>
      <c r="AD7" s="7">
        <v>35</v>
      </c>
      <c r="AE7" s="232">
        <f>SUM(AC7/AD7)*100</f>
        <v>68.571428571428569</v>
      </c>
      <c r="AF7" s="7" t="s">
        <v>34</v>
      </c>
      <c r="AG7" s="7" t="s">
        <v>34</v>
      </c>
      <c r="AH7" s="232" t="s">
        <v>34</v>
      </c>
      <c r="AI7" s="7" t="s">
        <v>34</v>
      </c>
      <c r="AJ7" s="7" t="s">
        <v>34</v>
      </c>
      <c r="AK7" s="232" t="s">
        <v>34</v>
      </c>
      <c r="AL7" s="7" t="s">
        <v>34</v>
      </c>
      <c r="AM7" s="7" t="s">
        <v>34</v>
      </c>
      <c r="AN7" s="232" t="s">
        <v>34</v>
      </c>
      <c r="AO7" s="7" t="s">
        <v>34</v>
      </c>
      <c r="AP7" s="7" t="s">
        <v>34</v>
      </c>
      <c r="AQ7" s="232" t="s">
        <v>34</v>
      </c>
    </row>
    <row r="8" spans="1:50" ht="15" customHeight="1" thickBot="1" x14ac:dyDescent="0.3">
      <c r="A8" s="375" t="s">
        <v>897</v>
      </c>
      <c r="B8" s="96">
        <v>3</v>
      </c>
      <c r="C8" s="285">
        <v>0</v>
      </c>
      <c r="D8" s="5">
        <f t="shared" si="0"/>
        <v>3</v>
      </c>
      <c r="E8" s="378" t="s">
        <v>897</v>
      </c>
      <c r="F8" s="97">
        <v>15</v>
      </c>
      <c r="G8" s="271">
        <v>0</v>
      </c>
      <c r="H8" s="78">
        <f t="shared" si="1"/>
        <v>15</v>
      </c>
      <c r="I8" s="375" t="s">
        <v>913</v>
      </c>
      <c r="J8" s="5" t="s">
        <v>34</v>
      </c>
      <c r="K8" s="5" t="s">
        <v>34</v>
      </c>
      <c r="L8" s="5" t="s">
        <v>34</v>
      </c>
      <c r="M8" s="5" t="s">
        <v>34</v>
      </c>
      <c r="N8" s="5" t="s">
        <v>34</v>
      </c>
      <c r="O8" s="379" t="s">
        <v>34</v>
      </c>
      <c r="P8" s="5">
        <v>-1</v>
      </c>
      <c r="Q8" s="5">
        <v>-1</v>
      </c>
      <c r="R8" s="7" t="s">
        <v>34</v>
      </c>
      <c r="S8" s="7" t="s">
        <v>34</v>
      </c>
      <c r="T8" s="7" t="s">
        <v>34</v>
      </c>
      <c r="U8" s="7" t="s">
        <v>34</v>
      </c>
      <c r="V8" s="7" t="s">
        <v>34</v>
      </c>
      <c r="W8" s="7" t="s">
        <v>34</v>
      </c>
      <c r="X8" s="355"/>
      <c r="Y8" s="353"/>
      <c r="Z8" s="221">
        <v>0</v>
      </c>
      <c r="AA8" s="7">
        <v>1</v>
      </c>
      <c r="AB8" s="232">
        <v>0</v>
      </c>
      <c r="AC8" s="7" t="s">
        <v>34</v>
      </c>
      <c r="AD8" s="7" t="s">
        <v>34</v>
      </c>
      <c r="AE8" s="232" t="s">
        <v>34</v>
      </c>
      <c r="AF8" s="7" t="s">
        <v>34</v>
      </c>
      <c r="AG8" s="7" t="s">
        <v>34</v>
      </c>
      <c r="AH8" s="232" t="s">
        <v>34</v>
      </c>
      <c r="AI8" s="7" t="s">
        <v>34</v>
      </c>
      <c r="AJ8" s="7" t="s">
        <v>34</v>
      </c>
      <c r="AK8" s="232" t="s">
        <v>34</v>
      </c>
      <c r="AL8" s="7" t="s">
        <v>34</v>
      </c>
      <c r="AM8" s="7" t="s">
        <v>34</v>
      </c>
      <c r="AN8" s="232" t="s">
        <v>34</v>
      </c>
      <c r="AO8" s="7" t="s">
        <v>34</v>
      </c>
      <c r="AP8" s="7" t="s">
        <v>34</v>
      </c>
      <c r="AQ8" s="232" t="s">
        <v>34</v>
      </c>
    </row>
    <row r="9" spans="1:50" ht="15" customHeight="1" thickBot="1" x14ac:dyDescent="0.3">
      <c r="A9" s="375" t="s">
        <v>900</v>
      </c>
      <c r="B9" s="96">
        <v>0</v>
      </c>
      <c r="C9" s="285">
        <v>0</v>
      </c>
      <c r="D9" s="5">
        <f t="shared" si="0"/>
        <v>0</v>
      </c>
      <c r="E9" s="378" t="s">
        <v>900</v>
      </c>
      <c r="F9" s="97">
        <v>0</v>
      </c>
      <c r="G9" s="271">
        <v>0</v>
      </c>
      <c r="H9" s="78">
        <f t="shared" si="1"/>
        <v>0</v>
      </c>
      <c r="I9" s="375" t="s">
        <v>943</v>
      </c>
      <c r="J9" s="5" t="s">
        <v>34</v>
      </c>
      <c r="K9" s="5" t="s">
        <v>34</v>
      </c>
      <c r="L9" s="5" t="s">
        <v>34</v>
      </c>
      <c r="M9" s="5" t="s">
        <v>34</v>
      </c>
      <c r="N9" s="5" t="s">
        <v>34</v>
      </c>
      <c r="O9" s="379" t="s">
        <v>34</v>
      </c>
      <c r="P9" s="5" t="s">
        <v>34</v>
      </c>
      <c r="Q9" s="5">
        <v>1</v>
      </c>
      <c r="R9" s="7" t="s">
        <v>34</v>
      </c>
      <c r="S9" s="7" t="s">
        <v>34</v>
      </c>
      <c r="T9" s="7" t="s">
        <v>34</v>
      </c>
      <c r="U9" s="7" t="s">
        <v>34</v>
      </c>
      <c r="V9" s="7" t="s">
        <v>34</v>
      </c>
      <c r="W9" s="7" t="s">
        <v>34</v>
      </c>
      <c r="X9" s="355"/>
      <c r="Y9" s="353"/>
      <c r="Z9" s="221" t="s">
        <v>34</v>
      </c>
      <c r="AA9" s="7" t="s">
        <v>34</v>
      </c>
      <c r="AB9" s="232" t="s">
        <v>34</v>
      </c>
      <c r="AC9" s="7" t="s">
        <v>34</v>
      </c>
      <c r="AD9" s="7" t="s">
        <v>34</v>
      </c>
      <c r="AE9" s="232" t="s">
        <v>34</v>
      </c>
      <c r="AF9" s="7" t="s">
        <v>34</v>
      </c>
      <c r="AG9" s="7" t="s">
        <v>34</v>
      </c>
      <c r="AH9" s="232" t="s">
        <v>34</v>
      </c>
      <c r="AI9" s="7" t="s">
        <v>34</v>
      </c>
      <c r="AJ9" s="7" t="s">
        <v>34</v>
      </c>
      <c r="AK9" s="232" t="s">
        <v>34</v>
      </c>
      <c r="AL9" s="7" t="s">
        <v>34</v>
      </c>
      <c r="AM9" s="7" t="s">
        <v>34</v>
      </c>
      <c r="AN9" s="232" t="s">
        <v>34</v>
      </c>
      <c r="AO9" s="7" t="s">
        <v>34</v>
      </c>
      <c r="AP9" s="7" t="s">
        <v>34</v>
      </c>
      <c r="AQ9" s="232" t="s">
        <v>34</v>
      </c>
    </row>
    <row r="10" spans="1:50" ht="15" customHeight="1" thickBot="1" x14ac:dyDescent="0.3">
      <c r="A10" s="375" t="s">
        <v>921</v>
      </c>
      <c r="B10" s="96">
        <v>0</v>
      </c>
      <c r="C10" s="285">
        <v>0</v>
      </c>
      <c r="D10" s="5">
        <f t="shared" si="0"/>
        <v>0</v>
      </c>
      <c r="E10" s="378" t="s">
        <v>921</v>
      </c>
      <c r="F10" s="97">
        <v>81</v>
      </c>
      <c r="G10" s="271">
        <v>22</v>
      </c>
      <c r="H10" s="78">
        <f t="shared" si="1"/>
        <v>103</v>
      </c>
      <c r="I10" s="375" t="s">
        <v>187</v>
      </c>
      <c r="J10" s="5" t="s">
        <v>34</v>
      </c>
      <c r="K10" s="5" t="s">
        <v>34</v>
      </c>
      <c r="L10" s="379" t="s">
        <v>34</v>
      </c>
      <c r="M10" s="5" t="s">
        <v>34</v>
      </c>
      <c r="N10" s="5" t="s">
        <v>34</v>
      </c>
      <c r="O10" s="5" t="s">
        <v>34</v>
      </c>
      <c r="P10" s="5">
        <v>-1</v>
      </c>
      <c r="Q10" s="5">
        <v>-1</v>
      </c>
      <c r="R10" s="7" t="s">
        <v>34</v>
      </c>
      <c r="S10" s="7" t="s">
        <v>34</v>
      </c>
      <c r="T10" s="232" t="s">
        <v>34</v>
      </c>
      <c r="U10" s="221">
        <v>0</v>
      </c>
      <c r="V10" s="7">
        <v>1</v>
      </c>
      <c r="W10" s="7">
        <v>0</v>
      </c>
      <c r="X10" s="355"/>
      <c r="Y10" s="353"/>
      <c r="Z10" s="221" t="s">
        <v>34</v>
      </c>
      <c r="AA10" s="7" t="s">
        <v>34</v>
      </c>
      <c r="AB10" s="232" t="s">
        <v>34</v>
      </c>
      <c r="AC10" s="7" t="s">
        <v>34</v>
      </c>
      <c r="AD10" s="7" t="s">
        <v>34</v>
      </c>
      <c r="AE10" s="232" t="s">
        <v>34</v>
      </c>
      <c r="AF10" s="7" t="s">
        <v>34</v>
      </c>
      <c r="AG10" s="7" t="s">
        <v>34</v>
      </c>
      <c r="AH10" s="232" t="s">
        <v>34</v>
      </c>
      <c r="AI10" s="7" t="s">
        <v>34</v>
      </c>
      <c r="AJ10" s="7" t="s">
        <v>34</v>
      </c>
      <c r="AK10" s="232" t="s">
        <v>34</v>
      </c>
      <c r="AL10" s="7" t="s">
        <v>34</v>
      </c>
      <c r="AM10" s="7" t="s">
        <v>34</v>
      </c>
      <c r="AN10" s="232" t="s">
        <v>34</v>
      </c>
      <c r="AO10" s="7" t="s">
        <v>34</v>
      </c>
      <c r="AP10" s="7" t="s">
        <v>34</v>
      </c>
      <c r="AQ10" s="232" t="s">
        <v>34</v>
      </c>
    </row>
    <row r="11" spans="1:50" ht="15" customHeight="1" thickBot="1" x14ac:dyDescent="0.3">
      <c r="A11" s="375" t="s">
        <v>901</v>
      </c>
      <c r="B11" s="96">
        <v>1</v>
      </c>
      <c r="C11" s="285">
        <v>0</v>
      </c>
      <c r="D11" s="5">
        <f t="shared" si="0"/>
        <v>1</v>
      </c>
      <c r="E11" s="378" t="s">
        <v>901</v>
      </c>
      <c r="F11" s="97">
        <v>5</v>
      </c>
      <c r="G11" s="271">
        <v>0</v>
      </c>
      <c r="H11" s="78">
        <f t="shared" si="1"/>
        <v>5</v>
      </c>
      <c r="I11" s="66"/>
      <c r="J11" s="63"/>
      <c r="K11" s="62"/>
      <c r="L11" s="62"/>
      <c r="M11" s="63"/>
      <c r="N11" s="62"/>
      <c r="O11" s="64"/>
      <c r="P11" s="65"/>
      <c r="Q11" s="38"/>
      <c r="R11" s="38"/>
      <c r="S11" s="38"/>
      <c r="T11" s="38"/>
      <c r="U11" s="62"/>
      <c r="V11" s="62"/>
      <c r="W11" s="62"/>
    </row>
    <row r="12" spans="1:50" ht="15" customHeight="1" thickBot="1" x14ac:dyDescent="0.3">
      <c r="A12" s="375" t="s">
        <v>1069</v>
      </c>
      <c r="B12" s="96">
        <v>1</v>
      </c>
      <c r="C12" s="285">
        <v>1</v>
      </c>
      <c r="D12" s="5">
        <f t="shared" si="0"/>
        <v>2</v>
      </c>
      <c r="E12" s="378" t="s">
        <v>1069</v>
      </c>
      <c r="F12" s="97">
        <v>5</v>
      </c>
      <c r="G12" s="271">
        <v>5</v>
      </c>
      <c r="H12" s="78">
        <f t="shared" si="1"/>
        <v>10</v>
      </c>
      <c r="I12" s="533" t="s">
        <v>660</v>
      </c>
      <c r="J12" s="525" t="s">
        <v>33</v>
      </c>
      <c r="K12" s="526"/>
      <c r="L12" s="527"/>
      <c r="M12" s="519" t="s">
        <v>836</v>
      </c>
      <c r="N12" s="520"/>
      <c r="O12" s="521"/>
      <c r="P12" s="543" t="s">
        <v>944</v>
      </c>
      <c r="Q12" s="549"/>
      <c r="R12" s="550"/>
      <c r="S12" s="543" t="s">
        <v>574</v>
      </c>
      <c r="T12" s="549"/>
      <c r="U12" s="550"/>
      <c r="V12" s="254"/>
      <c r="W12" s="254"/>
      <c r="X12" s="254"/>
      <c r="Y12" s="354"/>
      <c r="Z12" s="543" t="s">
        <v>217</v>
      </c>
      <c r="AA12" s="549"/>
      <c r="AB12" s="550"/>
      <c r="AC12" s="543" t="s">
        <v>147</v>
      </c>
      <c r="AD12" s="549"/>
      <c r="AE12" s="550"/>
      <c r="AF12" s="543" t="s">
        <v>137</v>
      </c>
      <c r="AG12" s="549"/>
      <c r="AH12" s="550"/>
      <c r="AI12" s="543" t="s">
        <v>168</v>
      </c>
      <c r="AJ12" s="549"/>
      <c r="AK12" s="550"/>
    </row>
    <row r="13" spans="1:50" ht="15" customHeight="1" thickBot="1" x14ac:dyDescent="0.3">
      <c r="A13" s="375" t="s">
        <v>903</v>
      </c>
      <c r="B13" s="96">
        <v>0</v>
      </c>
      <c r="C13" s="285">
        <v>0</v>
      </c>
      <c r="D13" s="5">
        <f t="shared" si="0"/>
        <v>0</v>
      </c>
      <c r="E13" s="378" t="s">
        <v>903</v>
      </c>
      <c r="F13" s="97">
        <v>0</v>
      </c>
      <c r="G13" s="271">
        <v>0</v>
      </c>
      <c r="H13" s="78">
        <f t="shared" si="1"/>
        <v>0</v>
      </c>
      <c r="I13" s="534"/>
      <c r="J13" s="528"/>
      <c r="K13" s="529"/>
      <c r="L13" s="530"/>
      <c r="M13" s="522"/>
      <c r="N13" s="523"/>
      <c r="O13" s="524"/>
      <c r="P13" s="551"/>
      <c r="Q13" s="552"/>
      <c r="R13" s="553"/>
      <c r="S13" s="551"/>
      <c r="T13" s="552"/>
      <c r="U13" s="553"/>
      <c r="V13" s="254"/>
      <c r="W13" s="254"/>
      <c r="X13" s="254"/>
      <c r="Y13" s="354"/>
      <c r="Z13" s="551"/>
      <c r="AA13" s="552"/>
      <c r="AB13" s="553"/>
      <c r="AC13" s="551"/>
      <c r="AD13" s="552"/>
      <c r="AE13" s="553"/>
      <c r="AF13" s="551"/>
      <c r="AG13" s="552"/>
      <c r="AH13" s="553"/>
      <c r="AI13" s="551"/>
      <c r="AJ13" s="552"/>
      <c r="AK13" s="553"/>
    </row>
    <row r="14" spans="1:50" ht="15" customHeight="1" thickBot="1" x14ac:dyDescent="0.3">
      <c r="A14" s="375" t="s">
        <v>905</v>
      </c>
      <c r="B14" s="96">
        <v>0</v>
      </c>
      <c r="C14" s="285">
        <v>0</v>
      </c>
      <c r="D14" s="5">
        <f t="shared" si="0"/>
        <v>0</v>
      </c>
      <c r="E14" s="378" t="s">
        <v>905</v>
      </c>
      <c r="F14" s="97">
        <v>0</v>
      </c>
      <c r="G14" s="271">
        <v>0</v>
      </c>
      <c r="H14" s="78">
        <f t="shared" si="1"/>
        <v>0</v>
      </c>
      <c r="I14" s="34" t="s">
        <v>51</v>
      </c>
      <c r="J14" s="3" t="s">
        <v>129</v>
      </c>
      <c r="K14" s="3" t="s">
        <v>27</v>
      </c>
      <c r="L14" s="3" t="s">
        <v>28</v>
      </c>
      <c r="M14" s="98" t="s">
        <v>129</v>
      </c>
      <c r="N14" s="98" t="s">
        <v>27</v>
      </c>
      <c r="O14" s="98" t="s">
        <v>28</v>
      </c>
      <c r="P14" s="7" t="s">
        <v>129</v>
      </c>
      <c r="Q14" s="7" t="s">
        <v>27</v>
      </c>
      <c r="R14" s="7" t="s">
        <v>28</v>
      </c>
      <c r="S14" s="221" t="s">
        <v>129</v>
      </c>
      <c r="T14" s="7" t="s">
        <v>27</v>
      </c>
      <c r="U14" s="7" t="s">
        <v>28</v>
      </c>
      <c r="V14" s="354"/>
      <c r="W14" s="354"/>
      <c r="X14" s="354"/>
      <c r="Y14" s="354"/>
      <c r="Z14" s="221" t="s">
        <v>129</v>
      </c>
      <c r="AA14" s="7" t="s">
        <v>27</v>
      </c>
      <c r="AB14" s="7" t="s">
        <v>28</v>
      </c>
      <c r="AC14" s="221" t="s">
        <v>129</v>
      </c>
      <c r="AD14" s="7" t="s">
        <v>27</v>
      </c>
      <c r="AE14" s="7" t="s">
        <v>28</v>
      </c>
      <c r="AF14" s="221" t="s">
        <v>129</v>
      </c>
      <c r="AG14" s="7" t="s">
        <v>27</v>
      </c>
      <c r="AH14" s="7" t="s">
        <v>28</v>
      </c>
      <c r="AI14" s="221" t="s">
        <v>129</v>
      </c>
      <c r="AJ14" s="7" t="s">
        <v>27</v>
      </c>
      <c r="AK14" s="7" t="s">
        <v>28</v>
      </c>
    </row>
    <row r="15" spans="1:50" ht="15" customHeight="1" thickBot="1" x14ac:dyDescent="0.3">
      <c r="A15" s="375" t="s">
        <v>922</v>
      </c>
      <c r="B15" s="96">
        <v>1</v>
      </c>
      <c r="C15" s="285">
        <v>0</v>
      </c>
      <c r="D15" s="5">
        <f t="shared" si="0"/>
        <v>1</v>
      </c>
      <c r="E15" s="378" t="s">
        <v>922</v>
      </c>
      <c r="F15" s="97">
        <v>31</v>
      </c>
      <c r="G15" s="271">
        <v>0</v>
      </c>
      <c r="H15" s="78">
        <f t="shared" si="1"/>
        <v>31</v>
      </c>
      <c r="I15" s="375" t="s">
        <v>921</v>
      </c>
      <c r="J15" s="5">
        <v>9</v>
      </c>
      <c r="K15" s="5">
        <v>13</v>
      </c>
      <c r="L15" s="379">
        <f>SUM(J15/K15)*100</f>
        <v>69.230769230769226</v>
      </c>
      <c r="M15" s="7" t="s">
        <v>34</v>
      </c>
      <c r="N15" s="7" t="s">
        <v>34</v>
      </c>
      <c r="O15" s="7" t="s">
        <v>34</v>
      </c>
      <c r="P15" s="7">
        <v>3</v>
      </c>
      <c r="Q15" s="7">
        <v>3</v>
      </c>
      <c r="R15" s="232">
        <v>100</v>
      </c>
      <c r="S15" s="221" t="s">
        <v>34</v>
      </c>
      <c r="T15" s="7" t="s">
        <v>34</v>
      </c>
      <c r="U15" s="7" t="s">
        <v>34</v>
      </c>
      <c r="V15" s="354"/>
      <c r="W15" s="354"/>
      <c r="X15" s="354"/>
      <c r="Y15" s="354"/>
      <c r="Z15" s="221">
        <v>1</v>
      </c>
      <c r="AA15" s="7">
        <v>2</v>
      </c>
      <c r="AB15" s="232">
        <f>SUM(Z15/AA15)*100</f>
        <v>50</v>
      </c>
      <c r="AC15" s="6" t="s">
        <v>34</v>
      </c>
      <c r="AD15" s="7" t="s">
        <v>34</v>
      </c>
      <c r="AE15" s="7" t="s">
        <v>34</v>
      </c>
      <c r="AF15" s="7" t="s">
        <v>34</v>
      </c>
      <c r="AG15" s="7" t="s">
        <v>34</v>
      </c>
      <c r="AH15" s="7" t="s">
        <v>34</v>
      </c>
      <c r="AI15" s="7" t="s">
        <v>34</v>
      </c>
      <c r="AJ15" s="7" t="s">
        <v>34</v>
      </c>
      <c r="AK15" s="7" t="s">
        <v>34</v>
      </c>
    </row>
    <row r="16" spans="1:50" ht="15" customHeight="1" thickBot="1" x14ac:dyDescent="0.3">
      <c r="A16" s="375" t="s">
        <v>993</v>
      </c>
      <c r="B16" s="96">
        <v>2</v>
      </c>
      <c r="C16" s="285">
        <v>0</v>
      </c>
      <c r="D16" s="5">
        <f t="shared" si="0"/>
        <v>2</v>
      </c>
      <c r="E16" s="378" t="s">
        <v>993</v>
      </c>
      <c r="F16" s="97">
        <v>10</v>
      </c>
      <c r="G16" s="271">
        <v>0</v>
      </c>
      <c r="H16" s="78">
        <f t="shared" si="1"/>
        <v>10</v>
      </c>
      <c r="I16" s="375" t="s">
        <v>945</v>
      </c>
      <c r="J16" s="5" t="s">
        <v>34</v>
      </c>
      <c r="K16" s="5" t="s">
        <v>34</v>
      </c>
      <c r="L16" s="379" t="s">
        <v>34</v>
      </c>
      <c r="M16" s="7" t="s">
        <v>34</v>
      </c>
      <c r="N16" s="7" t="s">
        <v>34</v>
      </c>
      <c r="O16" s="7" t="s">
        <v>34</v>
      </c>
      <c r="P16" s="7">
        <v>6</v>
      </c>
      <c r="Q16" s="7">
        <v>8</v>
      </c>
      <c r="R16" s="232">
        <f>SUM(P16/Q16)*100</f>
        <v>75</v>
      </c>
      <c r="S16" s="221">
        <v>16</v>
      </c>
      <c r="T16" s="7">
        <v>25</v>
      </c>
      <c r="U16" s="232">
        <f>SUM(S16/T16)*100</f>
        <v>64</v>
      </c>
      <c r="V16" s="354"/>
      <c r="W16" s="354"/>
      <c r="X16" s="354"/>
      <c r="Y16" s="354"/>
      <c r="Z16" s="221">
        <v>7</v>
      </c>
      <c r="AA16" s="7">
        <v>9</v>
      </c>
      <c r="AB16" s="232">
        <f>SUM(Z16/AA16)*100</f>
        <v>77.777777777777786</v>
      </c>
      <c r="AC16" s="221">
        <v>1</v>
      </c>
      <c r="AD16" s="7">
        <v>5</v>
      </c>
      <c r="AE16" s="232">
        <f>SUM(AC16/AD16)*100</f>
        <v>20</v>
      </c>
      <c r="AF16" s="221">
        <v>11</v>
      </c>
      <c r="AG16" s="7">
        <v>14</v>
      </c>
      <c r="AH16" s="232">
        <f>SUM(AF16/AG16)*100</f>
        <v>78.571428571428569</v>
      </c>
      <c r="AI16" s="7">
        <v>21</v>
      </c>
      <c r="AJ16" s="7">
        <v>26</v>
      </c>
      <c r="AK16" s="232">
        <f>SUM(AI16/AJ16)*100</f>
        <v>80.769230769230774</v>
      </c>
    </row>
    <row r="17" spans="1:43" ht="15" customHeight="1" thickBot="1" x14ac:dyDescent="0.3">
      <c r="A17" s="375" t="s">
        <v>981</v>
      </c>
      <c r="B17" s="96">
        <v>3</v>
      </c>
      <c r="C17" s="285">
        <v>0</v>
      </c>
      <c r="D17" s="5">
        <f t="shared" si="0"/>
        <v>3</v>
      </c>
      <c r="E17" s="378" t="s">
        <v>981</v>
      </c>
      <c r="F17" s="97">
        <v>15</v>
      </c>
      <c r="G17" s="271">
        <v>0</v>
      </c>
      <c r="H17" s="78">
        <f t="shared" si="1"/>
        <v>15</v>
      </c>
      <c r="I17" s="375" t="s">
        <v>923</v>
      </c>
      <c r="J17" s="5">
        <v>4</v>
      </c>
      <c r="K17" s="5">
        <v>4</v>
      </c>
      <c r="L17" s="379">
        <f>SUM(J17/K17)*100</f>
        <v>100</v>
      </c>
      <c r="M17" s="7" t="s">
        <v>34</v>
      </c>
      <c r="N17" s="7" t="s">
        <v>34</v>
      </c>
      <c r="O17" s="7" t="s">
        <v>34</v>
      </c>
      <c r="P17" s="7">
        <v>10</v>
      </c>
      <c r="Q17" s="7">
        <v>10</v>
      </c>
      <c r="R17" s="232">
        <f>SUM(P17/Q17)*100</f>
        <v>100</v>
      </c>
      <c r="S17" s="221">
        <v>13</v>
      </c>
      <c r="T17" s="7">
        <v>14</v>
      </c>
      <c r="U17" s="232">
        <f>SUM(S17/T17)*100</f>
        <v>92.857142857142861</v>
      </c>
      <c r="V17" s="354"/>
      <c r="W17" s="354"/>
      <c r="X17" s="354"/>
      <c r="Y17" s="354"/>
      <c r="Z17" s="221">
        <v>12</v>
      </c>
      <c r="AA17" s="7">
        <v>12</v>
      </c>
      <c r="AB17" s="232">
        <f>SUM(Z17/AA17)*100</f>
        <v>100</v>
      </c>
      <c r="AC17" s="6" t="s">
        <v>34</v>
      </c>
      <c r="AD17" s="7" t="s">
        <v>34</v>
      </c>
      <c r="AE17" s="7" t="s">
        <v>34</v>
      </c>
      <c r="AF17" s="7" t="s">
        <v>34</v>
      </c>
      <c r="AG17" s="7" t="s">
        <v>34</v>
      </c>
      <c r="AH17" s="7" t="s">
        <v>34</v>
      </c>
      <c r="AI17" s="7" t="s">
        <v>34</v>
      </c>
      <c r="AJ17" s="7" t="s">
        <v>34</v>
      </c>
      <c r="AK17" s="7" t="s">
        <v>34</v>
      </c>
      <c r="AL17" s="263"/>
      <c r="AM17" s="263"/>
      <c r="AN17" s="263"/>
    </row>
    <row r="18" spans="1:43" ht="15" customHeight="1" thickBot="1" x14ac:dyDescent="0.3">
      <c r="A18" s="375" t="s">
        <v>907</v>
      </c>
      <c r="B18" s="96">
        <v>0</v>
      </c>
      <c r="C18" s="285">
        <v>0</v>
      </c>
      <c r="D18" s="5">
        <f t="shared" si="0"/>
        <v>0</v>
      </c>
      <c r="E18" s="378" t="s">
        <v>907</v>
      </c>
      <c r="F18" s="97">
        <v>0</v>
      </c>
      <c r="G18" s="271">
        <v>0</v>
      </c>
      <c r="H18" s="78">
        <f t="shared" si="1"/>
        <v>0</v>
      </c>
      <c r="I18" s="375" t="s">
        <v>943</v>
      </c>
      <c r="J18" s="5" t="s">
        <v>34</v>
      </c>
      <c r="K18" s="5" t="s">
        <v>34</v>
      </c>
      <c r="L18" s="379" t="s">
        <v>34</v>
      </c>
      <c r="M18" s="7" t="s">
        <v>34</v>
      </c>
      <c r="N18" s="7" t="s">
        <v>34</v>
      </c>
      <c r="O18" s="7" t="s">
        <v>34</v>
      </c>
      <c r="P18" s="7" t="s">
        <v>34</v>
      </c>
      <c r="Q18" s="7" t="s">
        <v>34</v>
      </c>
      <c r="R18" s="7" t="s">
        <v>34</v>
      </c>
      <c r="S18" s="221" t="s">
        <v>34</v>
      </c>
      <c r="T18" s="7" t="s">
        <v>34</v>
      </c>
      <c r="U18" s="7" t="s">
        <v>34</v>
      </c>
      <c r="V18" s="354"/>
      <c r="W18" s="354"/>
      <c r="X18" s="354"/>
      <c r="Y18" s="354"/>
      <c r="Z18" s="221" t="s">
        <v>34</v>
      </c>
      <c r="AA18" s="7" t="s">
        <v>34</v>
      </c>
      <c r="AB18" s="7" t="s">
        <v>34</v>
      </c>
      <c r="AC18" s="221">
        <v>1</v>
      </c>
      <c r="AD18" s="7">
        <v>1</v>
      </c>
      <c r="AE18" s="7">
        <v>100</v>
      </c>
      <c r="AF18" s="7" t="s">
        <v>34</v>
      </c>
      <c r="AG18" s="7" t="s">
        <v>34</v>
      </c>
      <c r="AH18" s="7" t="s">
        <v>34</v>
      </c>
      <c r="AI18" s="7" t="s">
        <v>34</v>
      </c>
      <c r="AJ18" s="7" t="s">
        <v>34</v>
      </c>
      <c r="AK18" s="7" t="s">
        <v>34</v>
      </c>
    </row>
    <row r="19" spans="1:43" ht="15" customHeight="1" thickBot="1" x14ac:dyDescent="0.3">
      <c r="A19" s="375" t="s">
        <v>923</v>
      </c>
      <c r="B19" s="96">
        <v>0</v>
      </c>
      <c r="C19" s="285">
        <v>0</v>
      </c>
      <c r="D19" s="5">
        <f t="shared" si="0"/>
        <v>0</v>
      </c>
      <c r="E19" s="378" t="s">
        <v>923</v>
      </c>
      <c r="F19" s="97">
        <v>26</v>
      </c>
      <c r="G19" s="271">
        <v>10</v>
      </c>
      <c r="H19" s="78">
        <f t="shared" si="1"/>
        <v>36</v>
      </c>
      <c r="V19" s="354"/>
      <c r="W19" s="354"/>
      <c r="X19" s="354"/>
      <c r="Y19" s="354"/>
      <c r="AO19" s="263"/>
      <c r="AP19" s="263"/>
      <c r="AQ19" s="263"/>
    </row>
    <row r="20" spans="1:43" ht="15" customHeight="1" thickBot="1" x14ac:dyDescent="0.3">
      <c r="A20" s="375" t="s">
        <v>909</v>
      </c>
      <c r="B20" s="96">
        <v>0</v>
      </c>
      <c r="C20" s="285">
        <v>0</v>
      </c>
      <c r="D20" s="5">
        <f t="shared" si="0"/>
        <v>0</v>
      </c>
      <c r="E20" s="378" t="s">
        <v>909</v>
      </c>
      <c r="F20" s="97">
        <v>0</v>
      </c>
      <c r="G20" s="271">
        <v>0</v>
      </c>
      <c r="H20" s="78">
        <f t="shared" si="1"/>
        <v>0</v>
      </c>
      <c r="I20" s="515" t="s">
        <v>218</v>
      </c>
      <c r="J20" s="525" t="s">
        <v>836</v>
      </c>
      <c r="K20" s="526"/>
      <c r="L20" s="527"/>
      <c r="M20" s="543" t="s">
        <v>816</v>
      </c>
      <c r="N20" s="549"/>
      <c r="O20" s="550"/>
      <c r="P20" s="543" t="s">
        <v>574</v>
      </c>
      <c r="Q20" s="549"/>
      <c r="R20" s="550"/>
      <c r="S20" s="543" t="s">
        <v>217</v>
      </c>
      <c r="T20" s="549"/>
      <c r="U20" s="550"/>
      <c r="V20" s="354"/>
      <c r="W20" s="354"/>
      <c r="X20" s="354"/>
      <c r="Y20" s="354"/>
      <c r="Z20" s="543" t="s">
        <v>137</v>
      </c>
      <c r="AA20" s="549"/>
      <c r="AB20" s="550"/>
      <c r="AC20" s="543" t="s">
        <v>101</v>
      </c>
      <c r="AD20" s="549"/>
      <c r="AE20" s="550"/>
    </row>
    <row r="21" spans="1:43" ht="15" customHeight="1" thickBot="1" x14ac:dyDescent="0.3">
      <c r="A21" s="375" t="s">
        <v>589</v>
      </c>
      <c r="B21" s="96">
        <v>0</v>
      </c>
      <c r="C21" s="285">
        <v>0</v>
      </c>
      <c r="D21" s="5">
        <f t="shared" si="0"/>
        <v>0</v>
      </c>
      <c r="E21" s="378" t="s">
        <v>589</v>
      </c>
      <c r="F21" s="97">
        <v>0</v>
      </c>
      <c r="G21" s="271">
        <v>0</v>
      </c>
      <c r="H21" s="78">
        <f t="shared" si="1"/>
        <v>0</v>
      </c>
      <c r="I21" s="516"/>
      <c r="J21" s="528"/>
      <c r="K21" s="529"/>
      <c r="L21" s="530"/>
      <c r="M21" s="551"/>
      <c r="N21" s="552"/>
      <c r="O21" s="553"/>
      <c r="P21" s="551"/>
      <c r="Q21" s="552"/>
      <c r="R21" s="553"/>
      <c r="S21" s="551"/>
      <c r="T21" s="552"/>
      <c r="U21" s="553"/>
      <c r="V21" s="354"/>
      <c r="W21" s="354"/>
      <c r="X21" s="354"/>
      <c r="Y21" s="354"/>
      <c r="Z21" s="551"/>
      <c r="AA21" s="552"/>
      <c r="AB21" s="553"/>
      <c r="AC21" s="551"/>
      <c r="AD21" s="552"/>
      <c r="AE21" s="553"/>
    </row>
    <row r="22" spans="1:43" ht="15" customHeight="1" thickBot="1" x14ac:dyDescent="0.3">
      <c r="A22" s="375" t="s">
        <v>752</v>
      </c>
      <c r="B22" s="96">
        <v>1</v>
      </c>
      <c r="C22" s="285">
        <v>0</v>
      </c>
      <c r="D22" s="5">
        <f t="shared" si="0"/>
        <v>1</v>
      </c>
      <c r="E22" s="378" t="s">
        <v>752</v>
      </c>
      <c r="F22" s="97">
        <v>5</v>
      </c>
      <c r="G22" s="271">
        <v>0</v>
      </c>
      <c r="H22" s="78">
        <f t="shared" si="1"/>
        <v>5</v>
      </c>
      <c r="I22" s="34" t="s">
        <v>51</v>
      </c>
      <c r="J22" s="3" t="s">
        <v>129</v>
      </c>
      <c r="K22" s="3" t="s">
        <v>27</v>
      </c>
      <c r="L22" s="3" t="s">
        <v>28</v>
      </c>
      <c r="M22" s="7" t="s">
        <v>129</v>
      </c>
      <c r="N22" s="7" t="s">
        <v>27</v>
      </c>
      <c r="O22" s="7" t="s">
        <v>28</v>
      </c>
      <c r="P22" s="7" t="s">
        <v>129</v>
      </c>
      <c r="Q22" s="7" t="s">
        <v>27</v>
      </c>
      <c r="R22" s="7" t="s">
        <v>28</v>
      </c>
      <c r="S22" s="221" t="s">
        <v>129</v>
      </c>
      <c r="T22" s="7" t="s">
        <v>27</v>
      </c>
      <c r="U22" s="7" t="s">
        <v>28</v>
      </c>
      <c r="V22" s="354"/>
      <c r="W22" s="354"/>
      <c r="X22" s="354"/>
      <c r="Y22" s="354"/>
      <c r="Z22" s="221" t="s">
        <v>129</v>
      </c>
      <c r="AA22" s="7" t="s">
        <v>27</v>
      </c>
      <c r="AB22" s="7" t="s">
        <v>28</v>
      </c>
      <c r="AC22" s="221" t="s">
        <v>129</v>
      </c>
      <c r="AD22" s="7" t="s">
        <v>27</v>
      </c>
      <c r="AE22" s="7" t="s">
        <v>28</v>
      </c>
    </row>
    <row r="23" spans="1:43" ht="15" customHeight="1" thickBot="1" x14ac:dyDescent="0.3">
      <c r="A23" s="375" t="s">
        <v>67</v>
      </c>
      <c r="B23" s="96">
        <v>7</v>
      </c>
      <c r="C23" s="285">
        <v>0</v>
      </c>
      <c r="D23" s="5">
        <f t="shared" si="0"/>
        <v>7</v>
      </c>
      <c r="E23" s="378" t="s">
        <v>67</v>
      </c>
      <c r="F23" s="97">
        <v>35</v>
      </c>
      <c r="G23" s="271">
        <v>0</v>
      </c>
      <c r="H23" s="78">
        <f t="shared" si="1"/>
        <v>35</v>
      </c>
      <c r="I23" s="375" t="s">
        <v>948</v>
      </c>
      <c r="J23" s="5" t="s">
        <v>34</v>
      </c>
      <c r="K23" s="5" t="s">
        <v>34</v>
      </c>
      <c r="L23" s="5" t="s">
        <v>34</v>
      </c>
      <c r="M23" s="7" t="s">
        <v>34</v>
      </c>
      <c r="N23" s="7" t="s">
        <v>34</v>
      </c>
      <c r="O23" s="7" t="s">
        <v>34</v>
      </c>
      <c r="P23" s="7" t="s">
        <v>34</v>
      </c>
      <c r="Q23" s="7" t="s">
        <v>34</v>
      </c>
      <c r="R23" s="7" t="s">
        <v>34</v>
      </c>
      <c r="S23" s="7">
        <v>4</v>
      </c>
      <c r="T23" s="7">
        <v>5</v>
      </c>
      <c r="U23" s="232">
        <f>SUM(S23/T23)*100</f>
        <v>80</v>
      </c>
      <c r="V23" s="354"/>
      <c r="W23" s="354"/>
      <c r="X23" s="354"/>
      <c r="Y23" s="354"/>
      <c r="Z23" s="6" t="s">
        <v>34</v>
      </c>
      <c r="AA23" s="7" t="s">
        <v>34</v>
      </c>
      <c r="AB23" s="7" t="s">
        <v>34</v>
      </c>
      <c r="AC23" s="7" t="s">
        <v>34</v>
      </c>
      <c r="AD23" s="7" t="s">
        <v>34</v>
      </c>
      <c r="AE23" s="7" t="s">
        <v>34</v>
      </c>
    </row>
    <row r="24" spans="1:43" ht="15" customHeight="1" thickBot="1" x14ac:dyDescent="0.3">
      <c r="A24" s="375" t="s">
        <v>913</v>
      </c>
      <c r="B24" s="96">
        <v>1</v>
      </c>
      <c r="C24" s="285">
        <v>0</v>
      </c>
      <c r="D24" s="5">
        <f t="shared" si="0"/>
        <v>1</v>
      </c>
      <c r="E24" s="378" t="s">
        <v>913</v>
      </c>
      <c r="F24" s="97">
        <v>5</v>
      </c>
      <c r="G24" s="271">
        <v>0</v>
      </c>
      <c r="H24" s="78">
        <f t="shared" si="1"/>
        <v>5</v>
      </c>
      <c r="I24" s="375" t="s">
        <v>921</v>
      </c>
      <c r="J24" s="5" t="s">
        <v>34</v>
      </c>
      <c r="K24" s="5" t="s">
        <v>34</v>
      </c>
      <c r="L24" s="5" t="s">
        <v>34</v>
      </c>
      <c r="M24" s="7">
        <v>12</v>
      </c>
      <c r="N24" s="7">
        <v>15</v>
      </c>
      <c r="O24" s="232">
        <f>SUM(M24/N24)*100</f>
        <v>80</v>
      </c>
      <c r="P24" s="7" t="s">
        <v>34</v>
      </c>
      <c r="Q24" s="7" t="s">
        <v>34</v>
      </c>
      <c r="R24" s="7" t="s">
        <v>34</v>
      </c>
      <c r="S24" s="7">
        <v>3</v>
      </c>
      <c r="T24" s="7">
        <v>4</v>
      </c>
      <c r="U24" s="232">
        <f>SUM(S24/T24)*100</f>
        <v>75</v>
      </c>
      <c r="V24" s="354"/>
      <c r="W24" s="354"/>
      <c r="X24" s="354"/>
      <c r="Y24" s="354"/>
      <c r="Z24" s="221" t="s">
        <v>34</v>
      </c>
      <c r="AA24" s="7" t="s">
        <v>34</v>
      </c>
      <c r="AB24" s="7" t="s">
        <v>34</v>
      </c>
      <c r="AC24" s="7" t="s">
        <v>34</v>
      </c>
      <c r="AD24" s="7" t="s">
        <v>34</v>
      </c>
      <c r="AE24" s="7" t="s">
        <v>34</v>
      </c>
    </row>
    <row r="25" spans="1:43" ht="15" customHeight="1" thickBot="1" x14ac:dyDescent="0.3">
      <c r="A25" s="375" t="s">
        <v>1100</v>
      </c>
      <c r="B25" s="96">
        <v>1</v>
      </c>
      <c r="C25" s="285">
        <v>0</v>
      </c>
      <c r="D25" s="5">
        <f t="shared" si="0"/>
        <v>1</v>
      </c>
      <c r="E25" s="378" t="s">
        <v>1100</v>
      </c>
      <c r="F25" s="97">
        <v>5</v>
      </c>
      <c r="G25" s="271">
        <v>0</v>
      </c>
      <c r="H25" s="78">
        <f t="shared" si="1"/>
        <v>5</v>
      </c>
      <c r="I25" s="375" t="s">
        <v>945</v>
      </c>
      <c r="J25" s="5" t="s">
        <v>34</v>
      </c>
      <c r="K25" s="5" t="s">
        <v>34</v>
      </c>
      <c r="L25" s="5" t="s">
        <v>34</v>
      </c>
      <c r="M25" s="7">
        <v>3</v>
      </c>
      <c r="N25" s="7">
        <v>4</v>
      </c>
      <c r="O25" s="232">
        <f>SUM(M25/N25)*100</f>
        <v>75</v>
      </c>
      <c r="P25" s="7">
        <v>4</v>
      </c>
      <c r="Q25" s="7">
        <v>5</v>
      </c>
      <c r="R25" s="232">
        <f>SUM(P25/Q25)*100</f>
        <v>80</v>
      </c>
      <c r="S25" s="7" t="s">
        <v>34</v>
      </c>
      <c r="T25" s="7" t="s">
        <v>34</v>
      </c>
      <c r="U25" s="7" t="s">
        <v>34</v>
      </c>
      <c r="V25" s="354"/>
      <c r="W25" s="354"/>
      <c r="X25" s="354"/>
      <c r="Y25" s="354"/>
      <c r="Z25" s="221" t="s">
        <v>34</v>
      </c>
      <c r="AA25" s="7" t="s">
        <v>34</v>
      </c>
      <c r="AB25" s="7" t="s">
        <v>34</v>
      </c>
      <c r="AC25" s="7" t="s">
        <v>34</v>
      </c>
      <c r="AD25" s="7" t="s">
        <v>34</v>
      </c>
      <c r="AE25" s="7" t="s">
        <v>34</v>
      </c>
    </row>
    <row r="26" spans="1:43" ht="15" customHeight="1" thickBot="1" x14ac:dyDescent="0.3">
      <c r="A26" s="375" t="s">
        <v>1033</v>
      </c>
      <c r="B26" s="96">
        <v>1</v>
      </c>
      <c r="C26" s="285">
        <v>0</v>
      </c>
      <c r="D26" s="5">
        <f t="shared" si="0"/>
        <v>1</v>
      </c>
      <c r="E26" s="378" t="s">
        <v>1033</v>
      </c>
      <c r="F26" s="97">
        <v>5</v>
      </c>
      <c r="G26" s="271">
        <v>0</v>
      </c>
      <c r="H26" s="78">
        <f t="shared" si="1"/>
        <v>5</v>
      </c>
      <c r="I26" s="375" t="s">
        <v>923</v>
      </c>
      <c r="J26" s="5" t="s">
        <v>34</v>
      </c>
      <c r="K26" s="5" t="s">
        <v>34</v>
      </c>
      <c r="L26" s="5" t="s">
        <v>34</v>
      </c>
      <c r="M26" s="7">
        <v>3</v>
      </c>
      <c r="N26" s="7">
        <v>3</v>
      </c>
      <c r="O26" s="232">
        <f>SUM(M26/N26)*100</f>
        <v>100</v>
      </c>
      <c r="P26" s="7">
        <v>12</v>
      </c>
      <c r="Q26" s="7">
        <v>17</v>
      </c>
      <c r="R26" s="232">
        <f>SUM(P26/Q26)*100</f>
        <v>70.588235294117652</v>
      </c>
      <c r="S26" s="7" t="s">
        <v>34</v>
      </c>
      <c r="T26" s="7" t="s">
        <v>34</v>
      </c>
      <c r="U26" s="7" t="s">
        <v>34</v>
      </c>
      <c r="V26" s="354"/>
      <c r="W26" s="354"/>
      <c r="X26" s="354"/>
      <c r="Y26" s="354"/>
      <c r="Z26" s="221" t="s">
        <v>34</v>
      </c>
      <c r="AA26" s="7" t="s">
        <v>34</v>
      </c>
      <c r="AB26" s="7" t="s">
        <v>34</v>
      </c>
      <c r="AC26" s="7" t="s">
        <v>34</v>
      </c>
      <c r="AD26" s="7" t="s">
        <v>34</v>
      </c>
      <c r="AE26" s="7" t="s">
        <v>34</v>
      </c>
    </row>
    <row r="27" spans="1:43" ht="15" customHeight="1" thickBot="1" x14ac:dyDescent="0.3">
      <c r="A27" s="375" t="s">
        <v>924</v>
      </c>
      <c r="B27" s="96">
        <v>0</v>
      </c>
      <c r="C27" s="285">
        <v>0</v>
      </c>
      <c r="D27" s="5">
        <f t="shared" si="0"/>
        <v>0</v>
      </c>
      <c r="E27" s="378" t="s">
        <v>924</v>
      </c>
      <c r="F27" s="97">
        <v>0</v>
      </c>
      <c r="G27" s="271">
        <v>0</v>
      </c>
      <c r="H27" s="78">
        <f t="shared" si="1"/>
        <v>0</v>
      </c>
      <c r="I27" s="540" t="s">
        <v>946</v>
      </c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354"/>
      <c r="W27" s="354"/>
      <c r="X27" s="354"/>
      <c r="Y27" s="354"/>
      <c r="Z27" s="354"/>
      <c r="AA27" s="354"/>
      <c r="AB27" s="354"/>
      <c r="AC27" s="354"/>
    </row>
    <row r="28" spans="1:43" ht="15" customHeight="1" thickBot="1" x14ac:dyDescent="0.3">
      <c r="A28" s="375" t="s">
        <v>6</v>
      </c>
      <c r="B28" s="96">
        <v>1</v>
      </c>
      <c r="C28" s="285">
        <v>1</v>
      </c>
      <c r="D28" s="5">
        <f t="shared" si="0"/>
        <v>2</v>
      </c>
      <c r="E28" s="378" t="s">
        <v>6</v>
      </c>
      <c r="F28" s="97">
        <v>7</v>
      </c>
      <c r="G28" s="271">
        <v>7</v>
      </c>
      <c r="H28" s="78">
        <f t="shared" si="1"/>
        <v>14</v>
      </c>
      <c r="I28" s="585" t="s">
        <v>947</v>
      </c>
      <c r="J28" s="554"/>
      <c r="K28" s="554"/>
      <c r="L28" s="554"/>
      <c r="M28" s="554"/>
      <c r="N28" s="554"/>
      <c r="O28" s="554"/>
      <c r="P28" s="554"/>
      <c r="Q28" s="554"/>
      <c r="R28" s="554"/>
      <c r="S28" s="554"/>
      <c r="T28" s="554"/>
      <c r="U28" s="554"/>
      <c r="V28" s="554"/>
      <c r="W28" s="554"/>
      <c r="X28" s="554"/>
      <c r="Y28" s="554"/>
      <c r="Z28" s="554"/>
      <c r="AA28" s="554"/>
      <c r="AB28" s="554"/>
    </row>
    <row r="29" spans="1:43" ht="15" customHeight="1" thickBot="1" x14ac:dyDescent="0.3">
      <c r="A29" s="375" t="s">
        <v>943</v>
      </c>
      <c r="B29" s="96">
        <v>2</v>
      </c>
      <c r="C29" s="285">
        <v>1</v>
      </c>
      <c r="D29" s="5">
        <f t="shared" si="0"/>
        <v>3</v>
      </c>
      <c r="E29" s="378" t="s">
        <v>943</v>
      </c>
      <c r="F29" s="97">
        <v>10</v>
      </c>
      <c r="G29" s="271">
        <v>5</v>
      </c>
      <c r="H29" s="78">
        <f t="shared" si="1"/>
        <v>15</v>
      </c>
    </row>
    <row r="30" spans="1:43" ht="15" customHeight="1" thickBot="1" x14ac:dyDescent="0.3">
      <c r="A30" s="375" t="s">
        <v>915</v>
      </c>
      <c r="B30" s="96">
        <v>0</v>
      </c>
      <c r="C30" s="285">
        <v>0</v>
      </c>
      <c r="D30" s="5">
        <f t="shared" si="0"/>
        <v>0</v>
      </c>
      <c r="E30" s="378" t="s">
        <v>915</v>
      </c>
      <c r="F30" s="97">
        <v>0</v>
      </c>
      <c r="G30" s="271">
        <v>0</v>
      </c>
      <c r="H30" s="78">
        <f t="shared" si="1"/>
        <v>0</v>
      </c>
    </row>
    <row r="31" spans="1:43" ht="15" customHeight="1" thickBot="1" x14ac:dyDescent="0.3">
      <c r="A31" s="375" t="s">
        <v>925</v>
      </c>
      <c r="B31" s="96">
        <v>7</v>
      </c>
      <c r="C31" s="285">
        <v>0</v>
      </c>
      <c r="D31" s="5">
        <f t="shared" si="0"/>
        <v>7</v>
      </c>
      <c r="E31" s="378" t="s">
        <v>925</v>
      </c>
      <c r="F31" s="97">
        <v>35</v>
      </c>
      <c r="G31" s="271">
        <v>0</v>
      </c>
      <c r="H31" s="78">
        <f t="shared" si="1"/>
        <v>35</v>
      </c>
    </row>
    <row r="32" spans="1:43" ht="15" customHeight="1" thickBot="1" x14ac:dyDescent="0.3">
      <c r="A32" s="375" t="s">
        <v>917</v>
      </c>
      <c r="B32" s="96">
        <v>4</v>
      </c>
      <c r="C32" s="285">
        <v>1</v>
      </c>
      <c r="D32" s="5">
        <f t="shared" ref="D32:D43" si="2">SUM(B32:C32)</f>
        <v>5</v>
      </c>
      <c r="E32" s="378" t="s">
        <v>917</v>
      </c>
      <c r="F32" s="97">
        <v>20</v>
      </c>
      <c r="G32" s="271">
        <v>5</v>
      </c>
      <c r="H32" s="78">
        <f t="shared" ref="H32:H43" si="3">SUM(F32:G32)</f>
        <v>25</v>
      </c>
    </row>
    <row r="33" spans="1:8" ht="15" customHeight="1" thickBot="1" x14ac:dyDescent="0.3">
      <c r="A33" s="375" t="s">
        <v>1095</v>
      </c>
      <c r="B33" s="96">
        <v>1</v>
      </c>
      <c r="C33" s="285">
        <v>0</v>
      </c>
      <c r="D33" s="5">
        <f t="shared" si="2"/>
        <v>1</v>
      </c>
      <c r="E33" s="378" t="s">
        <v>1096</v>
      </c>
      <c r="F33" s="97">
        <v>5</v>
      </c>
      <c r="G33" s="271">
        <v>0</v>
      </c>
      <c r="H33" s="78">
        <f t="shared" si="3"/>
        <v>5</v>
      </c>
    </row>
    <row r="34" spans="1:8" ht="15" customHeight="1" thickBot="1" x14ac:dyDescent="0.3">
      <c r="A34" s="375" t="s">
        <v>972</v>
      </c>
      <c r="B34" s="96">
        <v>4</v>
      </c>
      <c r="C34" s="285">
        <v>0</v>
      </c>
      <c r="D34" s="5">
        <f t="shared" si="2"/>
        <v>4</v>
      </c>
      <c r="E34" s="378" t="s">
        <v>972</v>
      </c>
      <c r="F34" s="97">
        <v>20</v>
      </c>
      <c r="G34" s="271">
        <v>0</v>
      </c>
      <c r="H34" s="78">
        <f t="shared" si="3"/>
        <v>20</v>
      </c>
    </row>
    <row r="35" spans="1:8" ht="15" customHeight="1" thickBot="1" x14ac:dyDescent="0.3">
      <c r="A35" s="375" t="s">
        <v>187</v>
      </c>
      <c r="B35" s="96">
        <v>2</v>
      </c>
      <c r="C35" s="285">
        <v>2</v>
      </c>
      <c r="D35" s="5">
        <f t="shared" si="2"/>
        <v>4</v>
      </c>
      <c r="E35" s="378" t="s">
        <v>187</v>
      </c>
      <c r="F35" s="97">
        <v>10</v>
      </c>
      <c r="G35" s="271">
        <v>10</v>
      </c>
      <c r="H35" s="78">
        <f t="shared" si="3"/>
        <v>20</v>
      </c>
    </row>
    <row r="36" spans="1:8" ht="15" customHeight="1" thickBot="1" x14ac:dyDescent="0.3">
      <c r="A36" s="375" t="s">
        <v>927</v>
      </c>
      <c r="B36" s="96">
        <v>0</v>
      </c>
      <c r="C36" s="285">
        <v>0</v>
      </c>
      <c r="D36" s="5">
        <f t="shared" si="2"/>
        <v>0</v>
      </c>
      <c r="E36" s="378" t="s">
        <v>927</v>
      </c>
      <c r="F36" s="97">
        <v>0</v>
      </c>
      <c r="G36" s="271">
        <v>0</v>
      </c>
      <c r="H36" s="78">
        <f t="shared" si="3"/>
        <v>0</v>
      </c>
    </row>
    <row r="37" spans="1:8" ht="15" customHeight="1" thickBot="1" x14ac:dyDescent="0.3">
      <c r="A37" s="375" t="s">
        <v>919</v>
      </c>
      <c r="B37" s="96">
        <v>0</v>
      </c>
      <c r="C37" s="285">
        <v>0</v>
      </c>
      <c r="D37" s="5">
        <f t="shared" si="2"/>
        <v>0</v>
      </c>
      <c r="E37" s="378" t="s">
        <v>919</v>
      </c>
      <c r="F37" s="97">
        <v>0</v>
      </c>
      <c r="G37" s="271">
        <v>0</v>
      </c>
      <c r="H37" s="78">
        <f t="shared" si="3"/>
        <v>0</v>
      </c>
    </row>
    <row r="38" spans="1:8" ht="15" customHeight="1" thickBot="1" x14ac:dyDescent="0.3">
      <c r="A38" s="375" t="s">
        <v>930</v>
      </c>
      <c r="B38" s="96">
        <v>1</v>
      </c>
      <c r="C38" s="285">
        <v>1</v>
      </c>
      <c r="D38" s="5">
        <f t="shared" si="2"/>
        <v>2</v>
      </c>
      <c r="E38" s="378" t="s">
        <v>930</v>
      </c>
      <c r="F38" s="97">
        <v>5</v>
      </c>
      <c r="G38" s="271">
        <v>5</v>
      </c>
      <c r="H38" s="78">
        <f t="shared" si="3"/>
        <v>10</v>
      </c>
    </row>
    <row r="39" spans="1:8" ht="15" customHeight="1" thickBot="1" x14ac:dyDescent="0.3">
      <c r="A39" s="375" t="s">
        <v>932</v>
      </c>
      <c r="B39" s="96">
        <v>0</v>
      </c>
      <c r="C39" s="285">
        <v>0</v>
      </c>
      <c r="D39" s="5">
        <f t="shared" si="2"/>
        <v>0</v>
      </c>
      <c r="E39" s="378" t="s">
        <v>932</v>
      </c>
      <c r="F39" s="97">
        <v>0</v>
      </c>
      <c r="G39" s="271">
        <v>0</v>
      </c>
      <c r="H39" s="78">
        <f t="shared" si="3"/>
        <v>0</v>
      </c>
    </row>
    <row r="40" spans="1:8" ht="15" customHeight="1" thickBot="1" x14ac:dyDescent="0.3">
      <c r="A40" s="375" t="s">
        <v>997</v>
      </c>
      <c r="B40" s="96">
        <v>2</v>
      </c>
      <c r="C40" s="285">
        <v>2</v>
      </c>
      <c r="D40" s="5">
        <f t="shared" si="2"/>
        <v>4</v>
      </c>
      <c r="E40" s="378" t="s">
        <v>997</v>
      </c>
      <c r="F40" s="97">
        <v>10</v>
      </c>
      <c r="G40" s="271">
        <v>10</v>
      </c>
      <c r="H40" s="78">
        <f t="shared" si="3"/>
        <v>20</v>
      </c>
    </row>
    <row r="41" spans="1:8" ht="15" customHeight="1" thickBot="1" x14ac:dyDescent="0.3">
      <c r="A41" s="375" t="s">
        <v>933</v>
      </c>
      <c r="B41" s="96">
        <v>1</v>
      </c>
      <c r="C41" s="285">
        <v>0</v>
      </c>
      <c r="D41" s="5">
        <f t="shared" si="2"/>
        <v>1</v>
      </c>
      <c r="E41" s="378" t="s">
        <v>933</v>
      </c>
      <c r="F41" s="97">
        <v>5</v>
      </c>
      <c r="G41" s="271">
        <v>0</v>
      </c>
      <c r="H41" s="78">
        <f t="shared" si="3"/>
        <v>5</v>
      </c>
    </row>
    <row r="42" spans="1:8" ht="15" customHeight="1" thickBot="1" x14ac:dyDescent="0.3">
      <c r="A42" s="375" t="s">
        <v>1030</v>
      </c>
      <c r="B42" s="96">
        <v>1</v>
      </c>
      <c r="C42" s="285">
        <v>0</v>
      </c>
      <c r="D42" s="5">
        <f t="shared" si="2"/>
        <v>1</v>
      </c>
      <c r="E42" s="378" t="s">
        <v>1030</v>
      </c>
      <c r="F42" s="97">
        <v>5</v>
      </c>
      <c r="G42" s="271">
        <v>0</v>
      </c>
      <c r="H42" s="78">
        <f t="shared" si="3"/>
        <v>5</v>
      </c>
    </row>
    <row r="43" spans="1:8" ht="15" customHeight="1" thickBot="1" x14ac:dyDescent="0.3">
      <c r="A43" s="375" t="s">
        <v>60</v>
      </c>
      <c r="B43" s="96">
        <v>1</v>
      </c>
      <c r="C43" s="285">
        <v>0</v>
      </c>
      <c r="D43" s="5">
        <f t="shared" si="2"/>
        <v>1</v>
      </c>
      <c r="E43" s="378" t="s">
        <v>60</v>
      </c>
      <c r="F43" s="97">
        <v>5</v>
      </c>
      <c r="G43" s="271">
        <v>0</v>
      </c>
      <c r="H43" s="78">
        <f t="shared" si="3"/>
        <v>5</v>
      </c>
    </row>
    <row r="44" spans="1:8" ht="15" customHeight="1" thickBot="1" x14ac:dyDescent="0.3">
      <c r="A44" s="375" t="s">
        <v>3</v>
      </c>
      <c r="B44" s="96">
        <f>SUM(B3:B43)</f>
        <v>50</v>
      </c>
      <c r="C44" s="285">
        <f>SUM(C3:C43)</f>
        <v>11</v>
      </c>
      <c r="D44" s="5">
        <f>SUM(D3:D43)</f>
        <v>61</v>
      </c>
      <c r="E44" s="377" t="s">
        <v>3</v>
      </c>
      <c r="F44" s="97">
        <f>SUM(F3:F43)</f>
        <v>385</v>
      </c>
      <c r="G44" s="271">
        <f>SUM(G3:G43)</f>
        <v>89</v>
      </c>
      <c r="H44" s="78">
        <f>SUM(H3:H43)</f>
        <v>474</v>
      </c>
    </row>
    <row r="45" spans="1:8" ht="15" customHeight="1" x14ac:dyDescent="0.25">
      <c r="A45" s="87" t="s">
        <v>51</v>
      </c>
      <c r="B45" s="184"/>
      <c r="C45" s="89"/>
      <c r="D45" s="77"/>
      <c r="E45" s="37"/>
      <c r="F45" s="187"/>
      <c r="G45" s="39"/>
      <c r="H45" s="37"/>
    </row>
    <row r="46" spans="1:8" ht="15.75" thickBot="1" x14ac:dyDescent="0.3">
      <c r="A46" s="88" t="s">
        <v>30</v>
      </c>
      <c r="B46" s="184"/>
      <c r="C46" s="89"/>
      <c r="D46" s="77"/>
      <c r="E46" s="39"/>
      <c r="F46" s="184"/>
      <c r="G46" s="39"/>
      <c r="H46" s="39"/>
    </row>
    <row r="47" spans="1:8" ht="15.75" thickBot="1" x14ac:dyDescent="0.3">
      <c r="A47" s="374" t="s">
        <v>0</v>
      </c>
      <c r="B47" s="154" t="s">
        <v>815</v>
      </c>
      <c r="C47" s="284" t="s">
        <v>73</v>
      </c>
      <c r="D47" s="141" t="s">
        <v>1</v>
      </c>
      <c r="E47" s="376" t="s">
        <v>2</v>
      </c>
      <c r="F47" s="147" t="s">
        <v>815</v>
      </c>
      <c r="G47" s="270" t="s">
        <v>73</v>
      </c>
      <c r="H47" s="148" t="s">
        <v>1</v>
      </c>
    </row>
    <row r="48" spans="1:8" ht="15" customHeight="1" thickBot="1" x14ac:dyDescent="0.3">
      <c r="A48" s="375" t="s">
        <v>67</v>
      </c>
      <c r="B48" s="96">
        <v>7</v>
      </c>
      <c r="C48" s="285">
        <v>0</v>
      </c>
      <c r="D48" s="5">
        <f t="shared" ref="D48:D88" si="4">SUM(B48:C48)</f>
        <v>7</v>
      </c>
      <c r="E48" s="377" t="s">
        <v>921</v>
      </c>
      <c r="F48" s="97">
        <v>81</v>
      </c>
      <c r="G48" s="271">
        <v>22</v>
      </c>
      <c r="H48" s="78">
        <f t="shared" ref="H48:H88" si="5">SUM(F48:G48)</f>
        <v>103</v>
      </c>
    </row>
    <row r="49" spans="1:8" ht="15" customHeight="1" thickBot="1" x14ac:dyDescent="0.3">
      <c r="A49" s="375" t="s">
        <v>925</v>
      </c>
      <c r="B49" s="96">
        <v>7</v>
      </c>
      <c r="C49" s="285">
        <v>0</v>
      </c>
      <c r="D49" s="5">
        <f t="shared" si="4"/>
        <v>7</v>
      </c>
      <c r="E49" s="377" t="s">
        <v>923</v>
      </c>
      <c r="F49" s="97">
        <v>26</v>
      </c>
      <c r="G49" s="271">
        <v>10</v>
      </c>
      <c r="H49" s="78">
        <f t="shared" si="5"/>
        <v>36</v>
      </c>
    </row>
    <row r="50" spans="1:8" ht="15.75" thickBot="1" x14ac:dyDescent="0.3">
      <c r="A50" s="375" t="s">
        <v>917</v>
      </c>
      <c r="B50" s="96">
        <v>4</v>
      </c>
      <c r="C50" s="285">
        <v>1</v>
      </c>
      <c r="D50" s="5">
        <f t="shared" si="4"/>
        <v>5</v>
      </c>
      <c r="E50" s="378" t="s">
        <v>67</v>
      </c>
      <c r="F50" s="97">
        <v>35</v>
      </c>
      <c r="G50" s="271">
        <v>0</v>
      </c>
      <c r="H50" s="78">
        <f t="shared" si="5"/>
        <v>35</v>
      </c>
    </row>
    <row r="51" spans="1:8" ht="15.75" thickBot="1" x14ac:dyDescent="0.3">
      <c r="A51" s="375" t="s">
        <v>972</v>
      </c>
      <c r="B51" s="96">
        <v>4</v>
      </c>
      <c r="C51" s="285">
        <v>0</v>
      </c>
      <c r="D51" s="5">
        <f t="shared" si="4"/>
        <v>4</v>
      </c>
      <c r="E51" s="378" t="s">
        <v>925</v>
      </c>
      <c r="F51" s="97">
        <v>35</v>
      </c>
      <c r="G51" s="271">
        <v>0</v>
      </c>
      <c r="H51" s="78">
        <f t="shared" si="5"/>
        <v>35</v>
      </c>
    </row>
    <row r="52" spans="1:8" ht="15.75" thickBot="1" x14ac:dyDescent="0.3">
      <c r="A52" s="375" t="s">
        <v>187</v>
      </c>
      <c r="B52" s="96">
        <v>2</v>
      </c>
      <c r="C52" s="285">
        <v>2</v>
      </c>
      <c r="D52" s="5">
        <f t="shared" si="4"/>
        <v>4</v>
      </c>
      <c r="E52" s="378" t="s">
        <v>922</v>
      </c>
      <c r="F52" s="97">
        <v>31</v>
      </c>
      <c r="G52" s="271">
        <v>0</v>
      </c>
      <c r="H52" s="78">
        <f t="shared" si="5"/>
        <v>31</v>
      </c>
    </row>
    <row r="53" spans="1:8" ht="15.75" thickBot="1" x14ac:dyDescent="0.3">
      <c r="A53" s="375" t="s">
        <v>997</v>
      </c>
      <c r="B53" s="96">
        <v>2</v>
      </c>
      <c r="C53" s="285">
        <v>2</v>
      </c>
      <c r="D53" s="5">
        <f t="shared" si="4"/>
        <v>4</v>
      </c>
      <c r="E53" s="378" t="s">
        <v>917</v>
      </c>
      <c r="F53" s="97">
        <v>20</v>
      </c>
      <c r="G53" s="271">
        <v>5</v>
      </c>
      <c r="H53" s="78">
        <f t="shared" si="5"/>
        <v>25</v>
      </c>
    </row>
    <row r="54" spans="1:8" ht="15.75" thickBot="1" x14ac:dyDescent="0.3">
      <c r="A54" s="375" t="s">
        <v>897</v>
      </c>
      <c r="B54" s="96">
        <v>3</v>
      </c>
      <c r="C54" s="285">
        <v>0</v>
      </c>
      <c r="D54" s="5">
        <f t="shared" si="4"/>
        <v>3</v>
      </c>
      <c r="E54" s="378" t="s">
        <v>972</v>
      </c>
      <c r="F54" s="97">
        <v>20</v>
      </c>
      <c r="G54" s="271">
        <v>0</v>
      </c>
      <c r="H54" s="78">
        <f t="shared" si="5"/>
        <v>20</v>
      </c>
    </row>
    <row r="55" spans="1:8" ht="15.75" thickBot="1" x14ac:dyDescent="0.3">
      <c r="A55" s="375" t="s">
        <v>981</v>
      </c>
      <c r="B55" s="96">
        <v>3</v>
      </c>
      <c r="C55" s="285">
        <v>0</v>
      </c>
      <c r="D55" s="5">
        <f t="shared" si="4"/>
        <v>3</v>
      </c>
      <c r="E55" s="378" t="s">
        <v>187</v>
      </c>
      <c r="F55" s="97">
        <v>10</v>
      </c>
      <c r="G55" s="271">
        <v>10</v>
      </c>
      <c r="H55" s="78">
        <f t="shared" si="5"/>
        <v>20</v>
      </c>
    </row>
    <row r="56" spans="1:8" ht="15.75" thickBot="1" x14ac:dyDescent="0.3">
      <c r="A56" s="375" t="s">
        <v>943</v>
      </c>
      <c r="B56" s="96">
        <v>2</v>
      </c>
      <c r="C56" s="285">
        <v>1</v>
      </c>
      <c r="D56" s="5">
        <f t="shared" si="4"/>
        <v>3</v>
      </c>
      <c r="E56" s="378" t="s">
        <v>997</v>
      </c>
      <c r="F56" s="97">
        <v>10</v>
      </c>
      <c r="G56" s="271">
        <v>10</v>
      </c>
      <c r="H56" s="78">
        <f t="shared" si="5"/>
        <v>20</v>
      </c>
    </row>
    <row r="57" spans="1:8" ht="15.75" thickBot="1" x14ac:dyDescent="0.3">
      <c r="A57" s="375" t="s">
        <v>1069</v>
      </c>
      <c r="B57" s="96">
        <v>1</v>
      </c>
      <c r="C57" s="285">
        <v>1</v>
      </c>
      <c r="D57" s="5">
        <f t="shared" si="4"/>
        <v>2</v>
      </c>
      <c r="E57" s="378" t="s">
        <v>897</v>
      </c>
      <c r="F57" s="97">
        <v>15</v>
      </c>
      <c r="G57" s="271">
        <v>0</v>
      </c>
      <c r="H57" s="78">
        <f t="shared" si="5"/>
        <v>15</v>
      </c>
    </row>
    <row r="58" spans="1:8" ht="15.75" thickBot="1" x14ac:dyDescent="0.3">
      <c r="A58" s="375" t="s">
        <v>993</v>
      </c>
      <c r="B58" s="96">
        <v>2</v>
      </c>
      <c r="C58" s="285">
        <v>0</v>
      </c>
      <c r="D58" s="5">
        <f t="shared" si="4"/>
        <v>2</v>
      </c>
      <c r="E58" s="378" t="s">
        <v>981</v>
      </c>
      <c r="F58" s="97">
        <v>15</v>
      </c>
      <c r="G58" s="271">
        <v>0</v>
      </c>
      <c r="H58" s="78">
        <f t="shared" si="5"/>
        <v>15</v>
      </c>
    </row>
    <row r="59" spans="1:8" ht="15.75" thickBot="1" x14ac:dyDescent="0.3">
      <c r="A59" s="375" t="s">
        <v>6</v>
      </c>
      <c r="B59" s="96">
        <v>1</v>
      </c>
      <c r="C59" s="285">
        <v>1</v>
      </c>
      <c r="D59" s="5">
        <f t="shared" si="4"/>
        <v>2</v>
      </c>
      <c r="E59" s="378" t="s">
        <v>943</v>
      </c>
      <c r="F59" s="97">
        <v>10</v>
      </c>
      <c r="G59" s="271">
        <v>5</v>
      </c>
      <c r="H59" s="78">
        <f t="shared" si="5"/>
        <v>15</v>
      </c>
    </row>
    <row r="60" spans="1:8" ht="15.75" thickBot="1" x14ac:dyDescent="0.3">
      <c r="A60" s="375" t="s">
        <v>930</v>
      </c>
      <c r="B60" s="96">
        <v>1</v>
      </c>
      <c r="C60" s="285">
        <v>1</v>
      </c>
      <c r="D60" s="5">
        <f t="shared" si="4"/>
        <v>2</v>
      </c>
      <c r="E60" s="378" t="s">
        <v>6</v>
      </c>
      <c r="F60" s="97">
        <v>7</v>
      </c>
      <c r="G60" s="271">
        <v>7</v>
      </c>
      <c r="H60" s="78">
        <f t="shared" si="5"/>
        <v>14</v>
      </c>
    </row>
    <row r="61" spans="1:8" ht="15.75" thickBot="1" x14ac:dyDescent="0.3">
      <c r="A61" s="375" t="s">
        <v>920</v>
      </c>
      <c r="B61" s="96">
        <v>0</v>
      </c>
      <c r="C61" s="285">
        <v>1</v>
      </c>
      <c r="D61" s="5">
        <f t="shared" si="4"/>
        <v>1</v>
      </c>
      <c r="E61" s="378" t="s">
        <v>1069</v>
      </c>
      <c r="F61" s="97">
        <v>5</v>
      </c>
      <c r="G61" s="271">
        <v>5</v>
      </c>
      <c r="H61" s="78">
        <f t="shared" si="5"/>
        <v>10</v>
      </c>
    </row>
    <row r="62" spans="1:8" ht="15.75" thickBot="1" x14ac:dyDescent="0.3">
      <c r="A62" s="375" t="s">
        <v>1005</v>
      </c>
      <c r="B62" s="96">
        <v>0</v>
      </c>
      <c r="C62" s="285">
        <v>1</v>
      </c>
      <c r="D62" s="5">
        <f t="shared" si="4"/>
        <v>1</v>
      </c>
      <c r="E62" s="378" t="s">
        <v>993</v>
      </c>
      <c r="F62" s="97">
        <v>10</v>
      </c>
      <c r="G62" s="271">
        <v>0</v>
      </c>
      <c r="H62" s="78">
        <f t="shared" si="5"/>
        <v>10</v>
      </c>
    </row>
    <row r="63" spans="1:8" ht="15.75" thickBot="1" x14ac:dyDescent="0.3">
      <c r="A63" s="375" t="s">
        <v>893</v>
      </c>
      <c r="B63" s="96">
        <v>1</v>
      </c>
      <c r="C63" s="285">
        <v>0</v>
      </c>
      <c r="D63" s="5">
        <f t="shared" si="4"/>
        <v>1</v>
      </c>
      <c r="E63" s="378" t="s">
        <v>930</v>
      </c>
      <c r="F63" s="97">
        <v>5</v>
      </c>
      <c r="G63" s="271">
        <v>5</v>
      </c>
      <c r="H63" s="78">
        <f t="shared" si="5"/>
        <v>10</v>
      </c>
    </row>
    <row r="64" spans="1:8" ht="15.75" thickBot="1" x14ac:dyDescent="0.3">
      <c r="A64" s="375" t="s">
        <v>901</v>
      </c>
      <c r="B64" s="96">
        <v>1</v>
      </c>
      <c r="C64" s="285">
        <v>0</v>
      </c>
      <c r="D64" s="5">
        <f t="shared" si="4"/>
        <v>1</v>
      </c>
      <c r="E64" s="378" t="s">
        <v>920</v>
      </c>
      <c r="F64" s="97">
        <v>0</v>
      </c>
      <c r="G64" s="271">
        <v>5</v>
      </c>
      <c r="H64" s="78">
        <f t="shared" si="5"/>
        <v>5</v>
      </c>
    </row>
    <row r="65" spans="1:8" ht="15.75" thickBot="1" x14ac:dyDescent="0.3">
      <c r="A65" s="375" t="s">
        <v>922</v>
      </c>
      <c r="B65" s="96">
        <v>1</v>
      </c>
      <c r="C65" s="285">
        <v>0</v>
      </c>
      <c r="D65" s="5">
        <f t="shared" si="4"/>
        <v>1</v>
      </c>
      <c r="E65" s="378" t="s">
        <v>1005</v>
      </c>
      <c r="F65" s="97">
        <v>0</v>
      </c>
      <c r="G65" s="271">
        <v>5</v>
      </c>
      <c r="H65" s="78">
        <f t="shared" si="5"/>
        <v>5</v>
      </c>
    </row>
    <row r="66" spans="1:8" ht="15.75" thickBot="1" x14ac:dyDescent="0.3">
      <c r="A66" s="375" t="s">
        <v>752</v>
      </c>
      <c r="B66" s="96">
        <v>1</v>
      </c>
      <c r="C66" s="285">
        <v>0</v>
      </c>
      <c r="D66" s="5">
        <f t="shared" si="4"/>
        <v>1</v>
      </c>
      <c r="E66" s="378" t="s">
        <v>893</v>
      </c>
      <c r="F66" s="97">
        <v>5</v>
      </c>
      <c r="G66" s="271">
        <v>0</v>
      </c>
      <c r="H66" s="78">
        <f t="shared" si="5"/>
        <v>5</v>
      </c>
    </row>
    <row r="67" spans="1:8" ht="15.75" thickBot="1" x14ac:dyDescent="0.3">
      <c r="A67" s="375" t="s">
        <v>913</v>
      </c>
      <c r="B67" s="96">
        <v>1</v>
      </c>
      <c r="C67" s="285">
        <v>0</v>
      </c>
      <c r="D67" s="5">
        <f t="shared" si="4"/>
        <v>1</v>
      </c>
      <c r="E67" s="378" t="s">
        <v>901</v>
      </c>
      <c r="F67" s="97">
        <v>5</v>
      </c>
      <c r="G67" s="271">
        <v>0</v>
      </c>
      <c r="H67" s="78">
        <f t="shared" si="5"/>
        <v>5</v>
      </c>
    </row>
    <row r="68" spans="1:8" ht="15.75" thickBot="1" x14ac:dyDescent="0.3">
      <c r="A68" s="375" t="s">
        <v>1100</v>
      </c>
      <c r="B68" s="96">
        <v>1</v>
      </c>
      <c r="C68" s="285">
        <v>0</v>
      </c>
      <c r="D68" s="5">
        <f t="shared" si="4"/>
        <v>1</v>
      </c>
      <c r="E68" s="378" t="s">
        <v>752</v>
      </c>
      <c r="F68" s="97">
        <v>5</v>
      </c>
      <c r="G68" s="271">
        <v>0</v>
      </c>
      <c r="H68" s="78">
        <f t="shared" si="5"/>
        <v>5</v>
      </c>
    </row>
    <row r="69" spans="1:8" ht="15.75" thickBot="1" x14ac:dyDescent="0.3">
      <c r="A69" s="375" t="s">
        <v>1033</v>
      </c>
      <c r="B69" s="96">
        <v>1</v>
      </c>
      <c r="C69" s="285">
        <v>0</v>
      </c>
      <c r="D69" s="5">
        <f t="shared" si="4"/>
        <v>1</v>
      </c>
      <c r="E69" s="378" t="s">
        <v>913</v>
      </c>
      <c r="F69" s="97">
        <v>5</v>
      </c>
      <c r="G69" s="271">
        <v>0</v>
      </c>
      <c r="H69" s="78">
        <f t="shared" si="5"/>
        <v>5</v>
      </c>
    </row>
    <row r="70" spans="1:8" ht="15.75" thickBot="1" x14ac:dyDescent="0.3">
      <c r="A70" s="375" t="s">
        <v>1095</v>
      </c>
      <c r="B70" s="96">
        <v>1</v>
      </c>
      <c r="C70" s="285">
        <v>0</v>
      </c>
      <c r="D70" s="5">
        <f t="shared" si="4"/>
        <v>1</v>
      </c>
      <c r="E70" s="378" t="s">
        <v>1100</v>
      </c>
      <c r="F70" s="97">
        <v>5</v>
      </c>
      <c r="G70" s="271">
        <v>0</v>
      </c>
      <c r="H70" s="78">
        <f t="shared" si="5"/>
        <v>5</v>
      </c>
    </row>
    <row r="71" spans="1:8" ht="15.75" thickBot="1" x14ac:dyDescent="0.3">
      <c r="A71" s="375" t="s">
        <v>933</v>
      </c>
      <c r="B71" s="96">
        <v>1</v>
      </c>
      <c r="C71" s="285">
        <v>0</v>
      </c>
      <c r="D71" s="5">
        <f t="shared" si="4"/>
        <v>1</v>
      </c>
      <c r="E71" s="378" t="s">
        <v>1033</v>
      </c>
      <c r="F71" s="97">
        <v>5</v>
      </c>
      <c r="G71" s="271">
        <v>0</v>
      </c>
      <c r="H71" s="78">
        <f t="shared" si="5"/>
        <v>5</v>
      </c>
    </row>
    <row r="72" spans="1:8" ht="15.75" thickBot="1" x14ac:dyDescent="0.3">
      <c r="A72" s="375" t="s">
        <v>1030</v>
      </c>
      <c r="B72" s="96">
        <v>1</v>
      </c>
      <c r="C72" s="285">
        <v>0</v>
      </c>
      <c r="D72" s="5">
        <f t="shared" si="4"/>
        <v>1</v>
      </c>
      <c r="E72" s="378" t="s">
        <v>1096</v>
      </c>
      <c r="F72" s="97">
        <v>5</v>
      </c>
      <c r="G72" s="271">
        <v>0</v>
      </c>
      <c r="H72" s="78">
        <f t="shared" si="5"/>
        <v>5</v>
      </c>
    </row>
    <row r="73" spans="1:8" ht="15.75" thickBot="1" x14ac:dyDescent="0.3">
      <c r="A73" s="375" t="s">
        <v>60</v>
      </c>
      <c r="B73" s="96">
        <v>1</v>
      </c>
      <c r="C73" s="285">
        <v>0</v>
      </c>
      <c r="D73" s="5">
        <f t="shared" si="4"/>
        <v>1</v>
      </c>
      <c r="E73" s="378" t="s">
        <v>933</v>
      </c>
      <c r="F73" s="97">
        <v>5</v>
      </c>
      <c r="G73" s="271">
        <v>0</v>
      </c>
      <c r="H73" s="78">
        <f t="shared" si="5"/>
        <v>5</v>
      </c>
    </row>
    <row r="74" spans="1:8" ht="15.75" thickBot="1" x14ac:dyDescent="0.3">
      <c r="A74" s="375" t="s">
        <v>890</v>
      </c>
      <c r="B74" s="96">
        <v>0</v>
      </c>
      <c r="C74" s="285">
        <v>0</v>
      </c>
      <c r="D74" s="5">
        <f t="shared" si="4"/>
        <v>0</v>
      </c>
      <c r="E74" s="378" t="s">
        <v>1030</v>
      </c>
      <c r="F74" s="97">
        <v>5</v>
      </c>
      <c r="G74" s="271">
        <v>0</v>
      </c>
      <c r="H74" s="78">
        <f t="shared" si="5"/>
        <v>5</v>
      </c>
    </row>
    <row r="75" spans="1:8" ht="15.75" thickBot="1" x14ac:dyDescent="0.3">
      <c r="A75" s="375" t="s">
        <v>895</v>
      </c>
      <c r="B75" s="96">
        <v>0</v>
      </c>
      <c r="C75" s="285">
        <v>0</v>
      </c>
      <c r="D75" s="5">
        <f t="shared" si="4"/>
        <v>0</v>
      </c>
      <c r="E75" s="378" t="s">
        <v>60</v>
      </c>
      <c r="F75" s="97">
        <v>5</v>
      </c>
      <c r="G75" s="271">
        <v>0</v>
      </c>
      <c r="H75" s="78">
        <f t="shared" si="5"/>
        <v>5</v>
      </c>
    </row>
    <row r="76" spans="1:8" ht="15.75" thickBot="1" x14ac:dyDescent="0.3">
      <c r="A76" s="375" t="s">
        <v>900</v>
      </c>
      <c r="B76" s="96">
        <v>0</v>
      </c>
      <c r="C76" s="285">
        <v>0</v>
      </c>
      <c r="D76" s="5">
        <f t="shared" si="4"/>
        <v>0</v>
      </c>
      <c r="E76" s="378" t="s">
        <v>890</v>
      </c>
      <c r="F76" s="97">
        <v>0</v>
      </c>
      <c r="G76" s="271">
        <v>0</v>
      </c>
      <c r="H76" s="78">
        <f t="shared" si="5"/>
        <v>0</v>
      </c>
    </row>
    <row r="77" spans="1:8" ht="15.75" thickBot="1" x14ac:dyDescent="0.3">
      <c r="A77" s="375" t="s">
        <v>921</v>
      </c>
      <c r="B77" s="96">
        <v>0</v>
      </c>
      <c r="C77" s="285">
        <v>0</v>
      </c>
      <c r="D77" s="5">
        <f t="shared" si="4"/>
        <v>0</v>
      </c>
      <c r="E77" s="378" t="s">
        <v>895</v>
      </c>
      <c r="F77" s="97">
        <v>0</v>
      </c>
      <c r="G77" s="271">
        <v>0</v>
      </c>
      <c r="H77" s="78">
        <f t="shared" si="5"/>
        <v>0</v>
      </c>
    </row>
    <row r="78" spans="1:8" ht="15.75" thickBot="1" x14ac:dyDescent="0.3">
      <c r="A78" s="375" t="s">
        <v>903</v>
      </c>
      <c r="B78" s="96">
        <v>0</v>
      </c>
      <c r="C78" s="285">
        <v>0</v>
      </c>
      <c r="D78" s="5">
        <f t="shared" si="4"/>
        <v>0</v>
      </c>
      <c r="E78" s="378" t="s">
        <v>900</v>
      </c>
      <c r="F78" s="97">
        <v>0</v>
      </c>
      <c r="G78" s="271">
        <v>0</v>
      </c>
      <c r="H78" s="78">
        <f t="shared" si="5"/>
        <v>0</v>
      </c>
    </row>
    <row r="79" spans="1:8" ht="15.75" thickBot="1" x14ac:dyDescent="0.3">
      <c r="A79" s="375" t="s">
        <v>905</v>
      </c>
      <c r="B79" s="96">
        <v>0</v>
      </c>
      <c r="C79" s="285">
        <v>0</v>
      </c>
      <c r="D79" s="5">
        <f t="shared" si="4"/>
        <v>0</v>
      </c>
      <c r="E79" s="378" t="s">
        <v>903</v>
      </c>
      <c r="F79" s="97">
        <v>0</v>
      </c>
      <c r="G79" s="271">
        <v>0</v>
      </c>
      <c r="H79" s="78">
        <f t="shared" si="5"/>
        <v>0</v>
      </c>
    </row>
    <row r="80" spans="1:8" ht="15.75" thickBot="1" x14ac:dyDescent="0.3">
      <c r="A80" s="375" t="s">
        <v>907</v>
      </c>
      <c r="B80" s="96">
        <v>0</v>
      </c>
      <c r="C80" s="285">
        <v>0</v>
      </c>
      <c r="D80" s="5">
        <f t="shared" si="4"/>
        <v>0</v>
      </c>
      <c r="E80" s="378" t="s">
        <v>905</v>
      </c>
      <c r="F80" s="97">
        <v>0</v>
      </c>
      <c r="G80" s="271">
        <v>0</v>
      </c>
      <c r="H80" s="78">
        <f t="shared" si="5"/>
        <v>0</v>
      </c>
    </row>
    <row r="81" spans="1:8" ht="15.75" thickBot="1" x14ac:dyDescent="0.3">
      <c r="A81" s="375" t="s">
        <v>923</v>
      </c>
      <c r="B81" s="96">
        <v>0</v>
      </c>
      <c r="C81" s="285">
        <v>0</v>
      </c>
      <c r="D81" s="5">
        <f t="shared" si="4"/>
        <v>0</v>
      </c>
      <c r="E81" s="378" t="s">
        <v>907</v>
      </c>
      <c r="F81" s="97">
        <v>0</v>
      </c>
      <c r="G81" s="271">
        <v>0</v>
      </c>
      <c r="H81" s="78">
        <f t="shared" si="5"/>
        <v>0</v>
      </c>
    </row>
    <row r="82" spans="1:8" ht="15.75" thickBot="1" x14ac:dyDescent="0.3">
      <c r="A82" s="375" t="s">
        <v>909</v>
      </c>
      <c r="B82" s="96">
        <v>0</v>
      </c>
      <c r="C82" s="285">
        <v>0</v>
      </c>
      <c r="D82" s="5">
        <f t="shared" si="4"/>
        <v>0</v>
      </c>
      <c r="E82" s="378" t="s">
        <v>909</v>
      </c>
      <c r="F82" s="97">
        <v>0</v>
      </c>
      <c r="G82" s="271">
        <v>0</v>
      </c>
      <c r="H82" s="78">
        <f t="shared" si="5"/>
        <v>0</v>
      </c>
    </row>
    <row r="83" spans="1:8" ht="15" customHeight="1" thickBot="1" x14ac:dyDescent="0.3">
      <c r="A83" s="375" t="s">
        <v>589</v>
      </c>
      <c r="B83" s="96">
        <v>0</v>
      </c>
      <c r="C83" s="285">
        <v>0</v>
      </c>
      <c r="D83" s="5">
        <f t="shared" si="4"/>
        <v>0</v>
      </c>
      <c r="E83" s="378" t="s">
        <v>589</v>
      </c>
      <c r="F83" s="97">
        <v>0</v>
      </c>
      <c r="G83" s="271">
        <v>0</v>
      </c>
      <c r="H83" s="78">
        <f t="shared" si="5"/>
        <v>0</v>
      </c>
    </row>
    <row r="84" spans="1:8" ht="15.75" thickBot="1" x14ac:dyDescent="0.3">
      <c r="A84" s="375" t="s">
        <v>924</v>
      </c>
      <c r="B84" s="96">
        <v>0</v>
      </c>
      <c r="C84" s="285">
        <v>0</v>
      </c>
      <c r="D84" s="5">
        <f t="shared" si="4"/>
        <v>0</v>
      </c>
      <c r="E84" s="378" t="s">
        <v>924</v>
      </c>
      <c r="F84" s="97">
        <v>0</v>
      </c>
      <c r="G84" s="271">
        <v>0</v>
      </c>
      <c r="H84" s="78">
        <f t="shared" si="5"/>
        <v>0</v>
      </c>
    </row>
    <row r="85" spans="1:8" ht="15" customHeight="1" thickBot="1" x14ac:dyDescent="0.3">
      <c r="A85" s="375" t="s">
        <v>915</v>
      </c>
      <c r="B85" s="96">
        <v>0</v>
      </c>
      <c r="C85" s="285">
        <v>0</v>
      </c>
      <c r="D85" s="5">
        <f t="shared" si="4"/>
        <v>0</v>
      </c>
      <c r="E85" s="378" t="s">
        <v>915</v>
      </c>
      <c r="F85" s="97">
        <v>0</v>
      </c>
      <c r="G85" s="271">
        <v>0</v>
      </c>
      <c r="H85" s="78">
        <f t="shared" si="5"/>
        <v>0</v>
      </c>
    </row>
    <row r="86" spans="1:8" ht="15.75" thickBot="1" x14ac:dyDescent="0.3">
      <c r="A86" s="375" t="s">
        <v>927</v>
      </c>
      <c r="B86" s="96">
        <v>0</v>
      </c>
      <c r="C86" s="285">
        <v>0</v>
      </c>
      <c r="D86" s="5">
        <f t="shared" si="4"/>
        <v>0</v>
      </c>
      <c r="E86" s="378" t="s">
        <v>927</v>
      </c>
      <c r="F86" s="97">
        <v>0</v>
      </c>
      <c r="G86" s="271">
        <v>0</v>
      </c>
      <c r="H86" s="78">
        <f t="shared" si="5"/>
        <v>0</v>
      </c>
    </row>
    <row r="87" spans="1:8" ht="15" customHeight="1" thickBot="1" x14ac:dyDescent="0.3">
      <c r="A87" s="375" t="s">
        <v>919</v>
      </c>
      <c r="B87" s="96">
        <v>0</v>
      </c>
      <c r="C87" s="285">
        <v>0</v>
      </c>
      <c r="D87" s="5">
        <f t="shared" si="4"/>
        <v>0</v>
      </c>
      <c r="E87" s="378" t="s">
        <v>919</v>
      </c>
      <c r="F87" s="97">
        <v>0</v>
      </c>
      <c r="G87" s="271">
        <v>0</v>
      </c>
      <c r="H87" s="78">
        <f t="shared" si="5"/>
        <v>0</v>
      </c>
    </row>
    <row r="88" spans="1:8" ht="15.75" thickBot="1" x14ac:dyDescent="0.3">
      <c r="A88" s="375" t="s">
        <v>932</v>
      </c>
      <c r="B88" s="96">
        <v>0</v>
      </c>
      <c r="C88" s="285">
        <v>0</v>
      </c>
      <c r="D88" s="5">
        <f t="shared" si="4"/>
        <v>0</v>
      </c>
      <c r="E88" s="378" t="s">
        <v>932</v>
      </c>
      <c r="F88" s="97">
        <v>0</v>
      </c>
      <c r="G88" s="271">
        <v>0</v>
      </c>
      <c r="H88" s="78">
        <f t="shared" si="5"/>
        <v>0</v>
      </c>
    </row>
    <row r="89" spans="1:8" ht="15" customHeight="1" thickBot="1" x14ac:dyDescent="0.3">
      <c r="A89" s="375" t="s">
        <v>3</v>
      </c>
      <c r="B89" s="96">
        <f>SUM(B48:B88)</f>
        <v>50</v>
      </c>
      <c r="C89" s="285">
        <f>SUM(C48:C88)</f>
        <v>11</v>
      </c>
      <c r="D89" s="5">
        <f>SUM(D48:D88)</f>
        <v>61</v>
      </c>
      <c r="E89" s="377" t="s">
        <v>3</v>
      </c>
      <c r="F89" s="97">
        <f>SUM(F48:F88)</f>
        <v>385</v>
      </c>
      <c r="G89" s="271">
        <f>SUM(G48:G88)</f>
        <v>89</v>
      </c>
      <c r="H89" s="78">
        <f>SUM(H48:H88)</f>
        <v>474</v>
      </c>
    </row>
    <row r="90" spans="1:8" x14ac:dyDescent="0.25">
      <c r="A90" s="535" t="s">
        <v>95</v>
      </c>
      <c r="B90" s="536"/>
      <c r="C90" s="536"/>
      <c r="D90" s="536"/>
      <c r="E90" s="536"/>
      <c r="F90" s="536"/>
      <c r="G90" s="536"/>
    </row>
  </sheetData>
  <sortState xmlns:xlrd2="http://schemas.microsoft.com/office/spreadsheetml/2017/richdata2" ref="E48:H88">
    <sortCondition descending="1" ref="H48:H88"/>
  </sortState>
  <mergeCells count="32">
    <mergeCell ref="A90:G90"/>
    <mergeCell ref="I27:U27"/>
    <mergeCell ref="I28:AB28"/>
    <mergeCell ref="A1:H1"/>
    <mergeCell ref="S20:U21"/>
    <mergeCell ref="P20:R21"/>
    <mergeCell ref="P1:Q2"/>
    <mergeCell ref="I20:I21"/>
    <mergeCell ref="J20:L21"/>
    <mergeCell ref="I12:I13"/>
    <mergeCell ref="I1:I2"/>
    <mergeCell ref="J1:L2"/>
    <mergeCell ref="M1:O2"/>
    <mergeCell ref="J12:L13"/>
    <mergeCell ref="P12:R13"/>
    <mergeCell ref="R1:T2"/>
    <mergeCell ref="AC20:AE21"/>
    <mergeCell ref="M20:O21"/>
    <mergeCell ref="Z20:AB21"/>
    <mergeCell ref="M12:O13"/>
    <mergeCell ref="AO1:AQ2"/>
    <mergeCell ref="AF1:AH2"/>
    <mergeCell ref="AF12:AH13"/>
    <mergeCell ref="AI12:AK13"/>
    <mergeCell ref="U1:W2"/>
    <mergeCell ref="Z12:AB13"/>
    <mergeCell ref="Z1:AB2"/>
    <mergeCell ref="AC1:AE2"/>
    <mergeCell ref="AC12:AE13"/>
    <mergeCell ref="S12:U13"/>
    <mergeCell ref="AL1:AN2"/>
    <mergeCell ref="AI1:AK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83"/>
  <sheetViews>
    <sheetView zoomScaleNormal="100" workbookViewId="0">
      <selection activeCell="R27" sqref="R27"/>
    </sheetView>
  </sheetViews>
  <sheetFormatPr defaultColWidth="8.85546875" defaultRowHeight="15" x14ac:dyDescent="0.25"/>
  <cols>
    <col min="1" max="1" width="16.42578125" customWidth="1"/>
    <col min="2" max="2" width="3.7109375" customWidth="1"/>
    <col min="3" max="3" width="4.140625" customWidth="1"/>
    <col min="4" max="4" width="4.140625" style="464" customWidth="1"/>
    <col min="5" max="5" width="4.7109375" customWidth="1"/>
    <col min="6" max="6" width="16.42578125" customWidth="1"/>
    <col min="7" max="8" width="5.28515625" customWidth="1"/>
    <col min="9" max="9" width="5.28515625" style="464" customWidth="1"/>
    <col min="10" max="10" width="5.28515625" customWidth="1"/>
    <col min="11" max="11" width="16.7109375" customWidth="1"/>
    <col min="12" max="17" width="5.42578125" customWidth="1"/>
    <col min="18" max="46" width="5.7109375" customWidth="1"/>
  </cols>
  <sheetData>
    <row r="1" spans="1:53" ht="15" customHeight="1" thickBot="1" x14ac:dyDescent="0.3">
      <c r="A1" s="596" t="s">
        <v>811</v>
      </c>
      <c r="B1" s="597"/>
      <c r="C1" s="597"/>
      <c r="D1" s="597"/>
      <c r="E1" s="597"/>
      <c r="F1" s="597"/>
      <c r="G1" s="597"/>
      <c r="H1" s="597"/>
      <c r="I1" s="597"/>
      <c r="J1" s="598"/>
      <c r="K1" s="531" t="s">
        <v>658</v>
      </c>
      <c r="L1" s="525" t="s">
        <v>33</v>
      </c>
      <c r="M1" s="526"/>
      <c r="N1" s="527"/>
      <c r="O1" s="525" t="s">
        <v>110</v>
      </c>
      <c r="P1" s="526"/>
      <c r="Q1" s="527"/>
      <c r="R1" s="525" t="s">
        <v>657</v>
      </c>
      <c r="S1" s="527"/>
      <c r="T1" s="543" t="s">
        <v>836</v>
      </c>
      <c r="U1" s="549"/>
      <c r="V1" s="550"/>
      <c r="W1" s="543" t="s">
        <v>816</v>
      </c>
      <c r="X1" s="549"/>
      <c r="Y1" s="550"/>
      <c r="Z1" s="244"/>
      <c r="AA1" s="254"/>
      <c r="AB1" s="254"/>
      <c r="AC1" s="543" t="s">
        <v>574</v>
      </c>
      <c r="AD1" s="549"/>
      <c r="AE1" s="550"/>
      <c r="AF1" s="543" t="s">
        <v>217</v>
      </c>
      <c r="AG1" s="549"/>
      <c r="AH1" s="550"/>
      <c r="AI1" s="543" t="s">
        <v>147</v>
      </c>
      <c r="AJ1" s="549"/>
      <c r="AK1" s="550"/>
      <c r="AL1" s="543" t="s">
        <v>137</v>
      </c>
      <c r="AM1" s="549"/>
      <c r="AN1" s="550"/>
      <c r="AO1" s="543" t="s">
        <v>114</v>
      </c>
      <c r="AP1" s="549"/>
      <c r="AQ1" s="550"/>
      <c r="AR1" s="543" t="s">
        <v>128</v>
      </c>
      <c r="AS1" s="549"/>
      <c r="AT1" s="550"/>
      <c r="AV1" s="4"/>
      <c r="AW1" s="4"/>
      <c r="AX1" s="4"/>
      <c r="BA1" s="4"/>
    </row>
    <row r="2" spans="1:53" ht="15" customHeight="1" thickBot="1" x14ac:dyDescent="0.3">
      <c r="A2" s="168" t="s">
        <v>0</v>
      </c>
      <c r="B2" s="154" t="s">
        <v>815</v>
      </c>
      <c r="C2" s="140" t="s">
        <v>72</v>
      </c>
      <c r="D2" s="284" t="s">
        <v>73</v>
      </c>
      <c r="E2" s="177" t="s">
        <v>1</v>
      </c>
      <c r="F2" s="170" t="s">
        <v>2</v>
      </c>
      <c r="G2" s="192" t="s">
        <v>815</v>
      </c>
      <c r="H2" s="261" t="s">
        <v>72</v>
      </c>
      <c r="I2" s="483" t="s">
        <v>73</v>
      </c>
      <c r="J2" s="173" t="s">
        <v>1</v>
      </c>
      <c r="K2" s="532"/>
      <c r="L2" s="528"/>
      <c r="M2" s="529"/>
      <c r="N2" s="530"/>
      <c r="O2" s="528"/>
      <c r="P2" s="529"/>
      <c r="Q2" s="530"/>
      <c r="R2" s="528"/>
      <c r="S2" s="530"/>
      <c r="T2" s="551"/>
      <c r="U2" s="552"/>
      <c r="V2" s="553"/>
      <c r="W2" s="551"/>
      <c r="X2" s="552"/>
      <c r="Y2" s="553"/>
      <c r="Z2" s="244"/>
      <c r="AA2" s="254"/>
      <c r="AB2" s="254"/>
      <c r="AC2" s="551"/>
      <c r="AD2" s="552"/>
      <c r="AE2" s="553"/>
      <c r="AF2" s="551"/>
      <c r="AG2" s="552"/>
      <c r="AH2" s="553"/>
      <c r="AI2" s="551"/>
      <c r="AJ2" s="552"/>
      <c r="AK2" s="553"/>
      <c r="AL2" s="551"/>
      <c r="AM2" s="552"/>
      <c r="AN2" s="553"/>
      <c r="AO2" s="551"/>
      <c r="AP2" s="552"/>
      <c r="AQ2" s="553"/>
      <c r="AR2" s="551"/>
      <c r="AS2" s="552"/>
      <c r="AT2" s="553"/>
    </row>
    <row r="3" spans="1:53" ht="15" customHeight="1" thickBot="1" x14ac:dyDescent="0.3">
      <c r="A3" s="169" t="s">
        <v>1036</v>
      </c>
      <c r="B3" s="96">
        <v>4</v>
      </c>
      <c r="C3" s="45">
        <v>0</v>
      </c>
      <c r="D3" s="285">
        <v>0</v>
      </c>
      <c r="E3" s="178">
        <f>SUM(B3:D3)</f>
        <v>4</v>
      </c>
      <c r="F3" s="171" t="s">
        <v>1036</v>
      </c>
      <c r="G3" s="189">
        <v>20</v>
      </c>
      <c r="H3" s="262">
        <v>0</v>
      </c>
      <c r="I3" s="484">
        <v>0</v>
      </c>
      <c r="J3" s="174">
        <f>SUM(G3:I3)</f>
        <v>20</v>
      </c>
      <c r="K3" s="33" t="s">
        <v>51</v>
      </c>
      <c r="L3" s="3" t="s">
        <v>129</v>
      </c>
      <c r="M3" s="3" t="s">
        <v>27</v>
      </c>
      <c r="N3" s="3" t="s">
        <v>28</v>
      </c>
      <c r="O3" s="3" t="s">
        <v>129</v>
      </c>
      <c r="P3" s="3" t="s">
        <v>27</v>
      </c>
      <c r="Q3" s="3" t="s">
        <v>28</v>
      </c>
      <c r="R3" s="3" t="s">
        <v>40</v>
      </c>
      <c r="S3" s="3" t="s">
        <v>166</v>
      </c>
      <c r="T3" s="7" t="s">
        <v>129</v>
      </c>
      <c r="U3" s="7" t="s">
        <v>27</v>
      </c>
      <c r="V3" s="7" t="s">
        <v>28</v>
      </c>
      <c r="W3" s="221" t="s">
        <v>129</v>
      </c>
      <c r="X3" s="7" t="s">
        <v>27</v>
      </c>
      <c r="Y3" s="7" t="s">
        <v>28</v>
      </c>
      <c r="Z3" s="113"/>
      <c r="AA3" s="114"/>
      <c r="AB3" s="114"/>
      <c r="AC3" s="221" t="s">
        <v>129</v>
      </c>
      <c r="AD3" s="7" t="s">
        <v>27</v>
      </c>
      <c r="AE3" s="7" t="s">
        <v>28</v>
      </c>
      <c r="AF3" s="221" t="s">
        <v>129</v>
      </c>
      <c r="AG3" s="7" t="s">
        <v>27</v>
      </c>
      <c r="AH3" s="7" t="s">
        <v>28</v>
      </c>
      <c r="AI3" s="221" t="s">
        <v>129</v>
      </c>
      <c r="AJ3" s="7" t="s">
        <v>27</v>
      </c>
      <c r="AK3" s="7" t="s">
        <v>28</v>
      </c>
      <c r="AL3" s="7" t="s">
        <v>129</v>
      </c>
      <c r="AM3" s="7" t="s">
        <v>27</v>
      </c>
      <c r="AN3" s="7" t="s">
        <v>28</v>
      </c>
      <c r="AO3" s="7" t="s">
        <v>129</v>
      </c>
      <c r="AP3" s="7" t="s">
        <v>27</v>
      </c>
      <c r="AQ3" s="7" t="s">
        <v>28</v>
      </c>
      <c r="AR3" s="7" t="s">
        <v>129</v>
      </c>
      <c r="AS3" s="7" t="s">
        <v>27</v>
      </c>
      <c r="AT3" s="7" t="s">
        <v>28</v>
      </c>
    </row>
    <row r="4" spans="1:53" ht="15" customHeight="1" thickBot="1" x14ac:dyDescent="0.3">
      <c r="A4" s="169" t="s">
        <v>293</v>
      </c>
      <c r="B4" s="96">
        <v>1</v>
      </c>
      <c r="C4" s="45">
        <v>0</v>
      </c>
      <c r="D4" s="285">
        <v>0</v>
      </c>
      <c r="E4" s="178">
        <f t="shared" ref="E4:E41" si="0">SUM(B4:D4)</f>
        <v>1</v>
      </c>
      <c r="F4" s="171" t="s">
        <v>293</v>
      </c>
      <c r="G4" s="189">
        <v>69</v>
      </c>
      <c r="H4" s="262">
        <v>12</v>
      </c>
      <c r="I4" s="484">
        <v>0</v>
      </c>
      <c r="J4" s="174">
        <f t="shared" ref="J4:J41" si="1">SUM(G4:I4)</f>
        <v>81</v>
      </c>
      <c r="K4" s="169" t="s">
        <v>296</v>
      </c>
      <c r="L4" s="178">
        <v>24</v>
      </c>
      <c r="M4" s="178">
        <v>33</v>
      </c>
      <c r="N4" s="179">
        <f t="shared" ref="N4:N5" si="2">SUM(L4/M4)*100</f>
        <v>72.727272727272734</v>
      </c>
      <c r="O4" s="178" t="s">
        <v>34</v>
      </c>
      <c r="P4" s="178" t="s">
        <v>34</v>
      </c>
      <c r="Q4" s="179" t="s">
        <v>34</v>
      </c>
      <c r="R4" s="178">
        <v>3</v>
      </c>
      <c r="S4" s="178">
        <v>3</v>
      </c>
      <c r="T4" s="7">
        <v>23</v>
      </c>
      <c r="U4" s="7">
        <v>27</v>
      </c>
      <c r="V4" s="232">
        <f t="shared" ref="V4:V7" si="3">SUM(T4/U4)*100</f>
        <v>85.18518518518519</v>
      </c>
      <c r="W4" s="221">
        <v>66</v>
      </c>
      <c r="X4" s="7">
        <v>78</v>
      </c>
      <c r="Y4" s="232">
        <f t="shared" ref="Y4:Y5" si="4">SUM(W4/X4)*100</f>
        <v>84.615384615384613</v>
      </c>
      <c r="Z4" s="113"/>
      <c r="AA4" s="114"/>
      <c r="AB4" s="114"/>
      <c r="AC4" s="221">
        <v>38</v>
      </c>
      <c r="AD4" s="7">
        <v>52</v>
      </c>
      <c r="AE4" s="232">
        <f>SUM(AC4/AD4)*100</f>
        <v>73.076923076923066</v>
      </c>
      <c r="AF4" s="6">
        <v>24</v>
      </c>
      <c r="AG4" s="6">
        <v>31</v>
      </c>
      <c r="AH4" s="232">
        <f t="shared" ref="AH4" si="5">SUM(AF4/AG4)*100</f>
        <v>77.41935483870968</v>
      </c>
      <c r="AI4" s="6">
        <v>31</v>
      </c>
      <c r="AJ4" s="6">
        <v>43</v>
      </c>
      <c r="AK4" s="232">
        <f t="shared" ref="AK4" si="6">SUM(AI4/AJ4)*100</f>
        <v>72.093023255813947</v>
      </c>
      <c r="AL4" s="7">
        <v>63</v>
      </c>
      <c r="AM4" s="7">
        <v>73</v>
      </c>
      <c r="AN4" s="232">
        <f t="shared" ref="AN4" si="7">SUM(AL4/AM4)*100</f>
        <v>86.301369863013704</v>
      </c>
      <c r="AO4" s="7">
        <v>79</v>
      </c>
      <c r="AP4" s="7">
        <v>93</v>
      </c>
      <c r="AQ4" s="232">
        <f>SUM(AO4/AP4)*100</f>
        <v>84.946236559139791</v>
      </c>
      <c r="AR4" s="7">
        <v>57</v>
      </c>
      <c r="AS4" s="7">
        <v>77</v>
      </c>
      <c r="AT4" s="7">
        <v>65</v>
      </c>
    </row>
    <row r="5" spans="1:53" ht="15" customHeight="1" thickBot="1" x14ac:dyDescent="0.3">
      <c r="A5" s="169" t="s">
        <v>560</v>
      </c>
      <c r="B5" s="96">
        <v>0</v>
      </c>
      <c r="C5" s="45">
        <v>0</v>
      </c>
      <c r="D5" s="285">
        <v>0</v>
      </c>
      <c r="E5" s="178">
        <f t="shared" si="0"/>
        <v>0</v>
      </c>
      <c r="F5" s="172" t="s">
        <v>560</v>
      </c>
      <c r="G5" s="189">
        <v>0</v>
      </c>
      <c r="H5" s="262">
        <v>0</v>
      </c>
      <c r="I5" s="484">
        <v>0</v>
      </c>
      <c r="J5" s="174">
        <f t="shared" si="1"/>
        <v>0</v>
      </c>
      <c r="K5" s="169" t="s">
        <v>76</v>
      </c>
      <c r="L5" s="178">
        <v>6</v>
      </c>
      <c r="M5" s="178">
        <v>8</v>
      </c>
      <c r="N5" s="179">
        <f t="shared" si="2"/>
        <v>75</v>
      </c>
      <c r="O5" s="178" t="s">
        <v>34</v>
      </c>
      <c r="P5" s="178" t="s">
        <v>34</v>
      </c>
      <c r="Q5" s="179" t="s">
        <v>34</v>
      </c>
      <c r="R5" s="178">
        <v>3</v>
      </c>
      <c r="S5" s="178">
        <v>-1</v>
      </c>
      <c r="T5" s="7">
        <v>4</v>
      </c>
      <c r="U5" s="7">
        <v>4</v>
      </c>
      <c r="V5" s="232">
        <f t="shared" si="3"/>
        <v>100</v>
      </c>
      <c r="W5" s="221">
        <v>12</v>
      </c>
      <c r="X5" s="7">
        <v>16</v>
      </c>
      <c r="Y5" s="232">
        <f t="shared" si="4"/>
        <v>75</v>
      </c>
      <c r="Z5" s="113"/>
      <c r="AA5" s="114"/>
      <c r="AB5" s="114"/>
      <c r="AC5" s="221">
        <v>23</v>
      </c>
      <c r="AD5" s="7">
        <v>28</v>
      </c>
      <c r="AE5" s="232">
        <f>SUM(AC5/AD5)*100</f>
        <v>82.142857142857139</v>
      </c>
      <c r="AF5" s="221" t="s">
        <v>34</v>
      </c>
      <c r="AG5" s="7" t="s">
        <v>34</v>
      </c>
      <c r="AH5" s="7" t="s">
        <v>34</v>
      </c>
      <c r="AI5" s="221" t="s">
        <v>34</v>
      </c>
      <c r="AJ5" s="7" t="s">
        <v>34</v>
      </c>
      <c r="AK5" s="7" t="s">
        <v>34</v>
      </c>
      <c r="AL5" s="7" t="s">
        <v>34</v>
      </c>
      <c r="AM5" s="7" t="s">
        <v>34</v>
      </c>
      <c r="AN5" s="7" t="s">
        <v>34</v>
      </c>
      <c r="AO5" s="7" t="s">
        <v>34</v>
      </c>
      <c r="AP5" s="7" t="s">
        <v>34</v>
      </c>
      <c r="AQ5" s="7" t="s">
        <v>34</v>
      </c>
      <c r="AR5" s="7" t="s">
        <v>34</v>
      </c>
      <c r="AS5" s="7" t="s">
        <v>34</v>
      </c>
      <c r="AT5" s="7" t="s">
        <v>34</v>
      </c>
    </row>
    <row r="6" spans="1:53" ht="15" customHeight="1" thickBot="1" x14ac:dyDescent="0.3">
      <c r="A6" s="169" t="s">
        <v>54</v>
      </c>
      <c r="B6" s="96">
        <v>2</v>
      </c>
      <c r="C6" s="45">
        <v>0</v>
      </c>
      <c r="D6" s="285">
        <v>1</v>
      </c>
      <c r="E6" s="178">
        <f t="shared" si="0"/>
        <v>3</v>
      </c>
      <c r="F6" s="172" t="s">
        <v>54</v>
      </c>
      <c r="G6" s="189">
        <v>10</v>
      </c>
      <c r="H6" s="262">
        <v>0</v>
      </c>
      <c r="I6" s="484">
        <v>5</v>
      </c>
      <c r="J6" s="174">
        <f t="shared" si="1"/>
        <v>15</v>
      </c>
      <c r="K6" s="169" t="s">
        <v>194</v>
      </c>
      <c r="L6" s="178" t="s">
        <v>34</v>
      </c>
      <c r="M6" s="178" t="s">
        <v>34</v>
      </c>
      <c r="N6" s="178" t="s">
        <v>34</v>
      </c>
      <c r="O6" s="178" t="s">
        <v>34</v>
      </c>
      <c r="P6" s="178" t="s">
        <v>34</v>
      </c>
      <c r="Q6" s="179" t="s">
        <v>34</v>
      </c>
      <c r="R6" s="178" t="s">
        <v>41</v>
      </c>
      <c r="S6" s="178">
        <v>1</v>
      </c>
      <c r="T6" s="7" t="s">
        <v>34</v>
      </c>
      <c r="U6" s="7" t="s">
        <v>34</v>
      </c>
      <c r="V6" s="7" t="s">
        <v>34</v>
      </c>
      <c r="W6" s="221" t="s">
        <v>34</v>
      </c>
      <c r="X6" s="7" t="s">
        <v>34</v>
      </c>
      <c r="Y6" s="7" t="s">
        <v>34</v>
      </c>
      <c r="Z6" s="113"/>
      <c r="AA6" s="114"/>
      <c r="AB6" s="114"/>
      <c r="AC6" s="221" t="s">
        <v>34</v>
      </c>
      <c r="AD6" s="7" t="s">
        <v>34</v>
      </c>
      <c r="AE6" s="7" t="s">
        <v>34</v>
      </c>
      <c r="AF6" s="221" t="s">
        <v>34</v>
      </c>
      <c r="AG6" s="7" t="s">
        <v>34</v>
      </c>
      <c r="AH6" s="7" t="s">
        <v>34</v>
      </c>
      <c r="AI6" s="6" t="s">
        <v>34</v>
      </c>
      <c r="AJ6" s="7" t="s">
        <v>34</v>
      </c>
      <c r="AK6" s="7" t="s">
        <v>34</v>
      </c>
      <c r="AL6" s="7" t="s">
        <v>34</v>
      </c>
      <c r="AM6" s="7" t="s">
        <v>34</v>
      </c>
      <c r="AN6" s="7" t="s">
        <v>34</v>
      </c>
      <c r="AO6" s="7" t="s">
        <v>34</v>
      </c>
      <c r="AP6" s="7" t="s">
        <v>34</v>
      </c>
      <c r="AQ6" s="7" t="s">
        <v>34</v>
      </c>
      <c r="AR6" s="7" t="s">
        <v>34</v>
      </c>
      <c r="AS6" s="7" t="s">
        <v>34</v>
      </c>
      <c r="AT6" s="7" t="s">
        <v>34</v>
      </c>
    </row>
    <row r="7" spans="1:53" ht="15" customHeight="1" thickBot="1" x14ac:dyDescent="0.3">
      <c r="A7" s="169" t="s">
        <v>547</v>
      </c>
      <c r="B7" s="96">
        <v>1</v>
      </c>
      <c r="C7" s="45">
        <v>1</v>
      </c>
      <c r="D7" s="285">
        <v>0</v>
      </c>
      <c r="E7" s="178">
        <f t="shared" si="0"/>
        <v>2</v>
      </c>
      <c r="F7" s="172" t="s">
        <v>547</v>
      </c>
      <c r="G7" s="189">
        <v>5</v>
      </c>
      <c r="H7" s="262">
        <v>5</v>
      </c>
      <c r="I7" s="484">
        <v>0</v>
      </c>
      <c r="J7" s="174">
        <f t="shared" si="1"/>
        <v>10</v>
      </c>
      <c r="K7" s="169" t="s">
        <v>195</v>
      </c>
      <c r="L7" s="178">
        <v>32</v>
      </c>
      <c r="M7" s="178">
        <v>43</v>
      </c>
      <c r="N7" s="179">
        <f t="shared" ref="N7:N8" si="8">SUM(L7/M7)*100</f>
        <v>74.418604651162795</v>
      </c>
      <c r="O7" s="178">
        <v>2</v>
      </c>
      <c r="P7" s="178">
        <v>5</v>
      </c>
      <c r="Q7" s="179">
        <f t="shared" ref="Q7" si="9">SUM(O7/P7)*100</f>
        <v>40</v>
      </c>
      <c r="R7" s="178">
        <v>-2</v>
      </c>
      <c r="S7" s="178">
        <v>-2</v>
      </c>
      <c r="T7" s="7">
        <v>38</v>
      </c>
      <c r="U7" s="7">
        <v>53</v>
      </c>
      <c r="V7" s="232">
        <f t="shared" si="3"/>
        <v>71.698113207547166</v>
      </c>
      <c r="W7" s="221">
        <v>10</v>
      </c>
      <c r="X7" s="7">
        <v>16</v>
      </c>
      <c r="Y7" s="232">
        <f t="shared" ref="Y7" si="10">SUM(W7/X7)*100</f>
        <v>62.5</v>
      </c>
      <c r="Z7" s="113"/>
      <c r="AA7" s="114"/>
      <c r="AB7" s="114"/>
      <c r="AC7" s="221">
        <v>5</v>
      </c>
      <c r="AD7" s="7">
        <v>8</v>
      </c>
      <c r="AE7" s="232">
        <f>SUM(AC7/AD7)*100</f>
        <v>62.5</v>
      </c>
      <c r="AF7" s="221" t="s">
        <v>34</v>
      </c>
      <c r="AG7" s="7" t="s">
        <v>34</v>
      </c>
      <c r="AH7" s="7" t="s">
        <v>34</v>
      </c>
      <c r="AI7" s="221" t="s">
        <v>34</v>
      </c>
      <c r="AJ7" s="7" t="s">
        <v>34</v>
      </c>
      <c r="AK7" s="7" t="s">
        <v>34</v>
      </c>
      <c r="AL7" s="7" t="s">
        <v>34</v>
      </c>
      <c r="AM7" s="7" t="s">
        <v>34</v>
      </c>
      <c r="AN7" s="7" t="s">
        <v>34</v>
      </c>
      <c r="AO7" s="7" t="s">
        <v>34</v>
      </c>
      <c r="AP7" s="7" t="s">
        <v>34</v>
      </c>
      <c r="AQ7" s="7" t="s">
        <v>34</v>
      </c>
      <c r="AR7" s="7" t="s">
        <v>34</v>
      </c>
      <c r="AS7" s="7" t="s">
        <v>34</v>
      </c>
      <c r="AT7" s="7" t="s">
        <v>34</v>
      </c>
    </row>
    <row r="8" spans="1:53" ht="15" customHeight="1" thickBot="1" x14ac:dyDescent="0.3">
      <c r="A8" s="169" t="s">
        <v>116</v>
      </c>
      <c r="B8" s="96">
        <v>0</v>
      </c>
      <c r="C8" s="45">
        <v>0</v>
      </c>
      <c r="D8" s="285">
        <v>0</v>
      </c>
      <c r="E8" s="178">
        <f t="shared" si="0"/>
        <v>0</v>
      </c>
      <c r="F8" s="172" t="s">
        <v>116</v>
      </c>
      <c r="G8" s="189">
        <v>0</v>
      </c>
      <c r="H8" s="262">
        <v>0</v>
      </c>
      <c r="I8" s="484">
        <v>0</v>
      </c>
      <c r="J8" s="174">
        <f t="shared" si="1"/>
        <v>0</v>
      </c>
      <c r="K8" s="169" t="s">
        <v>117</v>
      </c>
      <c r="L8" s="178">
        <v>3</v>
      </c>
      <c r="M8" s="178">
        <v>5</v>
      </c>
      <c r="N8" s="178">
        <f t="shared" si="8"/>
        <v>60</v>
      </c>
      <c r="O8" s="178" t="s">
        <v>34</v>
      </c>
      <c r="P8" s="178" t="s">
        <v>34</v>
      </c>
      <c r="Q8" s="179" t="s">
        <v>34</v>
      </c>
      <c r="R8" s="178">
        <v>3</v>
      </c>
      <c r="S8" s="178">
        <v>3</v>
      </c>
      <c r="T8" s="7" t="s">
        <v>34</v>
      </c>
      <c r="U8" s="7" t="s">
        <v>34</v>
      </c>
      <c r="V8" s="7" t="s">
        <v>34</v>
      </c>
      <c r="W8" s="221">
        <v>3</v>
      </c>
      <c r="X8" s="7">
        <v>3</v>
      </c>
      <c r="Y8" s="7">
        <v>100</v>
      </c>
      <c r="Z8" s="113"/>
      <c r="AA8" s="114"/>
      <c r="AB8" s="114"/>
      <c r="AC8" s="221" t="s">
        <v>34</v>
      </c>
      <c r="AD8" s="7" t="s">
        <v>34</v>
      </c>
      <c r="AE8" s="7" t="s">
        <v>34</v>
      </c>
      <c r="AF8" s="221" t="s">
        <v>34</v>
      </c>
      <c r="AG8" s="7" t="s">
        <v>34</v>
      </c>
      <c r="AH8" s="7" t="s">
        <v>34</v>
      </c>
      <c r="AI8" s="6" t="s">
        <v>34</v>
      </c>
      <c r="AJ8" s="7" t="s">
        <v>34</v>
      </c>
      <c r="AK8" s="7" t="s">
        <v>34</v>
      </c>
      <c r="AL8" s="7" t="s">
        <v>34</v>
      </c>
      <c r="AM8" s="7" t="s">
        <v>34</v>
      </c>
      <c r="AN8" s="7" t="s">
        <v>34</v>
      </c>
      <c r="AO8" s="7" t="s">
        <v>34</v>
      </c>
      <c r="AP8" s="7" t="s">
        <v>34</v>
      </c>
      <c r="AQ8" s="7" t="s">
        <v>34</v>
      </c>
      <c r="AR8" s="7" t="s">
        <v>34</v>
      </c>
      <c r="AS8" s="7" t="s">
        <v>34</v>
      </c>
      <c r="AT8" s="7" t="s">
        <v>34</v>
      </c>
    </row>
    <row r="9" spans="1:53" ht="15" customHeight="1" thickBot="1" x14ac:dyDescent="0.3">
      <c r="A9" s="169" t="s">
        <v>174</v>
      </c>
      <c r="B9" s="96">
        <v>4</v>
      </c>
      <c r="C9" s="45">
        <v>0</v>
      </c>
      <c r="D9" s="285">
        <v>0</v>
      </c>
      <c r="E9" s="178">
        <f t="shared" si="0"/>
        <v>4</v>
      </c>
      <c r="F9" s="171" t="s">
        <v>76</v>
      </c>
      <c r="G9" s="189">
        <v>35</v>
      </c>
      <c r="H9" s="262">
        <v>0</v>
      </c>
      <c r="I9" s="484">
        <v>7</v>
      </c>
      <c r="J9" s="174">
        <f t="shared" si="1"/>
        <v>42</v>
      </c>
      <c r="K9" s="169" t="s">
        <v>130</v>
      </c>
      <c r="L9" s="178">
        <v>2</v>
      </c>
      <c r="M9" s="178">
        <v>4</v>
      </c>
      <c r="N9" s="179">
        <f t="shared" ref="N9" si="11">SUM(L9/M9)*100</f>
        <v>50</v>
      </c>
      <c r="O9" s="178" t="s">
        <v>34</v>
      </c>
      <c r="P9" s="178" t="s">
        <v>34</v>
      </c>
      <c r="Q9" s="179" t="s">
        <v>34</v>
      </c>
      <c r="R9" s="178">
        <v>-2</v>
      </c>
      <c r="S9" s="178">
        <v>-2</v>
      </c>
      <c r="T9" s="7">
        <v>3</v>
      </c>
      <c r="U9" s="7">
        <v>3</v>
      </c>
      <c r="V9" s="232">
        <f t="shared" ref="V9" si="12">SUM(T9/U9)*100</f>
        <v>100</v>
      </c>
      <c r="W9" s="221">
        <v>2</v>
      </c>
      <c r="X9" s="7">
        <v>2</v>
      </c>
      <c r="Y9" s="232">
        <f t="shared" ref="Y9" si="13">SUM(W9/X9)*100</f>
        <v>100</v>
      </c>
      <c r="Z9" s="113"/>
      <c r="AA9" s="114"/>
      <c r="AB9" s="114"/>
      <c r="AC9" s="221">
        <v>25</v>
      </c>
      <c r="AD9" s="7">
        <v>38</v>
      </c>
      <c r="AE9" s="232">
        <f>SUM(AC9/AD9)*100</f>
        <v>65.789473684210535</v>
      </c>
      <c r="AF9" s="221">
        <v>9</v>
      </c>
      <c r="AG9" s="7">
        <v>14</v>
      </c>
      <c r="AH9" s="232">
        <f>SUM(AF9/AG9)*100</f>
        <v>64.285714285714292</v>
      </c>
      <c r="AI9" s="221">
        <v>0</v>
      </c>
      <c r="AJ9" s="7">
        <v>1</v>
      </c>
      <c r="AK9" s="232">
        <f>SUM(AI9/AJ9)*100</f>
        <v>0</v>
      </c>
      <c r="AL9" s="7" t="s">
        <v>34</v>
      </c>
      <c r="AM9" s="7" t="s">
        <v>34</v>
      </c>
      <c r="AN9" s="7" t="s">
        <v>34</v>
      </c>
      <c r="AO9" s="7" t="s">
        <v>34</v>
      </c>
      <c r="AP9" s="7" t="s">
        <v>34</v>
      </c>
      <c r="AQ9" s="7" t="s">
        <v>34</v>
      </c>
      <c r="AR9" s="7" t="s">
        <v>34</v>
      </c>
      <c r="AS9" s="7" t="s">
        <v>34</v>
      </c>
      <c r="AT9" s="7" t="s">
        <v>34</v>
      </c>
    </row>
    <row r="10" spans="1:53" ht="15" customHeight="1" thickBot="1" x14ac:dyDescent="0.3">
      <c r="A10" s="169" t="s">
        <v>675</v>
      </c>
      <c r="B10" s="96">
        <v>0</v>
      </c>
      <c r="C10" s="45">
        <v>0</v>
      </c>
      <c r="D10" s="285">
        <v>0</v>
      </c>
      <c r="E10" s="178">
        <f t="shared" si="0"/>
        <v>0</v>
      </c>
      <c r="F10" s="171" t="s">
        <v>295</v>
      </c>
      <c r="G10" s="189">
        <v>0</v>
      </c>
      <c r="H10" s="262">
        <v>0</v>
      </c>
      <c r="I10" s="484">
        <v>0</v>
      </c>
      <c r="J10" s="174">
        <f t="shared" si="1"/>
        <v>0</v>
      </c>
    </row>
    <row r="11" spans="1:53" ht="15" customHeight="1" thickBot="1" x14ac:dyDescent="0.3">
      <c r="A11" s="169" t="s">
        <v>1061</v>
      </c>
      <c r="B11" s="96">
        <v>1</v>
      </c>
      <c r="C11" s="45">
        <v>0</v>
      </c>
      <c r="D11" s="285">
        <v>2</v>
      </c>
      <c r="E11" s="178">
        <f t="shared" si="0"/>
        <v>3</v>
      </c>
      <c r="F11" s="171" t="s">
        <v>1061</v>
      </c>
      <c r="G11" s="189">
        <v>5</v>
      </c>
      <c r="H11" s="262">
        <v>0</v>
      </c>
      <c r="I11" s="484">
        <v>10</v>
      </c>
      <c r="J11" s="174">
        <f t="shared" si="1"/>
        <v>15</v>
      </c>
      <c r="K11" s="562" t="s">
        <v>659</v>
      </c>
      <c r="L11" s="525" t="s">
        <v>33</v>
      </c>
      <c r="M11" s="526"/>
      <c r="N11" s="527"/>
      <c r="O11" s="543" t="s">
        <v>836</v>
      </c>
      <c r="P11" s="549"/>
      <c r="Q11" s="550"/>
      <c r="R11" s="543" t="s">
        <v>951</v>
      </c>
      <c r="S11" s="549"/>
      <c r="T11" s="550"/>
      <c r="U11" s="543" t="s">
        <v>574</v>
      </c>
      <c r="V11" s="549"/>
      <c r="W11" s="550"/>
      <c r="X11" s="244"/>
      <c r="Y11" s="254"/>
      <c r="Z11" s="254"/>
      <c r="AA11" s="354"/>
      <c r="AB11" s="367"/>
      <c r="AC11" s="543" t="s">
        <v>217</v>
      </c>
      <c r="AD11" s="549"/>
      <c r="AE11" s="550"/>
      <c r="AF11" s="543" t="s">
        <v>147</v>
      </c>
      <c r="AG11" s="549"/>
      <c r="AH11" s="550"/>
      <c r="AI11" s="543" t="s">
        <v>137</v>
      </c>
      <c r="AJ11" s="549"/>
      <c r="AK11" s="550"/>
      <c r="AL11" s="543" t="s">
        <v>515</v>
      </c>
      <c r="AM11" s="549"/>
      <c r="AN11" s="550"/>
    </row>
    <row r="12" spans="1:53" ht="15" customHeight="1" thickBot="1" x14ac:dyDescent="0.3">
      <c r="A12" s="169" t="s">
        <v>194</v>
      </c>
      <c r="B12" s="96">
        <v>2</v>
      </c>
      <c r="C12" s="45">
        <v>0</v>
      </c>
      <c r="D12" s="285">
        <v>0</v>
      </c>
      <c r="E12" s="178">
        <f t="shared" si="0"/>
        <v>2</v>
      </c>
      <c r="F12" s="171" t="s">
        <v>194</v>
      </c>
      <c r="G12" s="189">
        <v>10</v>
      </c>
      <c r="H12" s="262">
        <v>0</v>
      </c>
      <c r="I12" s="484">
        <v>0</v>
      </c>
      <c r="J12" s="174">
        <f t="shared" si="1"/>
        <v>10</v>
      </c>
      <c r="K12" s="563"/>
      <c r="L12" s="528"/>
      <c r="M12" s="529"/>
      <c r="N12" s="530"/>
      <c r="O12" s="551"/>
      <c r="P12" s="552"/>
      <c r="Q12" s="553"/>
      <c r="R12" s="551"/>
      <c r="S12" s="552"/>
      <c r="T12" s="553"/>
      <c r="U12" s="551"/>
      <c r="V12" s="552"/>
      <c r="W12" s="553"/>
      <c r="X12" s="244"/>
      <c r="Y12" s="254"/>
      <c r="Z12" s="254"/>
      <c r="AA12" s="354"/>
      <c r="AB12" s="367"/>
      <c r="AC12" s="551"/>
      <c r="AD12" s="552"/>
      <c r="AE12" s="553"/>
      <c r="AF12" s="551"/>
      <c r="AG12" s="552"/>
      <c r="AH12" s="553"/>
      <c r="AI12" s="551"/>
      <c r="AJ12" s="552"/>
      <c r="AK12" s="553"/>
      <c r="AL12" s="551"/>
      <c r="AM12" s="552"/>
      <c r="AN12" s="553"/>
    </row>
    <row r="13" spans="1:53" ht="15" customHeight="1" thickBot="1" x14ac:dyDescent="0.3">
      <c r="A13" s="169" t="s">
        <v>768</v>
      </c>
      <c r="B13" s="96">
        <v>0</v>
      </c>
      <c r="C13" s="45">
        <v>0</v>
      </c>
      <c r="D13" s="285">
        <v>0</v>
      </c>
      <c r="E13" s="178">
        <f t="shared" si="0"/>
        <v>0</v>
      </c>
      <c r="F13" s="171" t="s">
        <v>768</v>
      </c>
      <c r="G13" s="189">
        <v>0</v>
      </c>
      <c r="H13" s="262">
        <v>0</v>
      </c>
      <c r="I13" s="484">
        <v>0</v>
      </c>
      <c r="J13" s="174">
        <f t="shared" si="1"/>
        <v>0</v>
      </c>
      <c r="K13" s="33" t="s">
        <v>51</v>
      </c>
      <c r="L13" s="3" t="s">
        <v>129</v>
      </c>
      <c r="M13" s="3" t="s">
        <v>27</v>
      </c>
      <c r="N13" s="3" t="s">
        <v>28</v>
      </c>
      <c r="O13" s="7" t="s">
        <v>129</v>
      </c>
      <c r="P13" s="7" t="s">
        <v>27</v>
      </c>
      <c r="Q13" s="7" t="s">
        <v>28</v>
      </c>
      <c r="R13" s="7" t="s">
        <v>129</v>
      </c>
      <c r="S13" s="7" t="s">
        <v>27</v>
      </c>
      <c r="T13" s="7" t="s">
        <v>28</v>
      </c>
      <c r="U13" s="221" t="s">
        <v>129</v>
      </c>
      <c r="V13" s="7" t="s">
        <v>27</v>
      </c>
      <c r="W13" s="7" t="s">
        <v>28</v>
      </c>
      <c r="X13" s="356"/>
      <c r="Y13" s="354"/>
      <c r="Z13" s="354"/>
      <c r="AA13" s="354"/>
      <c r="AB13" s="367"/>
      <c r="AC13" s="221" t="s">
        <v>129</v>
      </c>
      <c r="AD13" s="7" t="s">
        <v>27</v>
      </c>
      <c r="AE13" s="7" t="s">
        <v>28</v>
      </c>
      <c r="AF13" s="221" t="s">
        <v>129</v>
      </c>
      <c r="AG13" s="7" t="s">
        <v>27</v>
      </c>
      <c r="AH13" s="7" t="s">
        <v>28</v>
      </c>
      <c r="AI13" s="221" t="s">
        <v>129</v>
      </c>
      <c r="AJ13" s="7" t="s">
        <v>27</v>
      </c>
      <c r="AK13" s="7" t="s">
        <v>28</v>
      </c>
      <c r="AL13" s="221" t="s">
        <v>129</v>
      </c>
      <c r="AM13" s="7" t="s">
        <v>27</v>
      </c>
      <c r="AN13" s="7" t="s">
        <v>28</v>
      </c>
    </row>
    <row r="14" spans="1:53" ht="15" customHeight="1" thickBot="1" x14ac:dyDescent="0.3">
      <c r="A14" s="169" t="s">
        <v>195</v>
      </c>
      <c r="B14" s="96">
        <v>1</v>
      </c>
      <c r="C14" s="45">
        <v>0</v>
      </c>
      <c r="D14" s="285">
        <v>0</v>
      </c>
      <c r="E14" s="178">
        <f t="shared" si="0"/>
        <v>1</v>
      </c>
      <c r="F14" s="171" t="s">
        <v>195</v>
      </c>
      <c r="G14" s="189">
        <v>83</v>
      </c>
      <c r="H14" s="262">
        <v>0</v>
      </c>
      <c r="I14" s="484">
        <v>13</v>
      </c>
      <c r="J14" s="174">
        <f t="shared" si="1"/>
        <v>96</v>
      </c>
      <c r="K14" s="169" t="s">
        <v>296</v>
      </c>
      <c r="L14" s="178">
        <v>4</v>
      </c>
      <c r="M14" s="178">
        <v>4</v>
      </c>
      <c r="N14" s="179">
        <f t="shared" ref="N14:N16" si="14">SUM(L14/M14)*100</f>
        <v>100</v>
      </c>
      <c r="O14" s="7">
        <v>27</v>
      </c>
      <c r="P14" s="7">
        <v>31</v>
      </c>
      <c r="Q14" s="232">
        <f t="shared" ref="Q14:Q15" si="15">SUM(O14/P14)*100</f>
        <v>87.096774193548384</v>
      </c>
      <c r="R14" s="7">
        <v>10</v>
      </c>
      <c r="S14" s="7">
        <v>15</v>
      </c>
      <c r="T14" s="232">
        <f t="shared" ref="T14:T16" si="16">SUM(R14/S14)*100</f>
        <v>66.666666666666657</v>
      </c>
      <c r="U14" s="221">
        <v>15</v>
      </c>
      <c r="V14" s="7">
        <v>16</v>
      </c>
      <c r="W14" s="232">
        <f>SUM(U14/V14)*100</f>
        <v>93.75</v>
      </c>
      <c r="X14" s="356"/>
      <c r="Y14" s="354"/>
      <c r="Z14" s="354"/>
      <c r="AA14" s="354"/>
      <c r="AB14" s="367"/>
      <c r="AC14" s="6">
        <v>30</v>
      </c>
      <c r="AD14" s="6">
        <v>39</v>
      </c>
      <c r="AE14" s="232">
        <f t="shared" ref="AE14" si="17">SUM(AC14/AD14)*100</f>
        <v>76.923076923076934</v>
      </c>
      <c r="AF14" s="6">
        <v>22</v>
      </c>
      <c r="AG14" s="6">
        <v>30</v>
      </c>
      <c r="AH14" s="232">
        <f t="shared" ref="AH14" si="18">SUM(AF14/AG14)*100</f>
        <v>73.333333333333329</v>
      </c>
      <c r="AI14" s="221">
        <v>19</v>
      </c>
      <c r="AJ14" s="7">
        <v>24</v>
      </c>
      <c r="AK14" s="232">
        <f>SUM(AI14/AJ14)*100</f>
        <v>79.166666666666657</v>
      </c>
      <c r="AL14" s="221">
        <v>21</v>
      </c>
      <c r="AM14" s="7">
        <v>21</v>
      </c>
      <c r="AN14" s="232">
        <f>SUM(AL14/AM14)*100</f>
        <v>100</v>
      </c>
    </row>
    <row r="15" spans="1:53" ht="15" customHeight="1" thickBot="1" x14ac:dyDescent="0.3">
      <c r="A15" s="169" t="s">
        <v>47</v>
      </c>
      <c r="B15" s="96">
        <v>1</v>
      </c>
      <c r="C15" s="45">
        <v>0</v>
      </c>
      <c r="D15" s="285">
        <v>1</v>
      </c>
      <c r="E15" s="178">
        <f t="shared" si="0"/>
        <v>2</v>
      </c>
      <c r="F15" s="171" t="s">
        <v>47</v>
      </c>
      <c r="G15" s="189">
        <v>5</v>
      </c>
      <c r="H15" s="262">
        <v>0</v>
      </c>
      <c r="I15" s="484">
        <v>5</v>
      </c>
      <c r="J15" s="174">
        <f t="shared" si="1"/>
        <v>10</v>
      </c>
      <c r="K15" s="169" t="s">
        <v>195</v>
      </c>
      <c r="L15" s="178" t="s">
        <v>34</v>
      </c>
      <c r="M15" s="178" t="s">
        <v>34</v>
      </c>
      <c r="N15" s="179" t="s">
        <v>34</v>
      </c>
      <c r="O15" s="7">
        <v>4</v>
      </c>
      <c r="P15" s="7">
        <v>5</v>
      </c>
      <c r="Q15" s="232">
        <f t="shared" si="15"/>
        <v>80</v>
      </c>
      <c r="R15" s="6" t="s">
        <v>34</v>
      </c>
      <c r="S15" s="231" t="s">
        <v>34</v>
      </c>
      <c r="T15" s="231" t="s">
        <v>34</v>
      </c>
      <c r="U15" s="6" t="s">
        <v>34</v>
      </c>
      <c r="V15" s="231" t="s">
        <v>34</v>
      </c>
      <c r="W15" s="231" t="s">
        <v>34</v>
      </c>
      <c r="X15" s="356"/>
      <c r="Y15" s="354"/>
      <c r="Z15" s="354"/>
      <c r="AA15" s="354"/>
      <c r="AB15" s="367"/>
      <c r="AC15" s="6" t="s">
        <v>34</v>
      </c>
      <c r="AD15" s="231" t="s">
        <v>34</v>
      </c>
      <c r="AE15" s="231" t="s">
        <v>34</v>
      </c>
      <c r="AF15" s="6" t="s">
        <v>34</v>
      </c>
      <c r="AG15" s="231" t="s">
        <v>34</v>
      </c>
      <c r="AH15" s="231" t="s">
        <v>34</v>
      </c>
      <c r="AI15" s="6" t="s">
        <v>34</v>
      </c>
      <c r="AJ15" s="231" t="s">
        <v>34</v>
      </c>
      <c r="AK15" s="231" t="s">
        <v>34</v>
      </c>
      <c r="AL15" s="231" t="s">
        <v>34</v>
      </c>
      <c r="AM15" s="231" t="s">
        <v>34</v>
      </c>
      <c r="AN15" s="231" t="s">
        <v>34</v>
      </c>
    </row>
    <row r="16" spans="1:53" ht="15" customHeight="1" thickBot="1" x14ac:dyDescent="0.3">
      <c r="A16" s="169" t="s">
        <v>63</v>
      </c>
      <c r="B16" s="96">
        <v>2</v>
      </c>
      <c r="C16" s="45">
        <v>0</v>
      </c>
      <c r="D16" s="285">
        <v>0</v>
      </c>
      <c r="E16" s="178">
        <f t="shared" si="0"/>
        <v>2</v>
      </c>
      <c r="F16" s="171" t="s">
        <v>63</v>
      </c>
      <c r="G16" s="189">
        <v>10</v>
      </c>
      <c r="H16" s="262">
        <v>0</v>
      </c>
      <c r="I16" s="484">
        <v>0</v>
      </c>
      <c r="J16" s="175">
        <f t="shared" si="1"/>
        <v>10</v>
      </c>
      <c r="K16" s="169" t="s">
        <v>117</v>
      </c>
      <c r="L16" s="178">
        <v>2</v>
      </c>
      <c r="M16" s="178">
        <v>3</v>
      </c>
      <c r="N16" s="179">
        <f t="shared" si="14"/>
        <v>66.666666666666657</v>
      </c>
      <c r="O16" s="7" t="s">
        <v>34</v>
      </c>
      <c r="P16" s="7" t="s">
        <v>34</v>
      </c>
      <c r="Q16" s="232" t="s">
        <v>34</v>
      </c>
      <c r="R16" s="7">
        <v>7</v>
      </c>
      <c r="S16" s="7">
        <v>7</v>
      </c>
      <c r="T16" s="232">
        <f t="shared" si="16"/>
        <v>100</v>
      </c>
      <c r="U16" s="6" t="s">
        <v>34</v>
      </c>
      <c r="V16" s="231" t="s">
        <v>34</v>
      </c>
      <c r="W16" s="231" t="s">
        <v>34</v>
      </c>
      <c r="X16" s="356"/>
      <c r="Y16" s="354"/>
      <c r="Z16" s="354"/>
      <c r="AA16" s="354"/>
      <c r="AB16" s="367"/>
      <c r="AC16" s="6" t="s">
        <v>34</v>
      </c>
      <c r="AD16" s="231" t="s">
        <v>34</v>
      </c>
      <c r="AE16" s="231" t="s">
        <v>34</v>
      </c>
      <c r="AF16" s="6" t="s">
        <v>34</v>
      </c>
      <c r="AG16" s="231" t="s">
        <v>34</v>
      </c>
      <c r="AH16" s="231" t="s">
        <v>34</v>
      </c>
      <c r="AI16" s="6" t="s">
        <v>34</v>
      </c>
      <c r="AJ16" s="231" t="s">
        <v>34</v>
      </c>
      <c r="AK16" s="231" t="s">
        <v>34</v>
      </c>
      <c r="AL16" s="231" t="s">
        <v>34</v>
      </c>
      <c r="AM16" s="231" t="s">
        <v>34</v>
      </c>
      <c r="AN16" s="231" t="s">
        <v>34</v>
      </c>
    </row>
    <row r="17" spans="1:46" ht="15" customHeight="1" thickBot="1" x14ac:dyDescent="0.3">
      <c r="A17" s="169" t="s">
        <v>70</v>
      </c>
      <c r="B17" s="96">
        <v>1</v>
      </c>
      <c r="C17" s="45">
        <v>0</v>
      </c>
      <c r="D17" s="285">
        <v>0</v>
      </c>
      <c r="E17" s="178">
        <f t="shared" si="0"/>
        <v>1</v>
      </c>
      <c r="F17" s="171" t="s">
        <v>70</v>
      </c>
      <c r="G17" s="189">
        <v>5</v>
      </c>
      <c r="H17" s="262">
        <v>0</v>
      </c>
      <c r="I17" s="484">
        <v>0</v>
      </c>
      <c r="J17" s="176">
        <f t="shared" si="1"/>
        <v>5</v>
      </c>
      <c r="K17" s="168" t="s">
        <v>130</v>
      </c>
      <c r="L17" s="180" t="s">
        <v>34</v>
      </c>
      <c r="M17" s="180" t="s">
        <v>34</v>
      </c>
      <c r="N17" s="180" t="s">
        <v>34</v>
      </c>
      <c r="O17" s="231" t="s">
        <v>34</v>
      </c>
      <c r="P17" s="231" t="s">
        <v>34</v>
      </c>
      <c r="Q17" s="231" t="s">
        <v>34</v>
      </c>
      <c r="R17" s="231" t="s">
        <v>34</v>
      </c>
      <c r="S17" s="231" t="s">
        <v>34</v>
      </c>
      <c r="T17" s="231" t="s">
        <v>34</v>
      </c>
      <c r="U17" s="6">
        <v>11</v>
      </c>
      <c r="V17" s="231">
        <v>16</v>
      </c>
      <c r="W17" s="230">
        <f>SUM(U17/V17)*100</f>
        <v>68.75</v>
      </c>
      <c r="X17" s="356"/>
      <c r="Y17" s="354"/>
      <c r="Z17" s="354"/>
      <c r="AA17" s="354"/>
      <c r="AB17" s="367"/>
      <c r="AC17" s="6">
        <v>0</v>
      </c>
      <c r="AD17" s="231">
        <v>1</v>
      </c>
      <c r="AE17" s="230">
        <f>SUM(AC17/AD17)*100</f>
        <v>0</v>
      </c>
      <c r="AF17" s="6" t="s">
        <v>34</v>
      </c>
      <c r="AG17" s="231" t="s">
        <v>34</v>
      </c>
      <c r="AH17" s="231" t="s">
        <v>34</v>
      </c>
      <c r="AI17" s="221" t="s">
        <v>34</v>
      </c>
      <c r="AJ17" s="7" t="s">
        <v>34</v>
      </c>
      <c r="AK17" s="7" t="s">
        <v>34</v>
      </c>
      <c r="AL17" s="221" t="s">
        <v>34</v>
      </c>
      <c r="AM17" s="7" t="s">
        <v>34</v>
      </c>
      <c r="AN17" s="7" t="s">
        <v>34</v>
      </c>
    </row>
    <row r="18" spans="1:46" ht="15" customHeight="1" thickBot="1" x14ac:dyDescent="0.3">
      <c r="A18" s="169" t="s">
        <v>117</v>
      </c>
      <c r="B18" s="96">
        <v>6</v>
      </c>
      <c r="C18" s="45">
        <v>0</v>
      </c>
      <c r="D18" s="285">
        <v>0</v>
      </c>
      <c r="E18" s="178">
        <f t="shared" si="0"/>
        <v>6</v>
      </c>
      <c r="F18" s="171" t="s">
        <v>117</v>
      </c>
      <c r="G18" s="189">
        <v>36</v>
      </c>
      <c r="H18" s="262">
        <v>4</v>
      </c>
      <c r="I18" s="484">
        <v>0</v>
      </c>
      <c r="J18" s="174">
        <f t="shared" si="1"/>
        <v>40</v>
      </c>
      <c r="K18" s="169" t="s">
        <v>76</v>
      </c>
      <c r="L18" s="178" t="s">
        <v>34</v>
      </c>
      <c r="M18" s="178" t="s">
        <v>34</v>
      </c>
      <c r="N18" s="178" t="s">
        <v>34</v>
      </c>
      <c r="O18" s="7" t="s">
        <v>34</v>
      </c>
      <c r="P18" s="7" t="s">
        <v>34</v>
      </c>
      <c r="Q18" s="7" t="s">
        <v>34</v>
      </c>
      <c r="R18" s="7" t="s">
        <v>34</v>
      </c>
      <c r="S18" s="7" t="s">
        <v>34</v>
      </c>
      <c r="T18" s="7" t="s">
        <v>34</v>
      </c>
      <c r="U18" s="221">
        <v>1</v>
      </c>
      <c r="V18" s="7">
        <v>2</v>
      </c>
      <c r="W18" s="232">
        <f>SUM(U18/V18)*100</f>
        <v>50</v>
      </c>
      <c r="X18" s="356"/>
      <c r="Y18" s="354"/>
      <c r="Z18" s="354"/>
      <c r="AA18" s="354"/>
      <c r="AB18" s="367"/>
      <c r="AC18" s="221" t="s">
        <v>34</v>
      </c>
      <c r="AD18" s="7" t="s">
        <v>34</v>
      </c>
      <c r="AE18" s="7" t="s">
        <v>34</v>
      </c>
      <c r="AF18" s="221" t="s">
        <v>34</v>
      </c>
      <c r="AG18" s="7" t="s">
        <v>34</v>
      </c>
      <c r="AH18" s="7" t="s">
        <v>34</v>
      </c>
      <c r="AI18" s="221" t="s">
        <v>34</v>
      </c>
      <c r="AJ18" s="7" t="s">
        <v>34</v>
      </c>
      <c r="AK18" s="7" t="s">
        <v>34</v>
      </c>
      <c r="AL18" s="221" t="s">
        <v>34</v>
      </c>
      <c r="AM18" s="7" t="s">
        <v>34</v>
      </c>
      <c r="AN18" s="7" t="s">
        <v>34</v>
      </c>
    </row>
    <row r="19" spans="1:46" ht="15" customHeight="1" thickBot="1" x14ac:dyDescent="0.3">
      <c r="A19" s="169" t="s">
        <v>982</v>
      </c>
      <c r="B19" s="96">
        <v>2</v>
      </c>
      <c r="C19" s="45">
        <v>1</v>
      </c>
      <c r="D19" s="285">
        <v>0</v>
      </c>
      <c r="E19" s="178">
        <f t="shared" si="0"/>
        <v>3</v>
      </c>
      <c r="F19" s="171" t="s">
        <v>982</v>
      </c>
      <c r="G19" s="189">
        <v>10</v>
      </c>
      <c r="H19" s="262">
        <v>5</v>
      </c>
      <c r="I19" s="484">
        <v>0</v>
      </c>
      <c r="J19" s="174">
        <f t="shared" si="1"/>
        <v>15</v>
      </c>
      <c r="X19" s="312"/>
      <c r="Y19" s="312"/>
      <c r="Z19" s="312"/>
      <c r="AA19" s="312"/>
      <c r="AB19" s="312"/>
      <c r="AC19" s="311"/>
      <c r="AD19" s="311"/>
      <c r="AE19" s="311"/>
    </row>
    <row r="20" spans="1:46" ht="15" customHeight="1" thickBot="1" x14ac:dyDescent="0.3">
      <c r="A20" s="169" t="s">
        <v>1003</v>
      </c>
      <c r="B20" s="96">
        <v>3</v>
      </c>
      <c r="C20" s="45">
        <v>1</v>
      </c>
      <c r="D20" s="285">
        <v>0</v>
      </c>
      <c r="E20" s="178">
        <f t="shared" si="0"/>
        <v>4</v>
      </c>
      <c r="F20" s="171" t="s">
        <v>1003</v>
      </c>
      <c r="G20" s="189">
        <v>15</v>
      </c>
      <c r="H20" s="262">
        <v>5</v>
      </c>
      <c r="I20" s="484">
        <v>0</v>
      </c>
      <c r="J20" s="174">
        <f t="shared" si="1"/>
        <v>20</v>
      </c>
      <c r="K20" s="570" t="s">
        <v>660</v>
      </c>
      <c r="L20" s="525" t="s">
        <v>33</v>
      </c>
      <c r="M20" s="526"/>
      <c r="N20" s="527"/>
      <c r="O20" s="543" t="s">
        <v>836</v>
      </c>
      <c r="P20" s="549"/>
      <c r="Q20" s="550"/>
      <c r="R20" s="543" t="s">
        <v>816</v>
      </c>
      <c r="S20" s="549"/>
      <c r="T20" s="550"/>
      <c r="U20" s="543" t="s">
        <v>574</v>
      </c>
      <c r="V20" s="549"/>
      <c r="W20" s="550"/>
      <c r="X20" s="453"/>
      <c r="Y20" s="468"/>
      <c r="Z20" s="468"/>
      <c r="AA20" s="463"/>
      <c r="AB20" s="367"/>
      <c r="AC20" s="543" t="s">
        <v>217</v>
      </c>
      <c r="AD20" s="549"/>
      <c r="AE20" s="550"/>
      <c r="AF20" s="543" t="s">
        <v>147</v>
      </c>
      <c r="AG20" s="549"/>
      <c r="AH20" s="550"/>
      <c r="AI20" s="543" t="s">
        <v>137</v>
      </c>
      <c r="AJ20" s="549"/>
      <c r="AK20" s="550"/>
      <c r="AL20" s="543" t="s">
        <v>101</v>
      </c>
      <c r="AM20" s="549"/>
      <c r="AN20" s="550"/>
      <c r="AO20" s="464"/>
      <c r="AP20" s="464"/>
      <c r="AQ20" s="464"/>
      <c r="AR20" s="464"/>
      <c r="AS20" s="464"/>
      <c r="AT20" s="464"/>
    </row>
    <row r="21" spans="1:46" ht="15" customHeight="1" thickBot="1" x14ac:dyDescent="0.3">
      <c r="A21" s="169" t="s">
        <v>92</v>
      </c>
      <c r="B21" s="96">
        <v>0</v>
      </c>
      <c r="C21" s="45">
        <v>0</v>
      </c>
      <c r="D21" s="285">
        <v>0</v>
      </c>
      <c r="E21" s="178">
        <f t="shared" si="0"/>
        <v>0</v>
      </c>
      <c r="F21" s="171" t="s">
        <v>92</v>
      </c>
      <c r="G21" s="189">
        <v>0</v>
      </c>
      <c r="H21" s="262">
        <v>0</v>
      </c>
      <c r="I21" s="484">
        <v>0</v>
      </c>
      <c r="J21" s="174">
        <f t="shared" si="1"/>
        <v>0</v>
      </c>
      <c r="K21" s="571"/>
      <c r="L21" s="528"/>
      <c r="M21" s="529"/>
      <c r="N21" s="530"/>
      <c r="O21" s="551"/>
      <c r="P21" s="552"/>
      <c r="Q21" s="553"/>
      <c r="R21" s="551"/>
      <c r="S21" s="552"/>
      <c r="T21" s="553"/>
      <c r="U21" s="551"/>
      <c r="V21" s="552"/>
      <c r="W21" s="553"/>
      <c r="X21" s="453"/>
      <c r="Y21" s="468"/>
      <c r="Z21" s="468"/>
      <c r="AA21" s="463"/>
      <c r="AB21" s="367"/>
      <c r="AC21" s="551"/>
      <c r="AD21" s="552"/>
      <c r="AE21" s="553"/>
      <c r="AF21" s="551"/>
      <c r="AG21" s="552"/>
      <c r="AH21" s="553"/>
      <c r="AI21" s="551"/>
      <c r="AJ21" s="552"/>
      <c r="AK21" s="553"/>
      <c r="AL21" s="551"/>
      <c r="AM21" s="552"/>
      <c r="AN21" s="553"/>
      <c r="AO21" s="464"/>
      <c r="AP21" s="464"/>
      <c r="AQ21" s="464"/>
      <c r="AR21" s="464"/>
      <c r="AS21" s="464"/>
      <c r="AT21" s="464"/>
    </row>
    <row r="22" spans="1:46" ht="15" customHeight="1" thickBot="1" x14ac:dyDescent="0.3">
      <c r="A22" s="169" t="s">
        <v>118</v>
      </c>
      <c r="B22" s="96">
        <v>2</v>
      </c>
      <c r="C22" s="45">
        <v>0</v>
      </c>
      <c r="D22" s="285">
        <v>0</v>
      </c>
      <c r="E22" s="178">
        <f t="shared" si="0"/>
        <v>2</v>
      </c>
      <c r="F22" s="171" t="s">
        <v>118</v>
      </c>
      <c r="G22" s="189">
        <v>10</v>
      </c>
      <c r="H22" s="262">
        <v>0</v>
      </c>
      <c r="I22" s="484">
        <v>0</v>
      </c>
      <c r="J22" s="174">
        <f t="shared" si="1"/>
        <v>10</v>
      </c>
      <c r="K22" s="33" t="s">
        <v>51</v>
      </c>
      <c r="L22" s="3" t="s">
        <v>129</v>
      </c>
      <c r="M22" s="3" t="s">
        <v>27</v>
      </c>
      <c r="N22" s="3" t="s">
        <v>28</v>
      </c>
      <c r="O22" s="7" t="s">
        <v>129</v>
      </c>
      <c r="P22" s="7" t="s">
        <v>27</v>
      </c>
      <c r="Q22" s="7" t="s">
        <v>28</v>
      </c>
      <c r="R22" s="7" t="s">
        <v>129</v>
      </c>
      <c r="S22" s="7" t="s">
        <v>27</v>
      </c>
      <c r="T22" s="7" t="s">
        <v>28</v>
      </c>
      <c r="U22" s="221" t="s">
        <v>129</v>
      </c>
      <c r="V22" s="7" t="s">
        <v>27</v>
      </c>
      <c r="W22" s="7" t="s">
        <v>28</v>
      </c>
      <c r="X22" s="466"/>
      <c r="Y22" s="463"/>
      <c r="Z22" s="463"/>
      <c r="AA22" s="463"/>
      <c r="AB22" s="367"/>
      <c r="AC22" s="221" t="s">
        <v>129</v>
      </c>
      <c r="AD22" s="7" t="s">
        <v>27</v>
      </c>
      <c r="AE22" s="7" t="s">
        <v>28</v>
      </c>
      <c r="AF22" s="221" t="s">
        <v>129</v>
      </c>
      <c r="AG22" s="7" t="s">
        <v>27</v>
      </c>
      <c r="AH22" s="7" t="s">
        <v>28</v>
      </c>
      <c r="AI22" s="221" t="s">
        <v>129</v>
      </c>
      <c r="AJ22" s="7" t="s">
        <v>27</v>
      </c>
      <c r="AK22" s="7" t="s">
        <v>28</v>
      </c>
      <c r="AL22" s="221" t="s">
        <v>129</v>
      </c>
      <c r="AM22" s="7" t="s">
        <v>27</v>
      </c>
      <c r="AN22" s="7" t="s">
        <v>28</v>
      </c>
      <c r="AO22" s="464"/>
      <c r="AP22" s="464"/>
      <c r="AQ22" s="464"/>
      <c r="AR22" s="464"/>
      <c r="AS22" s="464"/>
      <c r="AT22" s="464"/>
    </row>
    <row r="23" spans="1:46" ht="15" customHeight="1" thickBot="1" x14ac:dyDescent="0.3">
      <c r="A23" s="169" t="s">
        <v>130</v>
      </c>
      <c r="B23" s="96">
        <v>0</v>
      </c>
      <c r="C23" s="45">
        <v>0</v>
      </c>
      <c r="D23" s="285">
        <v>0</v>
      </c>
      <c r="E23" s="178">
        <f t="shared" si="0"/>
        <v>0</v>
      </c>
      <c r="F23" s="171" t="s">
        <v>130</v>
      </c>
      <c r="G23" s="189">
        <v>5</v>
      </c>
      <c r="H23" s="262">
        <v>0</v>
      </c>
      <c r="I23" s="484">
        <v>0</v>
      </c>
      <c r="J23" s="174">
        <f t="shared" si="1"/>
        <v>5</v>
      </c>
      <c r="K23" s="169" t="s">
        <v>76</v>
      </c>
      <c r="L23" s="178">
        <v>3</v>
      </c>
      <c r="M23" s="178">
        <v>5</v>
      </c>
      <c r="N23" s="178">
        <f t="shared" ref="N23" si="19">SUM(L23/M23)*100</f>
        <v>60</v>
      </c>
      <c r="O23" s="6" t="s">
        <v>34</v>
      </c>
      <c r="P23" s="231" t="s">
        <v>34</v>
      </c>
      <c r="Q23" s="231" t="s">
        <v>34</v>
      </c>
      <c r="R23" s="6" t="s">
        <v>34</v>
      </c>
      <c r="S23" s="231" t="s">
        <v>34</v>
      </c>
      <c r="T23" s="231" t="s">
        <v>34</v>
      </c>
      <c r="U23" s="6" t="s">
        <v>34</v>
      </c>
      <c r="V23" s="231" t="s">
        <v>34</v>
      </c>
      <c r="W23" s="231" t="s">
        <v>34</v>
      </c>
      <c r="X23" s="492"/>
      <c r="Y23" s="490"/>
      <c r="Z23" s="490"/>
      <c r="AA23" s="490"/>
      <c r="AB23" s="367"/>
      <c r="AC23" s="6" t="s">
        <v>34</v>
      </c>
      <c r="AD23" s="231" t="s">
        <v>34</v>
      </c>
      <c r="AE23" s="231" t="s">
        <v>34</v>
      </c>
      <c r="AF23" s="6" t="s">
        <v>34</v>
      </c>
      <c r="AG23" s="231" t="s">
        <v>34</v>
      </c>
      <c r="AH23" s="231" t="s">
        <v>34</v>
      </c>
      <c r="AI23" s="6" t="s">
        <v>34</v>
      </c>
      <c r="AJ23" s="231" t="s">
        <v>34</v>
      </c>
      <c r="AK23" s="231" t="s">
        <v>34</v>
      </c>
      <c r="AL23" s="231" t="s">
        <v>34</v>
      </c>
      <c r="AM23" s="231" t="s">
        <v>34</v>
      </c>
      <c r="AN23" s="231" t="s">
        <v>34</v>
      </c>
      <c r="AO23" s="491"/>
      <c r="AP23" s="491"/>
      <c r="AQ23" s="491"/>
      <c r="AR23" s="491"/>
      <c r="AS23" s="491"/>
      <c r="AT23" s="491"/>
    </row>
    <row r="24" spans="1:46" ht="15" customHeight="1" thickBot="1" x14ac:dyDescent="0.3">
      <c r="A24" s="169" t="s">
        <v>109</v>
      </c>
      <c r="B24" s="96">
        <v>0</v>
      </c>
      <c r="C24" s="45">
        <v>0</v>
      </c>
      <c r="D24" s="285">
        <v>0</v>
      </c>
      <c r="E24" s="178">
        <f t="shared" si="0"/>
        <v>0</v>
      </c>
      <c r="F24" s="171" t="s">
        <v>109</v>
      </c>
      <c r="G24" s="189">
        <v>0</v>
      </c>
      <c r="H24" s="262">
        <v>0</v>
      </c>
      <c r="I24" s="484">
        <v>0</v>
      </c>
      <c r="J24" s="174">
        <f t="shared" si="1"/>
        <v>0</v>
      </c>
      <c r="K24" s="169" t="s">
        <v>195</v>
      </c>
      <c r="L24" s="178">
        <v>6</v>
      </c>
      <c r="M24" s="178">
        <v>7</v>
      </c>
      <c r="N24" s="179">
        <f t="shared" ref="N24" si="20">SUM(L24/M24)*100</f>
        <v>85.714285714285708</v>
      </c>
      <c r="O24" s="7" t="s">
        <v>34</v>
      </c>
      <c r="P24" s="7" t="s">
        <v>34</v>
      </c>
      <c r="Q24" s="232" t="s">
        <v>34</v>
      </c>
      <c r="R24" s="7">
        <v>19</v>
      </c>
      <c r="S24" s="7">
        <v>23</v>
      </c>
      <c r="T24" s="232">
        <f t="shared" ref="T24" si="21">SUM(R24/S24)*100</f>
        <v>82.608695652173907</v>
      </c>
      <c r="U24" s="7"/>
      <c r="V24" s="7" t="s">
        <v>34</v>
      </c>
      <c r="W24" s="232" t="s">
        <v>34</v>
      </c>
      <c r="X24" s="466"/>
      <c r="Y24" s="463"/>
      <c r="Z24" s="463"/>
      <c r="AA24" s="463"/>
      <c r="AB24" s="367"/>
      <c r="AC24" s="7" t="s">
        <v>34</v>
      </c>
      <c r="AD24" s="7" t="s">
        <v>34</v>
      </c>
      <c r="AE24" s="232" t="s">
        <v>34</v>
      </c>
      <c r="AF24" s="7" t="s">
        <v>34</v>
      </c>
      <c r="AG24" s="7" t="s">
        <v>34</v>
      </c>
      <c r="AH24" s="232" t="s">
        <v>34</v>
      </c>
      <c r="AI24" s="7" t="s">
        <v>34</v>
      </c>
      <c r="AJ24" s="7" t="s">
        <v>34</v>
      </c>
      <c r="AK24" s="232" t="s">
        <v>34</v>
      </c>
      <c r="AL24" s="7" t="s">
        <v>34</v>
      </c>
      <c r="AM24" s="7" t="s">
        <v>34</v>
      </c>
      <c r="AN24" s="232" t="s">
        <v>34</v>
      </c>
      <c r="AO24" s="464"/>
      <c r="AP24" s="464"/>
      <c r="AQ24" s="464"/>
      <c r="AR24" s="464"/>
      <c r="AS24" s="464"/>
      <c r="AT24" s="464"/>
    </row>
    <row r="25" spans="1:46" ht="15" customHeight="1" thickBot="1" x14ac:dyDescent="0.3">
      <c r="A25" s="169" t="s">
        <v>752</v>
      </c>
      <c r="B25" s="96">
        <v>3</v>
      </c>
      <c r="C25" s="45">
        <v>0</v>
      </c>
      <c r="D25" s="285">
        <v>0</v>
      </c>
      <c r="E25" s="178">
        <f t="shared" si="0"/>
        <v>3</v>
      </c>
      <c r="F25" s="171" t="s">
        <v>752</v>
      </c>
      <c r="G25" s="189">
        <v>15</v>
      </c>
      <c r="H25" s="262">
        <v>0</v>
      </c>
      <c r="I25" s="484">
        <v>0</v>
      </c>
      <c r="J25" s="174">
        <f t="shared" si="1"/>
        <v>15</v>
      </c>
      <c r="K25" s="482"/>
      <c r="L25" s="479"/>
      <c r="M25" s="479"/>
      <c r="N25" s="481"/>
      <c r="O25" s="329"/>
      <c r="P25" s="365"/>
      <c r="Q25" s="366"/>
      <c r="R25" s="365"/>
      <c r="S25" s="365"/>
      <c r="T25" s="366"/>
      <c r="U25" s="365"/>
      <c r="V25" s="365"/>
      <c r="W25" s="366"/>
      <c r="X25" s="480"/>
      <c r="Y25" s="472"/>
      <c r="Z25" s="472"/>
      <c r="AA25" s="472"/>
      <c r="AB25" s="480"/>
      <c r="AC25" s="365"/>
      <c r="AD25" s="365"/>
      <c r="AE25" s="366"/>
      <c r="AF25" s="365"/>
      <c r="AG25" s="365"/>
      <c r="AH25" s="366"/>
      <c r="AI25" s="365"/>
      <c r="AJ25" s="365"/>
      <c r="AK25" s="366"/>
      <c r="AL25" s="365"/>
      <c r="AM25" s="365"/>
      <c r="AN25" s="366"/>
      <c r="AO25" s="39"/>
      <c r="AP25" s="39"/>
      <c r="AQ25" s="39"/>
      <c r="AR25" s="39"/>
      <c r="AS25" s="39"/>
      <c r="AT25" s="39"/>
    </row>
    <row r="26" spans="1:46" ht="15" customHeight="1" thickBot="1" x14ac:dyDescent="0.3">
      <c r="A26" s="169" t="s">
        <v>197</v>
      </c>
      <c r="B26" s="96">
        <v>4</v>
      </c>
      <c r="C26" s="45">
        <v>0</v>
      </c>
      <c r="D26" s="285">
        <v>2</v>
      </c>
      <c r="E26" s="178">
        <f t="shared" si="0"/>
        <v>6</v>
      </c>
      <c r="F26" s="171" t="s">
        <v>197</v>
      </c>
      <c r="G26" s="189">
        <v>20</v>
      </c>
      <c r="H26" s="262">
        <v>0</v>
      </c>
      <c r="I26" s="484">
        <v>10</v>
      </c>
      <c r="J26" s="174">
        <f t="shared" si="1"/>
        <v>30</v>
      </c>
      <c r="K26" s="599" t="s">
        <v>165</v>
      </c>
      <c r="L26" s="519" t="s">
        <v>217</v>
      </c>
      <c r="M26" s="520"/>
      <c r="N26" s="521"/>
      <c r="O26" s="127"/>
      <c r="P26" s="127"/>
      <c r="Q26" s="127"/>
      <c r="X26" s="312"/>
      <c r="Y26" s="312"/>
      <c r="Z26" s="312"/>
      <c r="AA26" s="312"/>
      <c r="AB26" s="312"/>
      <c r="AC26" s="311"/>
      <c r="AD26" s="311"/>
      <c r="AE26" s="311"/>
    </row>
    <row r="27" spans="1:46" ht="15" customHeight="1" thickBot="1" x14ac:dyDescent="0.3">
      <c r="A27" s="169" t="s">
        <v>105</v>
      </c>
      <c r="B27" s="96">
        <v>0</v>
      </c>
      <c r="C27" s="45">
        <v>0</v>
      </c>
      <c r="D27" s="285">
        <v>0</v>
      </c>
      <c r="E27" s="178">
        <f t="shared" si="0"/>
        <v>0</v>
      </c>
      <c r="F27" s="171" t="s">
        <v>105</v>
      </c>
      <c r="G27" s="189">
        <v>0</v>
      </c>
      <c r="H27" s="262">
        <v>0</v>
      </c>
      <c r="I27" s="484">
        <v>0</v>
      </c>
      <c r="J27" s="174">
        <f t="shared" si="1"/>
        <v>0</v>
      </c>
      <c r="K27" s="600"/>
      <c r="L27" s="522"/>
      <c r="M27" s="523"/>
      <c r="N27" s="524"/>
      <c r="O27" s="127"/>
      <c r="P27" s="127"/>
      <c r="Q27" s="127"/>
      <c r="X27" s="312"/>
      <c r="Y27" s="312"/>
      <c r="Z27" s="312"/>
      <c r="AA27" s="312"/>
      <c r="AB27" s="312"/>
      <c r="AC27" s="360"/>
      <c r="AD27" s="311"/>
      <c r="AE27" s="311"/>
    </row>
    <row r="28" spans="1:46" ht="15" customHeight="1" thickBot="1" x14ac:dyDescent="0.3">
      <c r="A28" s="169" t="s">
        <v>294</v>
      </c>
      <c r="B28" s="96">
        <v>4</v>
      </c>
      <c r="C28" s="45">
        <v>0</v>
      </c>
      <c r="D28" s="285">
        <v>2</v>
      </c>
      <c r="E28" s="178">
        <f t="shared" si="0"/>
        <v>6</v>
      </c>
      <c r="F28" s="171" t="s">
        <v>294</v>
      </c>
      <c r="G28" s="189">
        <v>20</v>
      </c>
      <c r="H28" s="262">
        <v>0</v>
      </c>
      <c r="I28" s="484">
        <v>10</v>
      </c>
      <c r="J28" s="174">
        <f t="shared" si="1"/>
        <v>30</v>
      </c>
      <c r="K28" s="33" t="s">
        <v>51</v>
      </c>
      <c r="L28" s="119" t="s">
        <v>129</v>
      </c>
      <c r="M28" s="123" t="s">
        <v>27</v>
      </c>
      <c r="N28" s="123" t="s">
        <v>28</v>
      </c>
      <c r="X28" s="312"/>
      <c r="Y28" s="312"/>
      <c r="Z28" s="312"/>
      <c r="AA28" s="312"/>
      <c r="AB28" s="312"/>
      <c r="AC28" s="311"/>
      <c r="AD28" s="311"/>
      <c r="AE28" s="311"/>
    </row>
    <row r="29" spans="1:46" ht="15" customHeight="1" thickBot="1" x14ac:dyDescent="0.3">
      <c r="A29" s="169" t="s">
        <v>522</v>
      </c>
      <c r="B29" s="96">
        <v>0</v>
      </c>
      <c r="C29" s="45">
        <v>0</v>
      </c>
      <c r="D29" s="285">
        <v>0</v>
      </c>
      <c r="E29" s="178">
        <f t="shared" si="0"/>
        <v>0</v>
      </c>
      <c r="F29" s="171" t="s">
        <v>522</v>
      </c>
      <c r="G29" s="189">
        <v>0</v>
      </c>
      <c r="H29" s="262">
        <v>0</v>
      </c>
      <c r="I29" s="484">
        <v>0</v>
      </c>
      <c r="J29" s="174">
        <f t="shared" si="1"/>
        <v>0</v>
      </c>
      <c r="K29" s="169" t="s">
        <v>130</v>
      </c>
      <c r="L29" s="178">
        <v>9</v>
      </c>
      <c r="M29" s="178">
        <v>12</v>
      </c>
      <c r="N29" s="179">
        <f>SUM(L29/M29)*100</f>
        <v>75</v>
      </c>
      <c r="X29" s="312"/>
      <c r="Y29" s="312"/>
      <c r="Z29" s="312"/>
      <c r="AA29" s="312"/>
      <c r="AB29" s="312"/>
      <c r="AC29" s="311"/>
      <c r="AD29" s="311"/>
      <c r="AE29" s="311"/>
    </row>
    <row r="30" spans="1:46" ht="15" customHeight="1" thickBot="1" x14ac:dyDescent="0.3">
      <c r="A30" s="169" t="s">
        <v>517</v>
      </c>
      <c r="B30" s="96">
        <v>0</v>
      </c>
      <c r="C30" s="45">
        <v>0</v>
      </c>
      <c r="D30" s="285">
        <v>0</v>
      </c>
      <c r="E30" s="178">
        <f t="shared" si="0"/>
        <v>0</v>
      </c>
      <c r="F30" s="171" t="s">
        <v>517</v>
      </c>
      <c r="G30" s="189">
        <v>0</v>
      </c>
      <c r="H30" s="262">
        <v>0</v>
      </c>
      <c r="I30" s="484">
        <v>0</v>
      </c>
      <c r="J30" s="174">
        <f t="shared" si="1"/>
        <v>0</v>
      </c>
      <c r="K30" s="169" t="s">
        <v>76</v>
      </c>
      <c r="L30" s="178" t="s">
        <v>34</v>
      </c>
      <c r="M30" s="178" t="s">
        <v>34</v>
      </c>
      <c r="N30" s="178" t="s">
        <v>34</v>
      </c>
      <c r="X30" s="312"/>
      <c r="Y30" s="312"/>
      <c r="Z30" s="312"/>
      <c r="AA30" s="312"/>
      <c r="AB30" s="312"/>
      <c r="AC30" s="311"/>
      <c r="AD30" s="311"/>
      <c r="AE30" s="311"/>
    </row>
    <row r="31" spans="1:46" ht="15" customHeight="1" thickBot="1" x14ac:dyDescent="0.3">
      <c r="A31" s="169" t="s">
        <v>6</v>
      </c>
      <c r="B31" s="96">
        <v>3</v>
      </c>
      <c r="C31" s="45">
        <v>0</v>
      </c>
      <c r="D31" s="285">
        <v>0</v>
      </c>
      <c r="E31" s="178">
        <f t="shared" si="0"/>
        <v>3</v>
      </c>
      <c r="F31" s="171" t="s">
        <v>6</v>
      </c>
      <c r="G31" s="189">
        <v>21</v>
      </c>
      <c r="H31" s="262">
        <v>0</v>
      </c>
      <c r="I31" s="484">
        <v>0</v>
      </c>
      <c r="J31" s="174">
        <f t="shared" si="1"/>
        <v>21</v>
      </c>
      <c r="K31" s="126"/>
      <c r="L31" s="137"/>
      <c r="M31" s="137"/>
      <c r="N31" s="137"/>
      <c r="X31" s="312"/>
      <c r="Y31" s="312"/>
      <c r="Z31" s="312"/>
      <c r="AA31" s="312"/>
      <c r="AB31" s="312"/>
      <c r="AC31" s="311"/>
      <c r="AD31" s="311"/>
      <c r="AE31" s="311"/>
      <c r="AF31" s="39"/>
    </row>
    <row r="32" spans="1:46" ht="15" customHeight="1" thickBot="1" x14ac:dyDescent="0.3">
      <c r="A32" s="169" t="s">
        <v>676</v>
      </c>
      <c r="B32" s="96">
        <v>0</v>
      </c>
      <c r="C32" s="45">
        <v>0</v>
      </c>
      <c r="D32" s="285">
        <v>0</v>
      </c>
      <c r="E32" s="178">
        <f t="shared" si="0"/>
        <v>0</v>
      </c>
      <c r="F32" s="171" t="s">
        <v>676</v>
      </c>
      <c r="G32" s="189">
        <v>0</v>
      </c>
      <c r="H32" s="262">
        <v>0</v>
      </c>
      <c r="I32" s="484">
        <v>0</v>
      </c>
      <c r="J32" s="174">
        <f t="shared" si="1"/>
        <v>0</v>
      </c>
      <c r="K32" s="515" t="s">
        <v>218</v>
      </c>
      <c r="L32" s="543" t="s">
        <v>836</v>
      </c>
      <c r="M32" s="549"/>
      <c r="N32" s="550"/>
      <c r="O32" s="543" t="s">
        <v>816</v>
      </c>
      <c r="P32" s="549"/>
      <c r="Q32" s="550"/>
      <c r="R32" s="543" t="s">
        <v>574</v>
      </c>
      <c r="S32" s="549"/>
      <c r="T32" s="550"/>
      <c r="U32" s="543" t="s">
        <v>217</v>
      </c>
      <c r="V32" s="549"/>
      <c r="W32" s="550"/>
      <c r="X32" s="312"/>
      <c r="Y32" s="312"/>
      <c r="Z32" s="312"/>
      <c r="AA32" s="312"/>
      <c r="AB32" s="312"/>
      <c r="AC32" s="543" t="s">
        <v>137</v>
      </c>
      <c r="AD32" s="549"/>
      <c r="AE32" s="550"/>
      <c r="AF32" s="543" t="s">
        <v>101</v>
      </c>
      <c r="AG32" s="549"/>
      <c r="AH32" s="550"/>
    </row>
    <row r="33" spans="1:34" ht="15" customHeight="1" thickBot="1" x14ac:dyDescent="0.3">
      <c r="A33" s="169" t="s">
        <v>149</v>
      </c>
      <c r="B33" s="96">
        <v>0</v>
      </c>
      <c r="C33" s="45">
        <v>0</v>
      </c>
      <c r="D33" s="285">
        <v>0</v>
      </c>
      <c r="E33" s="178">
        <f t="shared" si="0"/>
        <v>0</v>
      </c>
      <c r="F33" s="171" t="s">
        <v>149</v>
      </c>
      <c r="G33" s="189">
        <v>0</v>
      </c>
      <c r="H33" s="262">
        <v>0</v>
      </c>
      <c r="I33" s="484">
        <v>0</v>
      </c>
      <c r="J33" s="174">
        <f t="shared" si="1"/>
        <v>0</v>
      </c>
      <c r="K33" s="516"/>
      <c r="L33" s="551"/>
      <c r="M33" s="552"/>
      <c r="N33" s="553"/>
      <c r="O33" s="551"/>
      <c r="P33" s="552"/>
      <c r="Q33" s="553"/>
      <c r="R33" s="551"/>
      <c r="S33" s="552"/>
      <c r="T33" s="553"/>
      <c r="U33" s="551"/>
      <c r="V33" s="552"/>
      <c r="W33" s="553"/>
      <c r="X33" s="312"/>
      <c r="Y33" s="312"/>
      <c r="Z33" s="312"/>
      <c r="AA33" s="312"/>
      <c r="AB33" s="312"/>
      <c r="AC33" s="551"/>
      <c r="AD33" s="552"/>
      <c r="AE33" s="553"/>
      <c r="AF33" s="551"/>
      <c r="AG33" s="552"/>
      <c r="AH33" s="553"/>
    </row>
    <row r="34" spans="1:34" ht="15" customHeight="1" thickBot="1" x14ac:dyDescent="0.3">
      <c r="A34" s="169" t="s">
        <v>175</v>
      </c>
      <c r="B34" s="96">
        <v>3</v>
      </c>
      <c r="C34" s="45">
        <v>0</v>
      </c>
      <c r="D34" s="285">
        <v>0</v>
      </c>
      <c r="E34" s="178">
        <f t="shared" si="0"/>
        <v>3</v>
      </c>
      <c r="F34" s="171" t="s">
        <v>175</v>
      </c>
      <c r="G34" s="189">
        <v>15</v>
      </c>
      <c r="H34" s="262">
        <v>0</v>
      </c>
      <c r="I34" s="484">
        <v>0</v>
      </c>
      <c r="J34" s="174">
        <f t="shared" si="1"/>
        <v>15</v>
      </c>
      <c r="K34" s="33" t="s">
        <v>51</v>
      </c>
      <c r="L34" s="7" t="s">
        <v>129</v>
      </c>
      <c r="M34" s="7" t="s">
        <v>27</v>
      </c>
      <c r="N34" s="7" t="s">
        <v>28</v>
      </c>
      <c r="O34" s="7" t="s">
        <v>129</v>
      </c>
      <c r="P34" s="7" t="s">
        <v>27</v>
      </c>
      <c r="Q34" s="7" t="s">
        <v>28</v>
      </c>
      <c r="R34" s="7" t="s">
        <v>129</v>
      </c>
      <c r="S34" s="7" t="s">
        <v>27</v>
      </c>
      <c r="T34" s="7" t="s">
        <v>28</v>
      </c>
      <c r="U34" s="221" t="s">
        <v>129</v>
      </c>
      <c r="V34" s="7" t="s">
        <v>27</v>
      </c>
      <c r="W34" s="7" t="s">
        <v>28</v>
      </c>
      <c r="X34" s="312"/>
      <c r="Y34" s="312"/>
      <c r="Z34" s="312"/>
      <c r="AA34" s="312"/>
      <c r="AB34" s="312"/>
      <c r="AC34" s="221" t="s">
        <v>129</v>
      </c>
      <c r="AD34" s="7" t="s">
        <v>27</v>
      </c>
      <c r="AE34" s="7" t="s">
        <v>28</v>
      </c>
      <c r="AF34" s="221" t="s">
        <v>129</v>
      </c>
      <c r="AG34" s="7" t="s">
        <v>27</v>
      </c>
      <c r="AH34" s="7" t="s">
        <v>28</v>
      </c>
    </row>
    <row r="35" spans="1:34" ht="15" customHeight="1" thickBot="1" x14ac:dyDescent="0.3">
      <c r="A35" s="169" t="s">
        <v>549</v>
      </c>
      <c r="B35" s="96">
        <v>7</v>
      </c>
      <c r="C35" s="45">
        <v>0</v>
      </c>
      <c r="D35" s="285">
        <v>2</v>
      </c>
      <c r="E35" s="178">
        <f t="shared" si="0"/>
        <v>9</v>
      </c>
      <c r="F35" s="171" t="s">
        <v>549</v>
      </c>
      <c r="G35" s="189">
        <v>35</v>
      </c>
      <c r="H35" s="262">
        <v>0</v>
      </c>
      <c r="I35" s="484">
        <v>10</v>
      </c>
      <c r="J35" s="174">
        <f t="shared" si="1"/>
        <v>45</v>
      </c>
      <c r="K35" s="181" t="s">
        <v>195</v>
      </c>
      <c r="L35" s="7">
        <v>14</v>
      </c>
      <c r="M35" s="7">
        <v>18</v>
      </c>
      <c r="N35" s="232">
        <f>(L35/M35)*100</f>
        <v>77.777777777777786</v>
      </c>
      <c r="O35" s="7">
        <v>24</v>
      </c>
      <c r="P35" s="7">
        <v>35</v>
      </c>
      <c r="Q35" s="232">
        <f>SUM(O35/P35)*100</f>
        <v>68.571428571428569</v>
      </c>
      <c r="R35" s="7">
        <v>7</v>
      </c>
      <c r="S35" s="7">
        <v>8</v>
      </c>
      <c r="T35" s="232">
        <f>SUM(R35/S35)*100</f>
        <v>87.5</v>
      </c>
      <c r="U35" s="221" t="s">
        <v>34</v>
      </c>
      <c r="V35" s="7" t="s">
        <v>34</v>
      </c>
      <c r="W35" s="7" t="s">
        <v>34</v>
      </c>
      <c r="X35" s="312"/>
      <c r="Y35" s="312"/>
      <c r="Z35" s="312"/>
      <c r="AA35" s="312"/>
      <c r="AB35" s="312"/>
      <c r="AC35" s="221" t="s">
        <v>34</v>
      </c>
      <c r="AD35" s="7" t="s">
        <v>34</v>
      </c>
      <c r="AE35" s="7" t="s">
        <v>34</v>
      </c>
      <c r="AF35" s="221" t="s">
        <v>34</v>
      </c>
      <c r="AG35" s="7" t="s">
        <v>34</v>
      </c>
      <c r="AH35" s="7" t="s">
        <v>34</v>
      </c>
    </row>
    <row r="36" spans="1:34" ht="15" customHeight="1" thickBot="1" x14ac:dyDescent="0.3">
      <c r="A36" s="169" t="s">
        <v>144</v>
      </c>
      <c r="B36" s="96">
        <v>1</v>
      </c>
      <c r="C36" s="45">
        <v>0</v>
      </c>
      <c r="D36" s="285">
        <v>0</v>
      </c>
      <c r="E36" s="178">
        <f t="shared" si="0"/>
        <v>1</v>
      </c>
      <c r="F36" s="171" t="s">
        <v>144</v>
      </c>
      <c r="G36" s="189">
        <v>5</v>
      </c>
      <c r="H36" s="262">
        <v>0</v>
      </c>
      <c r="I36" s="484">
        <v>0</v>
      </c>
      <c r="J36" s="174">
        <f t="shared" si="1"/>
        <v>5</v>
      </c>
      <c r="K36" s="181" t="s">
        <v>86</v>
      </c>
      <c r="L36" s="7">
        <v>1</v>
      </c>
      <c r="M36" s="7">
        <v>1</v>
      </c>
      <c r="N36" s="232">
        <f>(L36/M36)*100</f>
        <v>100</v>
      </c>
      <c r="O36" s="7"/>
      <c r="P36" s="7"/>
      <c r="Q36" s="232"/>
      <c r="R36" s="7"/>
      <c r="S36" s="7"/>
      <c r="T36" s="232"/>
      <c r="U36" s="221"/>
      <c r="V36" s="7"/>
      <c r="W36" s="7"/>
      <c r="X36" s="312"/>
      <c r="Y36" s="312"/>
      <c r="Z36" s="312"/>
      <c r="AA36" s="312"/>
      <c r="AB36" s="312"/>
      <c r="AC36" s="221"/>
      <c r="AD36" s="7"/>
      <c r="AE36" s="7"/>
      <c r="AF36" s="221" t="s">
        <v>34</v>
      </c>
      <c r="AG36" s="7" t="s">
        <v>34</v>
      </c>
      <c r="AH36" s="7" t="s">
        <v>34</v>
      </c>
    </row>
    <row r="37" spans="1:34" ht="15" customHeight="1" thickBot="1" x14ac:dyDescent="0.3">
      <c r="A37" s="169" t="s">
        <v>97</v>
      </c>
      <c r="B37" s="96">
        <v>0</v>
      </c>
      <c r="C37" s="45">
        <v>0</v>
      </c>
      <c r="D37" s="285">
        <v>0</v>
      </c>
      <c r="E37" s="178">
        <f t="shared" si="0"/>
        <v>0</v>
      </c>
      <c r="F37" s="171" t="s">
        <v>97</v>
      </c>
      <c r="G37" s="189">
        <v>0</v>
      </c>
      <c r="H37" s="262">
        <v>0</v>
      </c>
      <c r="I37" s="484">
        <v>0</v>
      </c>
      <c r="J37" s="174">
        <f t="shared" si="1"/>
        <v>0</v>
      </c>
      <c r="K37" s="181" t="s">
        <v>76</v>
      </c>
      <c r="L37" s="7" t="s">
        <v>34</v>
      </c>
      <c r="M37" s="7" t="s">
        <v>34</v>
      </c>
      <c r="N37" s="232" t="s">
        <v>34</v>
      </c>
      <c r="O37" s="7">
        <v>1</v>
      </c>
      <c r="P37" s="7">
        <v>1</v>
      </c>
      <c r="Q37" s="232">
        <f t="shared" ref="Q37:Q38" si="22">SUM(O37/P37)*100</f>
        <v>100</v>
      </c>
      <c r="R37" s="7">
        <v>4</v>
      </c>
      <c r="S37" s="7">
        <v>5</v>
      </c>
      <c r="T37" s="232">
        <f t="shared" ref="T37" si="23">SUM(R37/S37)*100</f>
        <v>80</v>
      </c>
      <c r="U37" s="221" t="s">
        <v>34</v>
      </c>
      <c r="V37" s="7" t="s">
        <v>34</v>
      </c>
      <c r="W37" s="7" t="s">
        <v>34</v>
      </c>
      <c r="X37" s="312"/>
      <c r="Y37" s="312"/>
      <c r="Z37" s="312"/>
      <c r="AA37" s="312"/>
      <c r="AB37" s="312"/>
      <c r="AC37" s="221" t="s">
        <v>34</v>
      </c>
      <c r="AD37" s="7" t="s">
        <v>34</v>
      </c>
      <c r="AE37" s="7" t="s">
        <v>34</v>
      </c>
      <c r="AF37" s="221" t="s">
        <v>34</v>
      </c>
      <c r="AG37" s="7" t="s">
        <v>34</v>
      </c>
      <c r="AH37" s="7" t="s">
        <v>34</v>
      </c>
    </row>
    <row r="38" spans="1:34" ht="15" customHeight="1" thickBot="1" x14ac:dyDescent="0.3">
      <c r="A38" s="169" t="s">
        <v>176</v>
      </c>
      <c r="B38" s="96">
        <v>0</v>
      </c>
      <c r="C38" s="45">
        <v>0</v>
      </c>
      <c r="D38" s="285">
        <v>0</v>
      </c>
      <c r="E38" s="178">
        <f t="shared" si="0"/>
        <v>0</v>
      </c>
      <c r="F38" s="171" t="s">
        <v>176</v>
      </c>
      <c r="G38" s="189">
        <v>0</v>
      </c>
      <c r="H38" s="262">
        <v>0</v>
      </c>
      <c r="I38" s="484">
        <v>0</v>
      </c>
      <c r="J38" s="174">
        <f t="shared" si="1"/>
        <v>0</v>
      </c>
      <c r="K38" s="181" t="s">
        <v>194</v>
      </c>
      <c r="L38" s="7" t="s">
        <v>34</v>
      </c>
      <c r="M38" s="7" t="s">
        <v>34</v>
      </c>
      <c r="N38" s="232" t="s">
        <v>34</v>
      </c>
      <c r="O38" s="7">
        <v>1</v>
      </c>
      <c r="P38" s="7">
        <v>1</v>
      </c>
      <c r="Q38" s="232">
        <f t="shared" si="22"/>
        <v>100</v>
      </c>
      <c r="R38" s="7" t="s">
        <v>34</v>
      </c>
      <c r="S38" s="7" t="s">
        <v>34</v>
      </c>
      <c r="T38" s="7" t="s">
        <v>34</v>
      </c>
      <c r="U38" s="221" t="s">
        <v>34</v>
      </c>
      <c r="V38" s="7" t="s">
        <v>34</v>
      </c>
      <c r="W38" s="7" t="s">
        <v>34</v>
      </c>
      <c r="X38" s="312"/>
      <c r="Y38" s="312"/>
      <c r="Z38" s="312"/>
      <c r="AA38" s="312"/>
      <c r="AB38" s="312"/>
      <c r="AC38" s="221" t="s">
        <v>34</v>
      </c>
      <c r="AD38" s="7" t="s">
        <v>34</v>
      </c>
      <c r="AE38" s="7" t="s">
        <v>34</v>
      </c>
      <c r="AF38" s="221" t="s">
        <v>34</v>
      </c>
      <c r="AG38" s="7" t="s">
        <v>34</v>
      </c>
      <c r="AH38" s="7" t="s">
        <v>34</v>
      </c>
    </row>
    <row r="39" spans="1:34" ht="15" customHeight="1" thickBot="1" x14ac:dyDescent="0.3">
      <c r="A39" s="169" t="s">
        <v>178</v>
      </c>
      <c r="B39" s="96">
        <v>0</v>
      </c>
      <c r="C39" s="45">
        <v>0</v>
      </c>
      <c r="D39" s="285">
        <v>0</v>
      </c>
      <c r="E39" s="178">
        <f t="shared" si="0"/>
        <v>0</v>
      </c>
      <c r="F39" s="171" t="s">
        <v>178</v>
      </c>
      <c r="G39" s="189">
        <v>0</v>
      </c>
      <c r="H39" s="262">
        <v>0</v>
      </c>
      <c r="I39" s="484">
        <v>0</v>
      </c>
      <c r="J39" s="174">
        <f t="shared" si="1"/>
        <v>0</v>
      </c>
      <c r="K39" t="s">
        <v>820</v>
      </c>
      <c r="R39" t="s">
        <v>51</v>
      </c>
    </row>
    <row r="40" spans="1:34" ht="15" customHeight="1" thickBot="1" x14ac:dyDescent="0.3">
      <c r="A40" s="169" t="s">
        <v>5</v>
      </c>
      <c r="B40" s="96">
        <v>1</v>
      </c>
      <c r="C40" s="45">
        <v>0</v>
      </c>
      <c r="D40" s="285">
        <v>0</v>
      </c>
      <c r="E40" s="178">
        <f t="shared" si="0"/>
        <v>1</v>
      </c>
      <c r="F40" s="171" t="s">
        <v>5</v>
      </c>
      <c r="G40" s="189">
        <v>5</v>
      </c>
      <c r="H40" s="262">
        <v>0</v>
      </c>
      <c r="I40" s="484">
        <v>0</v>
      </c>
      <c r="J40" s="174">
        <f t="shared" si="1"/>
        <v>5</v>
      </c>
      <c r="R40" t="s">
        <v>51</v>
      </c>
    </row>
    <row r="41" spans="1:34" ht="15" customHeight="1" thickBot="1" x14ac:dyDescent="0.3">
      <c r="A41" s="169" t="s">
        <v>3</v>
      </c>
      <c r="B41" s="96">
        <f>SUM(B3:B40)</f>
        <v>59</v>
      </c>
      <c r="C41" s="45">
        <f>SUM(C3:C40)</f>
        <v>3</v>
      </c>
      <c r="D41" s="285">
        <f>SUM(D3:D40)</f>
        <v>10</v>
      </c>
      <c r="E41" s="178">
        <f t="shared" si="0"/>
        <v>72</v>
      </c>
      <c r="F41" s="171" t="s">
        <v>3</v>
      </c>
      <c r="G41" s="189">
        <f>SUM(G3:G40)</f>
        <v>469</v>
      </c>
      <c r="H41" s="262">
        <f>SUM(H3:H40)</f>
        <v>31</v>
      </c>
      <c r="I41" s="484">
        <f>SUM(I3:I40)</f>
        <v>70</v>
      </c>
      <c r="J41" s="174">
        <f t="shared" si="1"/>
        <v>570</v>
      </c>
    </row>
    <row r="42" spans="1:34" ht="15" customHeight="1" thickBot="1" x14ac:dyDescent="0.3">
      <c r="A42" s="88" t="s">
        <v>30</v>
      </c>
      <c r="B42" s="182"/>
      <c r="E42" s="219"/>
      <c r="G42" s="182"/>
    </row>
    <row r="43" spans="1:34" ht="15" customHeight="1" thickBot="1" x14ac:dyDescent="0.3">
      <c r="A43" s="168" t="s">
        <v>0</v>
      </c>
      <c r="B43" s="154" t="s">
        <v>815</v>
      </c>
      <c r="C43" s="140" t="s">
        <v>72</v>
      </c>
      <c r="D43" s="284" t="s">
        <v>73</v>
      </c>
      <c r="E43" s="177" t="s">
        <v>1</v>
      </c>
      <c r="F43" s="170" t="s">
        <v>2</v>
      </c>
      <c r="G43" s="192" t="s">
        <v>815</v>
      </c>
      <c r="H43" s="261" t="s">
        <v>72</v>
      </c>
      <c r="I43" s="483" t="s">
        <v>73</v>
      </c>
      <c r="J43" s="173" t="s">
        <v>1</v>
      </c>
    </row>
    <row r="44" spans="1:34" ht="15" customHeight="1" thickBot="1" x14ac:dyDescent="0.3">
      <c r="A44" s="169" t="s">
        <v>549</v>
      </c>
      <c r="B44" s="96">
        <v>7</v>
      </c>
      <c r="C44" s="45">
        <v>0</v>
      </c>
      <c r="D44" s="285">
        <v>2</v>
      </c>
      <c r="E44" s="178">
        <f t="shared" ref="E44:E81" si="24">SUM(B44:D44)</f>
        <v>9</v>
      </c>
      <c r="F44" s="171" t="s">
        <v>195</v>
      </c>
      <c r="G44" s="189">
        <v>83</v>
      </c>
      <c r="H44" s="262">
        <v>0</v>
      </c>
      <c r="I44" s="484">
        <v>13</v>
      </c>
      <c r="J44" s="174">
        <f t="shared" ref="J44:J81" si="25">SUM(G44:I44)</f>
        <v>96</v>
      </c>
    </row>
    <row r="45" spans="1:34" ht="15" customHeight="1" thickBot="1" x14ac:dyDescent="0.3">
      <c r="A45" s="169" t="s">
        <v>117</v>
      </c>
      <c r="B45" s="96">
        <v>6</v>
      </c>
      <c r="C45" s="45">
        <v>0</v>
      </c>
      <c r="D45" s="285">
        <v>0</v>
      </c>
      <c r="E45" s="178">
        <f t="shared" si="24"/>
        <v>6</v>
      </c>
      <c r="F45" s="171" t="s">
        <v>293</v>
      </c>
      <c r="G45" s="189">
        <v>69</v>
      </c>
      <c r="H45" s="262">
        <v>12</v>
      </c>
      <c r="I45" s="484">
        <v>0</v>
      </c>
      <c r="J45" s="174">
        <f t="shared" si="25"/>
        <v>81</v>
      </c>
    </row>
    <row r="46" spans="1:34" ht="15" customHeight="1" thickBot="1" x14ac:dyDescent="0.3">
      <c r="A46" s="169" t="s">
        <v>197</v>
      </c>
      <c r="B46" s="96">
        <v>4</v>
      </c>
      <c r="C46" s="45">
        <v>0</v>
      </c>
      <c r="D46" s="285">
        <v>2</v>
      </c>
      <c r="E46" s="178">
        <f t="shared" si="24"/>
        <v>6</v>
      </c>
      <c r="F46" s="172" t="s">
        <v>549</v>
      </c>
      <c r="G46" s="189">
        <v>35</v>
      </c>
      <c r="H46" s="262">
        <v>0</v>
      </c>
      <c r="I46" s="484">
        <v>10</v>
      </c>
      <c r="J46" s="174">
        <f t="shared" si="25"/>
        <v>45</v>
      </c>
    </row>
    <row r="47" spans="1:34" ht="15" customHeight="1" thickBot="1" x14ac:dyDescent="0.3">
      <c r="A47" s="169" t="s">
        <v>294</v>
      </c>
      <c r="B47" s="96">
        <v>4</v>
      </c>
      <c r="C47" s="45">
        <v>0</v>
      </c>
      <c r="D47" s="285">
        <v>2</v>
      </c>
      <c r="E47" s="178">
        <f t="shared" si="24"/>
        <v>6</v>
      </c>
      <c r="F47" s="172" t="s">
        <v>76</v>
      </c>
      <c r="G47" s="189">
        <v>35</v>
      </c>
      <c r="H47" s="262">
        <v>0</v>
      </c>
      <c r="I47" s="484">
        <v>7</v>
      </c>
      <c r="J47" s="174">
        <f t="shared" si="25"/>
        <v>42</v>
      </c>
    </row>
    <row r="48" spans="1:34" ht="15" customHeight="1" thickBot="1" x14ac:dyDescent="0.3">
      <c r="A48" s="169" t="s">
        <v>1036</v>
      </c>
      <c r="B48" s="96">
        <v>4</v>
      </c>
      <c r="C48" s="45">
        <v>0</v>
      </c>
      <c r="D48" s="285">
        <v>0</v>
      </c>
      <c r="E48" s="178">
        <f t="shared" si="24"/>
        <v>4</v>
      </c>
      <c r="F48" s="172" t="s">
        <v>117</v>
      </c>
      <c r="G48" s="189">
        <v>36</v>
      </c>
      <c r="H48" s="262">
        <v>4</v>
      </c>
      <c r="I48" s="484">
        <v>0</v>
      </c>
      <c r="J48" s="174">
        <f t="shared" si="25"/>
        <v>40</v>
      </c>
    </row>
    <row r="49" spans="1:10" ht="15" customHeight="1" thickBot="1" x14ac:dyDescent="0.3">
      <c r="A49" s="169" t="s">
        <v>174</v>
      </c>
      <c r="B49" s="96">
        <v>4</v>
      </c>
      <c r="C49" s="45">
        <v>0</v>
      </c>
      <c r="D49" s="285">
        <v>0</v>
      </c>
      <c r="E49" s="178">
        <f t="shared" si="24"/>
        <v>4</v>
      </c>
      <c r="F49" s="172" t="s">
        <v>197</v>
      </c>
      <c r="G49" s="189">
        <v>20</v>
      </c>
      <c r="H49" s="262">
        <v>0</v>
      </c>
      <c r="I49" s="484">
        <v>10</v>
      </c>
      <c r="J49" s="174">
        <f t="shared" si="25"/>
        <v>30</v>
      </c>
    </row>
    <row r="50" spans="1:10" ht="15" customHeight="1" thickBot="1" x14ac:dyDescent="0.3">
      <c r="A50" s="169" t="s">
        <v>1003</v>
      </c>
      <c r="B50" s="96">
        <v>3</v>
      </c>
      <c r="C50" s="45">
        <v>1</v>
      </c>
      <c r="D50" s="285">
        <v>0</v>
      </c>
      <c r="E50" s="178">
        <f t="shared" si="24"/>
        <v>4</v>
      </c>
      <c r="F50" s="171" t="s">
        <v>294</v>
      </c>
      <c r="G50" s="189">
        <v>20</v>
      </c>
      <c r="H50" s="262">
        <v>0</v>
      </c>
      <c r="I50" s="484">
        <v>10</v>
      </c>
      <c r="J50" s="174">
        <f t="shared" si="25"/>
        <v>30</v>
      </c>
    </row>
    <row r="51" spans="1:10" ht="15.75" thickBot="1" x14ac:dyDescent="0.3">
      <c r="A51" s="169" t="s">
        <v>54</v>
      </c>
      <c r="B51" s="96">
        <v>2</v>
      </c>
      <c r="C51" s="45">
        <v>0</v>
      </c>
      <c r="D51" s="285">
        <v>1</v>
      </c>
      <c r="E51" s="178">
        <f t="shared" si="24"/>
        <v>3</v>
      </c>
      <c r="F51" s="171" t="s">
        <v>6</v>
      </c>
      <c r="G51" s="189">
        <v>21</v>
      </c>
      <c r="H51" s="262">
        <v>0</v>
      </c>
      <c r="I51" s="484">
        <v>0</v>
      </c>
      <c r="J51" s="174">
        <f t="shared" si="25"/>
        <v>21</v>
      </c>
    </row>
    <row r="52" spans="1:10" ht="15.75" thickBot="1" x14ac:dyDescent="0.3">
      <c r="A52" s="169" t="s">
        <v>1061</v>
      </c>
      <c r="B52" s="96">
        <v>1</v>
      </c>
      <c r="C52" s="45">
        <v>0</v>
      </c>
      <c r="D52" s="285">
        <v>2</v>
      </c>
      <c r="E52" s="178">
        <f t="shared" si="24"/>
        <v>3</v>
      </c>
      <c r="F52" s="171" t="s">
        <v>1036</v>
      </c>
      <c r="G52" s="189">
        <v>20</v>
      </c>
      <c r="H52" s="262">
        <v>0</v>
      </c>
      <c r="I52" s="484">
        <v>0</v>
      </c>
      <c r="J52" s="174">
        <f t="shared" si="25"/>
        <v>20</v>
      </c>
    </row>
    <row r="53" spans="1:10" ht="15.75" thickBot="1" x14ac:dyDescent="0.3">
      <c r="A53" s="169" t="s">
        <v>982</v>
      </c>
      <c r="B53" s="96">
        <v>2</v>
      </c>
      <c r="C53" s="45">
        <v>1</v>
      </c>
      <c r="D53" s="285">
        <v>0</v>
      </c>
      <c r="E53" s="178">
        <f t="shared" si="24"/>
        <v>3</v>
      </c>
      <c r="F53" s="171" t="s">
        <v>1003</v>
      </c>
      <c r="G53" s="189">
        <v>15</v>
      </c>
      <c r="H53" s="262">
        <v>5</v>
      </c>
      <c r="I53" s="484">
        <v>0</v>
      </c>
      <c r="J53" s="174">
        <f t="shared" si="25"/>
        <v>20</v>
      </c>
    </row>
    <row r="54" spans="1:10" ht="15.75" thickBot="1" x14ac:dyDescent="0.3">
      <c r="A54" s="169" t="s">
        <v>752</v>
      </c>
      <c r="B54" s="96">
        <v>3</v>
      </c>
      <c r="C54" s="45">
        <v>0</v>
      </c>
      <c r="D54" s="285">
        <v>0</v>
      </c>
      <c r="E54" s="178">
        <f t="shared" si="24"/>
        <v>3</v>
      </c>
      <c r="F54" s="171" t="s">
        <v>54</v>
      </c>
      <c r="G54" s="189">
        <v>10</v>
      </c>
      <c r="H54" s="262">
        <v>0</v>
      </c>
      <c r="I54" s="484">
        <v>5</v>
      </c>
      <c r="J54" s="174">
        <f t="shared" si="25"/>
        <v>15</v>
      </c>
    </row>
    <row r="55" spans="1:10" ht="15.75" thickBot="1" x14ac:dyDescent="0.3">
      <c r="A55" s="169" t="s">
        <v>6</v>
      </c>
      <c r="B55" s="96">
        <v>3</v>
      </c>
      <c r="C55" s="45">
        <v>0</v>
      </c>
      <c r="D55" s="285">
        <v>0</v>
      </c>
      <c r="E55" s="178">
        <f t="shared" si="24"/>
        <v>3</v>
      </c>
      <c r="F55" s="171" t="s">
        <v>1061</v>
      </c>
      <c r="G55" s="189">
        <v>5</v>
      </c>
      <c r="H55" s="262">
        <v>0</v>
      </c>
      <c r="I55" s="484">
        <v>10</v>
      </c>
      <c r="J55" s="174">
        <f t="shared" si="25"/>
        <v>15</v>
      </c>
    </row>
    <row r="56" spans="1:10" ht="15.75" thickBot="1" x14ac:dyDescent="0.3">
      <c r="A56" s="169" t="s">
        <v>175</v>
      </c>
      <c r="B56" s="96">
        <v>3</v>
      </c>
      <c r="C56" s="45">
        <v>0</v>
      </c>
      <c r="D56" s="285">
        <v>0</v>
      </c>
      <c r="E56" s="178">
        <f t="shared" si="24"/>
        <v>3</v>
      </c>
      <c r="F56" s="171" t="s">
        <v>982</v>
      </c>
      <c r="G56" s="189">
        <v>10</v>
      </c>
      <c r="H56" s="262">
        <v>5</v>
      </c>
      <c r="I56" s="484">
        <v>0</v>
      </c>
      <c r="J56" s="174">
        <f t="shared" si="25"/>
        <v>15</v>
      </c>
    </row>
    <row r="57" spans="1:10" ht="15.75" thickBot="1" x14ac:dyDescent="0.3">
      <c r="A57" s="169" t="s">
        <v>547</v>
      </c>
      <c r="B57" s="96">
        <v>1</v>
      </c>
      <c r="C57" s="45">
        <v>1</v>
      </c>
      <c r="D57" s="285">
        <v>0</v>
      </c>
      <c r="E57" s="178">
        <f t="shared" si="24"/>
        <v>2</v>
      </c>
      <c r="F57" s="171" t="s">
        <v>752</v>
      </c>
      <c r="G57" s="189">
        <v>15</v>
      </c>
      <c r="H57" s="262">
        <v>0</v>
      </c>
      <c r="I57" s="484">
        <v>0</v>
      </c>
      <c r="J57" s="175">
        <f t="shared" si="25"/>
        <v>15</v>
      </c>
    </row>
    <row r="58" spans="1:10" ht="15.75" thickBot="1" x14ac:dyDescent="0.3">
      <c r="A58" s="169" t="s">
        <v>194</v>
      </c>
      <c r="B58" s="96">
        <v>2</v>
      </c>
      <c r="C58" s="45">
        <v>0</v>
      </c>
      <c r="D58" s="285">
        <v>0</v>
      </c>
      <c r="E58" s="178">
        <f t="shared" si="24"/>
        <v>2</v>
      </c>
      <c r="F58" s="171" t="s">
        <v>175</v>
      </c>
      <c r="G58" s="189">
        <v>15</v>
      </c>
      <c r="H58" s="262">
        <v>0</v>
      </c>
      <c r="I58" s="484">
        <v>0</v>
      </c>
      <c r="J58" s="176">
        <f t="shared" si="25"/>
        <v>15</v>
      </c>
    </row>
    <row r="59" spans="1:10" ht="15.75" thickBot="1" x14ac:dyDescent="0.3">
      <c r="A59" s="169" t="s">
        <v>47</v>
      </c>
      <c r="B59" s="96">
        <v>1</v>
      </c>
      <c r="C59" s="45">
        <v>0</v>
      </c>
      <c r="D59" s="285">
        <v>1</v>
      </c>
      <c r="E59" s="178">
        <f t="shared" si="24"/>
        <v>2</v>
      </c>
      <c r="F59" s="171" t="s">
        <v>547</v>
      </c>
      <c r="G59" s="189">
        <v>5</v>
      </c>
      <c r="H59" s="262">
        <v>5</v>
      </c>
      <c r="I59" s="484">
        <v>0</v>
      </c>
      <c r="J59" s="174">
        <f t="shared" si="25"/>
        <v>10</v>
      </c>
    </row>
    <row r="60" spans="1:10" ht="15.75" thickBot="1" x14ac:dyDescent="0.3">
      <c r="A60" s="169" t="s">
        <v>63</v>
      </c>
      <c r="B60" s="96">
        <v>2</v>
      </c>
      <c r="C60" s="45">
        <v>0</v>
      </c>
      <c r="D60" s="285">
        <v>0</v>
      </c>
      <c r="E60" s="178">
        <f t="shared" si="24"/>
        <v>2</v>
      </c>
      <c r="F60" s="171" t="s">
        <v>194</v>
      </c>
      <c r="G60" s="189">
        <v>10</v>
      </c>
      <c r="H60" s="262">
        <v>0</v>
      </c>
      <c r="I60" s="484">
        <v>0</v>
      </c>
      <c r="J60" s="174">
        <f t="shared" si="25"/>
        <v>10</v>
      </c>
    </row>
    <row r="61" spans="1:10" ht="15.75" thickBot="1" x14ac:dyDescent="0.3">
      <c r="A61" s="169" t="s">
        <v>118</v>
      </c>
      <c r="B61" s="96">
        <v>2</v>
      </c>
      <c r="C61" s="45">
        <v>0</v>
      </c>
      <c r="D61" s="285">
        <v>0</v>
      </c>
      <c r="E61" s="178">
        <f t="shared" si="24"/>
        <v>2</v>
      </c>
      <c r="F61" s="171" t="s">
        <v>47</v>
      </c>
      <c r="G61" s="189">
        <v>5</v>
      </c>
      <c r="H61" s="262">
        <v>0</v>
      </c>
      <c r="I61" s="484">
        <v>5</v>
      </c>
      <c r="J61" s="174">
        <f t="shared" si="25"/>
        <v>10</v>
      </c>
    </row>
    <row r="62" spans="1:10" ht="15.75" thickBot="1" x14ac:dyDescent="0.3">
      <c r="A62" s="169" t="s">
        <v>293</v>
      </c>
      <c r="B62" s="96">
        <v>1</v>
      </c>
      <c r="C62" s="45">
        <v>0</v>
      </c>
      <c r="D62" s="285">
        <v>0</v>
      </c>
      <c r="E62" s="178">
        <f t="shared" si="24"/>
        <v>1</v>
      </c>
      <c r="F62" s="171" t="s">
        <v>63</v>
      </c>
      <c r="G62" s="189">
        <v>10</v>
      </c>
      <c r="H62" s="262">
        <v>0</v>
      </c>
      <c r="I62" s="484">
        <v>0</v>
      </c>
      <c r="J62" s="174">
        <f t="shared" si="25"/>
        <v>10</v>
      </c>
    </row>
    <row r="63" spans="1:10" ht="15.75" thickBot="1" x14ac:dyDescent="0.3">
      <c r="A63" s="169" t="s">
        <v>195</v>
      </c>
      <c r="B63" s="96">
        <v>1</v>
      </c>
      <c r="C63" s="45">
        <v>0</v>
      </c>
      <c r="D63" s="285">
        <v>0</v>
      </c>
      <c r="E63" s="178">
        <f t="shared" si="24"/>
        <v>1</v>
      </c>
      <c r="F63" s="171" t="s">
        <v>118</v>
      </c>
      <c r="G63" s="189">
        <v>10</v>
      </c>
      <c r="H63" s="262">
        <v>0</v>
      </c>
      <c r="I63" s="484">
        <v>0</v>
      </c>
      <c r="J63" s="174">
        <f t="shared" si="25"/>
        <v>10</v>
      </c>
    </row>
    <row r="64" spans="1:10" ht="15.75" thickBot="1" x14ac:dyDescent="0.3">
      <c r="A64" s="169" t="s">
        <v>70</v>
      </c>
      <c r="B64" s="96">
        <v>1</v>
      </c>
      <c r="C64" s="45">
        <v>0</v>
      </c>
      <c r="D64" s="285">
        <v>0</v>
      </c>
      <c r="E64" s="178">
        <f t="shared" si="24"/>
        <v>1</v>
      </c>
      <c r="F64" s="171" t="s">
        <v>70</v>
      </c>
      <c r="G64" s="189">
        <v>5</v>
      </c>
      <c r="H64" s="262">
        <v>0</v>
      </c>
      <c r="I64" s="484">
        <v>0</v>
      </c>
      <c r="J64" s="174">
        <f t="shared" si="25"/>
        <v>5</v>
      </c>
    </row>
    <row r="65" spans="1:10" ht="15.75" thickBot="1" x14ac:dyDescent="0.3">
      <c r="A65" s="169" t="s">
        <v>144</v>
      </c>
      <c r="B65" s="96">
        <v>1</v>
      </c>
      <c r="C65" s="45">
        <v>0</v>
      </c>
      <c r="D65" s="285">
        <v>0</v>
      </c>
      <c r="E65" s="178">
        <f t="shared" si="24"/>
        <v>1</v>
      </c>
      <c r="F65" s="171" t="s">
        <v>130</v>
      </c>
      <c r="G65" s="189">
        <v>5</v>
      </c>
      <c r="H65" s="262">
        <v>0</v>
      </c>
      <c r="I65" s="484">
        <v>0</v>
      </c>
      <c r="J65" s="174">
        <f t="shared" si="25"/>
        <v>5</v>
      </c>
    </row>
    <row r="66" spans="1:10" ht="15.75" thickBot="1" x14ac:dyDescent="0.3">
      <c r="A66" s="169" t="s">
        <v>5</v>
      </c>
      <c r="B66" s="96">
        <v>1</v>
      </c>
      <c r="C66" s="45">
        <v>0</v>
      </c>
      <c r="D66" s="285">
        <v>0</v>
      </c>
      <c r="E66" s="178">
        <f t="shared" si="24"/>
        <v>1</v>
      </c>
      <c r="F66" s="171" t="s">
        <v>144</v>
      </c>
      <c r="G66" s="189">
        <v>5</v>
      </c>
      <c r="H66" s="262">
        <v>0</v>
      </c>
      <c r="I66" s="484">
        <v>0</v>
      </c>
      <c r="J66" s="174">
        <f t="shared" si="25"/>
        <v>5</v>
      </c>
    </row>
    <row r="67" spans="1:10" ht="15.75" thickBot="1" x14ac:dyDescent="0.3">
      <c r="A67" s="169" t="s">
        <v>560</v>
      </c>
      <c r="B67" s="96">
        <v>0</v>
      </c>
      <c r="C67" s="45">
        <v>0</v>
      </c>
      <c r="D67" s="285">
        <v>0</v>
      </c>
      <c r="E67" s="178">
        <f t="shared" si="24"/>
        <v>0</v>
      </c>
      <c r="F67" s="171" t="s">
        <v>5</v>
      </c>
      <c r="G67" s="189">
        <v>5</v>
      </c>
      <c r="H67" s="262">
        <v>0</v>
      </c>
      <c r="I67" s="484">
        <v>0</v>
      </c>
      <c r="J67" s="174">
        <f t="shared" si="25"/>
        <v>5</v>
      </c>
    </row>
    <row r="68" spans="1:10" ht="15.75" thickBot="1" x14ac:dyDescent="0.3">
      <c r="A68" s="169" t="s">
        <v>116</v>
      </c>
      <c r="B68" s="96">
        <v>0</v>
      </c>
      <c r="C68" s="45">
        <v>0</v>
      </c>
      <c r="D68" s="285">
        <v>0</v>
      </c>
      <c r="E68" s="178">
        <f t="shared" si="24"/>
        <v>0</v>
      </c>
      <c r="F68" s="171" t="s">
        <v>560</v>
      </c>
      <c r="G68" s="189">
        <v>0</v>
      </c>
      <c r="H68" s="262">
        <v>0</v>
      </c>
      <c r="I68" s="484">
        <v>0</v>
      </c>
      <c r="J68" s="174">
        <f t="shared" si="25"/>
        <v>0</v>
      </c>
    </row>
    <row r="69" spans="1:10" ht="15.75" thickBot="1" x14ac:dyDescent="0.3">
      <c r="A69" s="169" t="s">
        <v>675</v>
      </c>
      <c r="B69" s="96">
        <v>0</v>
      </c>
      <c r="C69" s="45">
        <v>0</v>
      </c>
      <c r="D69" s="285">
        <v>0</v>
      </c>
      <c r="E69" s="178">
        <f t="shared" si="24"/>
        <v>0</v>
      </c>
      <c r="F69" s="171" t="s">
        <v>116</v>
      </c>
      <c r="G69" s="189">
        <v>0</v>
      </c>
      <c r="H69" s="262">
        <v>0</v>
      </c>
      <c r="I69" s="484">
        <v>0</v>
      </c>
      <c r="J69" s="174">
        <f t="shared" si="25"/>
        <v>0</v>
      </c>
    </row>
    <row r="70" spans="1:10" ht="15.75" thickBot="1" x14ac:dyDescent="0.3">
      <c r="A70" s="169" t="s">
        <v>768</v>
      </c>
      <c r="B70" s="96">
        <v>0</v>
      </c>
      <c r="C70" s="45">
        <v>0</v>
      </c>
      <c r="D70" s="285">
        <v>0</v>
      </c>
      <c r="E70" s="178">
        <f t="shared" si="24"/>
        <v>0</v>
      </c>
      <c r="F70" s="171" t="s">
        <v>295</v>
      </c>
      <c r="G70" s="189">
        <v>0</v>
      </c>
      <c r="H70" s="262">
        <v>0</v>
      </c>
      <c r="I70" s="484">
        <v>0</v>
      </c>
      <c r="J70" s="174">
        <f t="shared" si="25"/>
        <v>0</v>
      </c>
    </row>
    <row r="71" spans="1:10" ht="15.75" thickBot="1" x14ac:dyDescent="0.3">
      <c r="A71" s="169" t="s">
        <v>92</v>
      </c>
      <c r="B71" s="96">
        <v>0</v>
      </c>
      <c r="C71" s="45">
        <v>0</v>
      </c>
      <c r="D71" s="285">
        <v>0</v>
      </c>
      <c r="E71" s="178">
        <f t="shared" si="24"/>
        <v>0</v>
      </c>
      <c r="F71" s="171" t="s">
        <v>768</v>
      </c>
      <c r="G71" s="189">
        <v>0</v>
      </c>
      <c r="H71" s="262">
        <v>0</v>
      </c>
      <c r="I71" s="484">
        <v>0</v>
      </c>
      <c r="J71" s="174">
        <f t="shared" si="25"/>
        <v>0</v>
      </c>
    </row>
    <row r="72" spans="1:10" ht="15.75" thickBot="1" x14ac:dyDescent="0.3">
      <c r="A72" s="169" t="s">
        <v>130</v>
      </c>
      <c r="B72" s="96">
        <v>0</v>
      </c>
      <c r="C72" s="45">
        <v>0</v>
      </c>
      <c r="D72" s="285">
        <v>0</v>
      </c>
      <c r="E72" s="178">
        <f t="shared" si="24"/>
        <v>0</v>
      </c>
      <c r="F72" s="171" t="s">
        <v>92</v>
      </c>
      <c r="G72" s="189">
        <v>0</v>
      </c>
      <c r="H72" s="262">
        <v>0</v>
      </c>
      <c r="I72" s="484">
        <v>0</v>
      </c>
      <c r="J72" s="174">
        <f t="shared" si="25"/>
        <v>0</v>
      </c>
    </row>
    <row r="73" spans="1:10" ht="15.75" thickBot="1" x14ac:dyDescent="0.3">
      <c r="A73" s="169" t="s">
        <v>109</v>
      </c>
      <c r="B73" s="96">
        <v>0</v>
      </c>
      <c r="C73" s="45">
        <v>0</v>
      </c>
      <c r="D73" s="285">
        <v>0</v>
      </c>
      <c r="E73" s="178">
        <f t="shared" si="24"/>
        <v>0</v>
      </c>
      <c r="F73" s="171" t="s">
        <v>109</v>
      </c>
      <c r="G73" s="189">
        <v>0</v>
      </c>
      <c r="H73" s="262">
        <v>0</v>
      </c>
      <c r="I73" s="484">
        <v>0</v>
      </c>
      <c r="J73" s="174">
        <f t="shared" si="25"/>
        <v>0</v>
      </c>
    </row>
    <row r="74" spans="1:10" ht="15.75" thickBot="1" x14ac:dyDescent="0.3">
      <c r="A74" s="169" t="s">
        <v>105</v>
      </c>
      <c r="B74" s="96">
        <v>0</v>
      </c>
      <c r="C74" s="45">
        <v>0</v>
      </c>
      <c r="D74" s="285">
        <v>0</v>
      </c>
      <c r="E74" s="178">
        <f t="shared" si="24"/>
        <v>0</v>
      </c>
      <c r="F74" s="171" t="s">
        <v>105</v>
      </c>
      <c r="G74" s="189">
        <v>0</v>
      </c>
      <c r="H74" s="262">
        <v>0</v>
      </c>
      <c r="I74" s="484">
        <v>0</v>
      </c>
      <c r="J74" s="174">
        <f t="shared" si="25"/>
        <v>0</v>
      </c>
    </row>
    <row r="75" spans="1:10" ht="15.75" thickBot="1" x14ac:dyDescent="0.3">
      <c r="A75" s="169" t="s">
        <v>522</v>
      </c>
      <c r="B75" s="96">
        <v>0</v>
      </c>
      <c r="C75" s="45">
        <v>0</v>
      </c>
      <c r="D75" s="285">
        <v>0</v>
      </c>
      <c r="E75" s="178">
        <f t="shared" si="24"/>
        <v>0</v>
      </c>
      <c r="F75" s="171" t="s">
        <v>522</v>
      </c>
      <c r="G75" s="189">
        <v>0</v>
      </c>
      <c r="H75" s="262">
        <v>0</v>
      </c>
      <c r="I75" s="484">
        <v>0</v>
      </c>
      <c r="J75" s="174">
        <f t="shared" si="25"/>
        <v>0</v>
      </c>
    </row>
    <row r="76" spans="1:10" ht="15" customHeight="1" thickBot="1" x14ac:dyDescent="0.3">
      <c r="A76" s="169" t="s">
        <v>517</v>
      </c>
      <c r="B76" s="96">
        <v>0</v>
      </c>
      <c r="C76" s="45">
        <v>0</v>
      </c>
      <c r="D76" s="285">
        <v>0</v>
      </c>
      <c r="E76" s="178">
        <f t="shared" si="24"/>
        <v>0</v>
      </c>
      <c r="F76" s="171" t="s">
        <v>517</v>
      </c>
      <c r="G76" s="189">
        <v>0</v>
      </c>
      <c r="H76" s="262">
        <v>0</v>
      </c>
      <c r="I76" s="484">
        <v>0</v>
      </c>
      <c r="J76" s="174">
        <f t="shared" si="25"/>
        <v>0</v>
      </c>
    </row>
    <row r="77" spans="1:10" ht="15.75" thickBot="1" x14ac:dyDescent="0.3">
      <c r="A77" s="169" t="s">
        <v>676</v>
      </c>
      <c r="B77" s="96">
        <v>0</v>
      </c>
      <c r="C77" s="45">
        <v>0</v>
      </c>
      <c r="D77" s="285">
        <v>0</v>
      </c>
      <c r="E77" s="178">
        <f t="shared" si="24"/>
        <v>0</v>
      </c>
      <c r="F77" s="171" t="s">
        <v>676</v>
      </c>
      <c r="G77" s="189">
        <v>0</v>
      </c>
      <c r="H77" s="262">
        <v>0</v>
      </c>
      <c r="I77" s="484">
        <v>0</v>
      </c>
      <c r="J77" s="174">
        <f t="shared" si="25"/>
        <v>0</v>
      </c>
    </row>
    <row r="78" spans="1:10" ht="15" customHeight="1" thickBot="1" x14ac:dyDescent="0.3">
      <c r="A78" s="169" t="s">
        <v>149</v>
      </c>
      <c r="B78" s="96">
        <v>0</v>
      </c>
      <c r="C78" s="45">
        <v>0</v>
      </c>
      <c r="D78" s="285">
        <v>0</v>
      </c>
      <c r="E78" s="178">
        <f t="shared" si="24"/>
        <v>0</v>
      </c>
      <c r="F78" s="171" t="s">
        <v>149</v>
      </c>
      <c r="G78" s="189">
        <v>0</v>
      </c>
      <c r="H78" s="262">
        <v>0</v>
      </c>
      <c r="I78" s="484">
        <v>0</v>
      </c>
      <c r="J78" s="174">
        <f t="shared" si="25"/>
        <v>0</v>
      </c>
    </row>
    <row r="79" spans="1:10" ht="15.75" thickBot="1" x14ac:dyDescent="0.3">
      <c r="A79" s="169" t="s">
        <v>97</v>
      </c>
      <c r="B79" s="96">
        <v>0</v>
      </c>
      <c r="C79" s="45">
        <v>0</v>
      </c>
      <c r="D79" s="285">
        <v>0</v>
      </c>
      <c r="E79" s="178">
        <f t="shared" si="24"/>
        <v>0</v>
      </c>
      <c r="F79" s="171" t="s">
        <v>97</v>
      </c>
      <c r="G79" s="189">
        <v>0</v>
      </c>
      <c r="H79" s="262">
        <v>0</v>
      </c>
      <c r="I79" s="484">
        <v>0</v>
      </c>
      <c r="J79" s="174">
        <f t="shared" si="25"/>
        <v>0</v>
      </c>
    </row>
    <row r="80" spans="1:10" ht="15" customHeight="1" thickBot="1" x14ac:dyDescent="0.3">
      <c r="A80" s="169" t="s">
        <v>176</v>
      </c>
      <c r="B80" s="96">
        <v>0</v>
      </c>
      <c r="C80" s="45">
        <v>0</v>
      </c>
      <c r="D80" s="285">
        <v>0</v>
      </c>
      <c r="E80" s="178">
        <f t="shared" si="24"/>
        <v>0</v>
      </c>
      <c r="F80" s="171" t="s">
        <v>176</v>
      </c>
      <c r="G80" s="189">
        <v>0</v>
      </c>
      <c r="H80" s="262">
        <v>0</v>
      </c>
      <c r="I80" s="484">
        <v>0</v>
      </c>
      <c r="J80" s="174">
        <f t="shared" si="25"/>
        <v>0</v>
      </c>
    </row>
    <row r="81" spans="1:10" ht="15.75" thickBot="1" x14ac:dyDescent="0.3">
      <c r="A81" s="169" t="s">
        <v>178</v>
      </c>
      <c r="B81" s="96">
        <v>0</v>
      </c>
      <c r="C81" s="45">
        <v>0</v>
      </c>
      <c r="D81" s="285">
        <v>0</v>
      </c>
      <c r="E81" s="178">
        <f t="shared" si="24"/>
        <v>0</v>
      </c>
      <c r="F81" s="171" t="s">
        <v>178</v>
      </c>
      <c r="G81" s="189">
        <v>0</v>
      </c>
      <c r="H81" s="262">
        <v>0</v>
      </c>
      <c r="I81" s="484">
        <v>0</v>
      </c>
      <c r="J81" s="174">
        <f t="shared" si="25"/>
        <v>0</v>
      </c>
    </row>
    <row r="82" spans="1:10" ht="15.75" thickBot="1" x14ac:dyDescent="0.3">
      <c r="A82" s="169" t="s">
        <v>3</v>
      </c>
      <c r="B82" s="96">
        <f>SUM(B44:B81)</f>
        <v>59</v>
      </c>
      <c r="C82" s="45">
        <f>SUM(C44:C81)</f>
        <v>3</v>
      </c>
      <c r="D82" s="285">
        <f>SUM(D44:D81)</f>
        <v>10</v>
      </c>
      <c r="E82" s="178">
        <f t="shared" ref="E82" si="26">SUM(B82:D82)</f>
        <v>72</v>
      </c>
      <c r="F82" s="171" t="s">
        <v>3</v>
      </c>
      <c r="G82" s="189">
        <f>SUM(G44:G81)</f>
        <v>469</v>
      </c>
      <c r="H82" s="262">
        <f>SUM(H44:H81)</f>
        <v>31</v>
      </c>
      <c r="I82" s="484">
        <f>SUM(I44:I81)</f>
        <v>70</v>
      </c>
      <c r="J82" s="174">
        <f t="shared" ref="J82" si="27">SUM(G82:I82)</f>
        <v>570</v>
      </c>
    </row>
    <row r="83" spans="1:10" x14ac:dyDescent="0.25">
      <c r="A83" s="535" t="s">
        <v>95</v>
      </c>
      <c r="B83" s="554"/>
      <c r="C83" s="554"/>
      <c r="D83" s="554"/>
      <c r="E83" s="554"/>
      <c r="F83" s="554"/>
      <c r="G83" s="554"/>
      <c r="H83" s="554"/>
      <c r="I83" s="554"/>
      <c r="J83" s="554"/>
    </row>
  </sheetData>
  <sortState xmlns:xlrd2="http://schemas.microsoft.com/office/spreadsheetml/2017/richdata2" ref="F44:J81">
    <sortCondition descending="1" ref="J44:J81"/>
  </sortState>
  <mergeCells count="41">
    <mergeCell ref="AC20:AE21"/>
    <mergeCell ref="AF20:AH21"/>
    <mergeCell ref="AI20:AK21"/>
    <mergeCell ref="AL20:AN21"/>
    <mergeCell ref="K20:K21"/>
    <mergeCell ref="L20:N21"/>
    <mergeCell ref="O20:Q21"/>
    <mergeCell ref="R20:T21"/>
    <mergeCell ref="U20:W21"/>
    <mergeCell ref="AI11:AK12"/>
    <mergeCell ref="AF32:AH33"/>
    <mergeCell ref="A1:J1"/>
    <mergeCell ref="K26:K27"/>
    <mergeCell ref="L26:N27"/>
    <mergeCell ref="U11:W12"/>
    <mergeCell ref="W1:Y2"/>
    <mergeCell ref="R11:T12"/>
    <mergeCell ref="O32:Q33"/>
    <mergeCell ref="AF1:AH2"/>
    <mergeCell ref="AF11:AH12"/>
    <mergeCell ref="AC32:AE33"/>
    <mergeCell ref="T1:V2"/>
    <mergeCell ref="O11:Q12"/>
    <mergeCell ref="AC1:AE2"/>
    <mergeCell ref="AC11:AE12"/>
    <mergeCell ref="A83:J83"/>
    <mergeCell ref="AR1:AT2"/>
    <mergeCell ref="K32:K33"/>
    <mergeCell ref="L32:N33"/>
    <mergeCell ref="AO1:AQ2"/>
    <mergeCell ref="R1:S2"/>
    <mergeCell ref="K11:K12"/>
    <mergeCell ref="K1:K2"/>
    <mergeCell ref="L1:N2"/>
    <mergeCell ref="O1:Q2"/>
    <mergeCell ref="AL1:AN2"/>
    <mergeCell ref="L11:N12"/>
    <mergeCell ref="AI1:AK2"/>
    <mergeCell ref="U32:W33"/>
    <mergeCell ref="AL11:AN12"/>
    <mergeCell ref="R32:T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1310</vt:i4>
      </vt:variant>
    </vt:vector>
  </HeadingPairs>
  <TitlesOfParts>
    <vt:vector size="1324" baseType="lpstr">
      <vt:lpstr>BTH</vt:lpstr>
      <vt:lpstr>BRI</vt:lpstr>
      <vt:lpstr>EXE</vt:lpstr>
      <vt:lpstr>GLO</vt:lpstr>
      <vt:lpstr>HAR</vt:lpstr>
      <vt:lpstr>LEIC</vt:lpstr>
      <vt:lpstr>LIR</vt:lpstr>
      <vt:lpstr>NEW</vt:lpstr>
      <vt:lpstr>NOR</vt:lpstr>
      <vt:lpstr>SAL</vt:lpstr>
      <vt:lpstr>WAS</vt:lpstr>
      <vt:lpstr>WOR</vt:lpstr>
      <vt:lpstr>SAR-CH</vt:lpstr>
      <vt:lpstr>OVERALL</vt:lpstr>
      <vt:lpstr>A_Wallerpts</vt:lpstr>
      <vt:lpstr>A_Wallertries</vt:lpstr>
      <vt:lpstr>Ackermannglopts</vt:lpstr>
      <vt:lpstr>Ackermannglotries</vt:lpstr>
      <vt:lpstr>Adams_Halesarpts</vt:lpstr>
      <vt:lpstr>Adams_Halesartries</vt:lpstr>
      <vt:lpstr>Adendorffnorpts</vt:lpstr>
      <vt:lpstr>Adendorffnortries</vt:lpstr>
      <vt:lpstr>Adeolokunbripts</vt:lpstr>
      <vt:lpstr>Adeolokunbritries</vt:lpstr>
      <vt:lpstr>afoabripts</vt:lpstr>
      <vt:lpstr>afoabritries</vt:lpstr>
      <vt:lpstr>Ah_Younewpts</vt:lpstr>
      <vt:lpstr>Ah_Younewtries</vt:lpstr>
      <vt:lpstr>Aholeleiwelshpts</vt:lpstr>
      <vt:lpstr>Aholeleiwelshtries</vt:lpstr>
      <vt:lpstr>Alemannoglopts</vt:lpstr>
      <vt:lpstr>Alemannoglotries</vt:lpstr>
      <vt:lpstr>allinsonliatt</vt:lpstr>
      <vt:lpstr>allinsonligoals</vt:lpstr>
      <vt:lpstr>Armanddonpts</vt:lpstr>
      <vt:lpstr>Armanddontries</vt:lpstr>
      <vt:lpstr>Armitagewaspts</vt:lpstr>
      <vt:lpstr>Armitagewastries</vt:lpstr>
      <vt:lpstr>Armstrongbripts</vt:lpstr>
      <vt:lpstr>Armstrongbritries</vt:lpstr>
      <vt:lpstr>Armstrongjakebripts</vt:lpstr>
      <vt:lpstr>Armstrongjakebritries</vt:lpstr>
      <vt:lpstr>arscottnewatt</vt:lpstr>
      <vt:lpstr>arscottnewgls</vt:lpstr>
      <vt:lpstr>Arscottnewpts</vt:lpstr>
      <vt:lpstr>Arscottnewptscorrect</vt:lpstr>
      <vt:lpstr>Arscottnewtries</vt:lpstr>
      <vt:lpstr>Arscottnewtriescorrect</vt:lpstr>
      <vt:lpstr>Ashtonworpts</vt:lpstr>
      <vt:lpstr>Ashtonwortries</vt:lpstr>
      <vt:lpstr>Atkinsbthatt</vt:lpstr>
      <vt:lpstr>Atkinsbthgls</vt:lpstr>
      <vt:lpstr>Atkinsbthpts</vt:lpstr>
      <vt:lpstr>Atkinsbthtries</vt:lpstr>
      <vt:lpstr>atkinsliratt</vt:lpstr>
      <vt:lpstr>atkinslirgls</vt:lpstr>
      <vt:lpstr>Atkinsonglopts</vt:lpstr>
      <vt:lpstr>Atkinsonglotries</vt:lpstr>
      <vt:lpstr>atkinsonwasatt</vt:lpstr>
      <vt:lpstr>atkinsonwasgls</vt:lpstr>
      <vt:lpstr>Atkinsonwaspts</vt:lpstr>
      <vt:lpstr>Atkinsonwastries</vt:lpstr>
      <vt:lpstr>Attwoodpts</vt:lpstr>
      <vt:lpstr>baileybthatt</vt:lpstr>
      <vt:lpstr>Baileybthgls</vt:lpstr>
      <vt:lpstr>Baileybthpts</vt:lpstr>
      <vt:lpstr>Baileybthtries</vt:lpstr>
      <vt:lpstr>Baldwinharpts</vt:lpstr>
      <vt:lpstr>Baldwinhartries</vt:lpstr>
      <vt:lpstr>Balmainglopts</vt:lpstr>
      <vt:lpstr>Balmainglotries</vt:lpstr>
      <vt:lpstr>Banahanglopts</vt:lpstr>
      <vt:lpstr>Banahanglotries</vt:lpstr>
      <vt:lpstr>Barbearywaspts</vt:lpstr>
      <vt:lpstr>Barbearywastrie</vt:lpstr>
      <vt:lpstr>Barbierileipts</vt:lpstr>
      <vt:lpstr>Barbierileitries</vt:lpstr>
      <vt:lpstr>barkleywelatt</vt:lpstr>
      <vt:lpstr>barkleywelgoals</vt:lpstr>
      <vt:lpstr>Barringtonrichardpts</vt:lpstr>
      <vt:lpstr>Barringtonrichardtries</vt:lpstr>
      <vt:lpstr>Barrittbradpts</vt:lpstr>
      <vt:lpstr>Barrittbradtries</vt:lpstr>
      <vt:lpstr>Bartongloatt</vt:lpstr>
      <vt:lpstr>Bartonglogls</vt:lpstr>
      <vt:lpstr>Bartonglopts</vt:lpstr>
      <vt:lpstr>Bartonglotries</vt:lpstr>
      <vt:lpstr>Bashamnewpts</vt:lpstr>
      <vt:lpstr>Bashamnewtries</vt:lpstr>
      <vt:lpstr>Bassettwaspts</vt:lpstr>
      <vt:lpstr>Bassettwastries</vt:lpstr>
      <vt:lpstr>Batemangregpts</vt:lpstr>
      <vt:lpstr>Batemangregtries</vt:lpstr>
      <vt:lpstr>Batemanleipts</vt:lpstr>
      <vt:lpstr>Batemanleitries</vt:lpstr>
      <vt:lpstr>Batesbripts</vt:lpstr>
      <vt:lpstr>Batesbritries</vt:lpstr>
      <vt:lpstr>bathpentriesptsthisone</vt:lpstr>
      <vt:lpstr>bathpentriestriesthisone</vt:lpstr>
      <vt:lpstr>BathPts</vt:lpstr>
      <vt:lpstr>BathTries</vt:lpstr>
      <vt:lpstr>Batleyworpts</vt:lpstr>
      <vt:lpstr>Batleywortries</vt:lpstr>
      <vt:lpstr>Battyrosspts</vt:lpstr>
      <vt:lpstr>Battyrosstries</vt:lpstr>
      <vt:lpstr>Baylissbthpts</vt:lpstr>
      <vt:lpstr>Baylissbthtries</vt:lpstr>
      <vt:lpstr>Beaumontsalpts</vt:lpstr>
      <vt:lpstr>Beaumontsaltries</vt:lpstr>
      <vt:lpstr>Beckworpts</vt:lpstr>
      <vt:lpstr>Beckwortries</vt:lpstr>
      <vt:lpstr>bedlowbriatt</vt:lpstr>
      <vt:lpstr>Bedlowbrigls</vt:lpstr>
      <vt:lpstr>Bedlowbripts</vt:lpstr>
      <vt:lpstr>bedlowbritries</vt:lpstr>
      <vt:lpstr>bellleiatt</vt:lpstr>
      <vt:lpstr>Bellleigoals</vt:lpstr>
      <vt:lpstr>Bentleyjonnypts</vt:lpstr>
      <vt:lpstr>Bevingtonbstpts</vt:lpstr>
      <vt:lpstr>Bevingtonbsttries</vt:lpstr>
      <vt:lpstr>Biggarnorpts</vt:lpstr>
      <vt:lpstr>Biggarnortries</vt:lpstr>
      <vt:lpstr>Blackworpts</vt:lpstr>
      <vt:lpstr>Blackwortries</vt:lpstr>
      <vt:lpstr>Blairnewpts</vt:lpstr>
      <vt:lpstr>Blairpts</vt:lpstr>
      <vt:lpstr>Blairtries</vt:lpstr>
      <vt:lpstr>Blamirenewpts</vt:lpstr>
      <vt:lpstr>Blamirenewtries</vt:lpstr>
      <vt:lpstr>Blommetjiesleicpts</vt:lpstr>
      <vt:lpstr>Blommetjiesleictries</vt:lpstr>
      <vt:lpstr>Boschmarcelopts</vt:lpstr>
      <vt:lpstr>Boschmarcelotries</vt:lpstr>
      <vt:lpstr>boticaatt</vt:lpstr>
      <vt:lpstr>boticagoals</vt:lpstr>
      <vt:lpstr>Bowdendanpts</vt:lpstr>
      <vt:lpstr>Boycebthpts</vt:lpstr>
      <vt:lpstr>Boycebthtries</vt:lpstr>
      <vt:lpstr>Breslerworpts</vt:lpstr>
      <vt:lpstr>Breslerwortries</vt:lpstr>
      <vt:lpstr>BristolPts</vt:lpstr>
      <vt:lpstr>BristolTries</vt:lpstr>
      <vt:lpstr>Brittonwelpts</vt:lpstr>
      <vt:lpstr>Brittonweltries</vt:lpstr>
      <vt:lpstr>Brookesnoprpts</vt:lpstr>
      <vt:lpstr>Brookesnortries</vt:lpstr>
      <vt:lpstr>Brookeswaspts</vt:lpstr>
      <vt:lpstr>Brookeswastries</vt:lpstr>
      <vt:lpstr>BrophyClewslirpts</vt:lpstr>
      <vt:lpstr>BrophyClewslirtries</vt:lpstr>
      <vt:lpstr>Brown</vt:lpstr>
      <vt:lpstr>brown2</vt:lpstr>
      <vt:lpstr>Brownharpts</vt:lpstr>
      <vt:lpstr>Brownhartries</vt:lpstr>
      <vt:lpstr>brownmikepts2</vt:lpstr>
      <vt:lpstr>Brownmiketries</vt:lpstr>
      <vt:lpstr>brownmiketriescorrect</vt:lpstr>
      <vt:lpstr>bryantleiatt</vt:lpstr>
      <vt:lpstr>Bryantleigoals</vt:lpstr>
      <vt:lpstr>Buchananpts</vt:lpstr>
      <vt:lpstr>buchanantries</vt:lpstr>
      <vt:lpstr>Burgerjacquespts</vt:lpstr>
      <vt:lpstr>Burgerjacquestries</vt:lpstr>
      <vt:lpstr>Burnsfreddiepts</vt:lpstr>
      <vt:lpstr>Burnsfreddietries</vt:lpstr>
      <vt:lpstr>burnsleiatt</vt:lpstr>
      <vt:lpstr>burnsleigoals</vt:lpstr>
      <vt:lpstr>Burrellpts</vt:lpstr>
      <vt:lpstr>Burrelltries</vt:lpstr>
      <vt:lpstr>Byrnebripts</vt:lpstr>
      <vt:lpstr>Byrnebritries</vt:lpstr>
      <vt:lpstr>Caldwellexepts</vt:lpstr>
      <vt:lpstr>Caldwellexetries</vt:lpstr>
      <vt:lpstr>Caponbripts</vt:lpstr>
      <vt:lpstr>Caponbritries</vt:lpstr>
      <vt:lpstr>Capstickexepts</vt:lpstr>
      <vt:lpstr>Capstickexetries</vt:lpstr>
      <vt:lpstr>Cardallwaspts</vt:lpstr>
      <vt:lpstr>Cardallwastries</vt:lpstr>
      <vt:lpstr>Care</vt:lpstr>
      <vt:lpstr>Carepts</vt:lpstr>
      <vt:lpstr>caretries</vt:lpstr>
      <vt:lpstr>Carrerasglopts</vt:lpstr>
      <vt:lpstr>Carrerasglotries</vt:lpstr>
      <vt:lpstr>Carrick_Smithexepts</vt:lpstr>
      <vt:lpstr>Carrick_Smithexetries</vt:lpstr>
      <vt:lpstr>Catrakilisharpts</vt:lpstr>
      <vt:lpstr>Catrakilishartries</vt:lpstr>
      <vt:lpstr>chapmangloatt</vt:lpstr>
      <vt:lpstr>chapmanglogls</vt:lpstr>
      <vt:lpstr>Chapmanglopts</vt:lpstr>
      <vt:lpstr>Chapmanglotries</vt:lpstr>
      <vt:lpstr>Chessumleicpts</vt:lpstr>
      <vt:lpstr>Chessumleictries</vt:lpstr>
      <vt:lpstr>Chicknewpts</vt:lpstr>
      <vt:lpstr>Chicknewtries</vt:lpstr>
      <vt:lpstr>Chisholm_Rharpts</vt:lpstr>
      <vt:lpstr>Chisholm_Rhartries</vt:lpstr>
      <vt:lpstr>Chisholmjamesharpts</vt:lpstr>
      <vt:lpstr>Chisholmjameshartries</vt:lpstr>
      <vt:lpstr>Chudleybthpts</vt:lpstr>
      <vt:lpstr>Chudleybthtries</vt:lpstr>
      <vt:lpstr>ciprianiatt</vt:lpstr>
      <vt:lpstr>ciprianigoals</vt:lpstr>
      <vt:lpstr>Clarkbatpts</vt:lpstr>
      <vt:lpstr>Clarkbattries</vt:lpstr>
      <vt:lpstr>cleggatt</vt:lpstr>
      <vt:lpstr>clegggoals</vt:lpstr>
      <vt:lpstr>Cleggnewpts</vt:lpstr>
      <vt:lpstr>Cleggpts</vt:lpstr>
      <vt:lpstr>cleggrorytries</vt:lpstr>
      <vt:lpstr>Cleggworpts</vt:lpstr>
      <vt:lpstr>Cleggwortries</vt:lpstr>
      <vt:lpstr>cliffsalatt</vt:lpstr>
      <vt:lpstr>Cliffsalgls</vt:lpstr>
      <vt:lpstr>Cliffwillsalpts</vt:lpstr>
      <vt:lpstr>Cliffwillsaltries</vt:lpstr>
      <vt:lpstr>Coetzerglopts</vt:lpstr>
      <vt:lpstr>Coetzerglotries</vt:lpstr>
      <vt:lpstr>Cokanasigabthpts</vt:lpstr>
      <vt:lpstr>Cokanasigabthtries</vt:lpstr>
      <vt:lpstr>Cokanasigaplirpts</vt:lpstr>
      <vt:lpstr>Cokanasigaplirtries</vt:lpstr>
      <vt:lpstr>Coleleipts</vt:lpstr>
      <vt:lpstr>Coleleitries</vt:lpstr>
      <vt:lpstr>Colesnorpts</vt:lpstr>
      <vt:lpstr>Colesnortries</vt:lpstr>
      <vt:lpstr>Collettnewpts</vt:lpstr>
      <vt:lpstr>Collettnewtries</vt:lpstr>
      <vt:lpstr>Collierharpts</vt:lpstr>
      <vt:lpstr>Collierhartries</vt:lpstr>
      <vt:lpstr>Collinstompts</vt:lpstr>
      <vt:lpstr>Collinstomtries</vt:lpstr>
      <vt:lpstr>connonnewatt</vt:lpstr>
      <vt:lpstr>connonnewgoals</vt:lpstr>
      <vt:lpstr>Connonnewptscorrect</vt:lpstr>
      <vt:lpstr>Connonnewptscorrectthisone</vt:lpstr>
      <vt:lpstr>Connonnewtriescorrect</vt:lpstr>
      <vt:lpstr>Connonnewtriescorrectthsione</vt:lpstr>
      <vt:lpstr>Cookbthpts</vt:lpstr>
      <vt:lpstr>Cookbthtries</vt:lpstr>
      <vt:lpstr>Cookchrispts</vt:lpstr>
      <vt:lpstr>Cookchristries</vt:lpstr>
      <vt:lpstr>Cookelirpts</vt:lpstr>
      <vt:lpstr>Cookelirtries</vt:lpstr>
      <vt:lpstr>Cooper_Woolleysalpts</vt:lpstr>
      <vt:lpstr>Cooper_Woolleysaltries</vt:lpstr>
      <vt:lpstr>Cornishlirpts</vt:lpstr>
      <vt:lpstr>Cornishlirtries</vt:lpstr>
      <vt:lpstr>Cosgrovebripts</vt:lpstr>
      <vt:lpstr>Cosgrovebritries</vt:lpstr>
      <vt:lpstr>Courtlipts</vt:lpstr>
      <vt:lpstr>Courtlitries</vt:lpstr>
      <vt:lpstr>Cowan_Dickie_Lukepts</vt:lpstr>
      <vt:lpstr>Cowan_Dickie_Luketries</vt:lpstr>
      <vt:lpstr>Cowanblairtries</vt:lpstr>
      <vt:lpstr>Cowanjimmypts</vt:lpstr>
      <vt:lpstr>Cowanjimmytries</vt:lpstr>
      <vt:lpstr>Cowanlipts</vt:lpstr>
      <vt:lpstr>Coxworpts</vt:lpstr>
      <vt:lpstr>Coxwortries</vt:lpstr>
      <vt:lpstr>cranebripts</vt:lpstr>
      <vt:lpstr>Cranebritries</vt:lpstr>
      <vt:lpstr>Croftleipts</vt:lpstr>
      <vt:lpstr>Croftleitries</vt:lpstr>
      <vt:lpstr>Crossdalesarpts</vt:lpstr>
      <vt:lpstr>Crossdalesarptscorrect</vt:lpstr>
      <vt:lpstr>Crossdalesartries</vt:lpstr>
      <vt:lpstr>Crossdalesartriescorrect</vt:lpstr>
      <vt:lpstr>Crusewaspts</vt:lpstr>
      <vt:lpstr>Crusewastries</vt:lpstr>
      <vt:lpstr>Curry_Bsalpts</vt:lpstr>
      <vt:lpstr>Curry_Bsaltries</vt:lpstr>
      <vt:lpstr>Curry_Tsalpts</vt:lpstr>
      <vt:lpstr>Curry_Tsaltries</vt:lpstr>
      <vt:lpstr>Curtissalpts</vt:lpstr>
      <vt:lpstr>Curtissaltries</vt:lpstr>
      <vt:lpstr>Danielsbripts</vt:lpstr>
      <vt:lpstr>Danielsbritries</vt:lpstr>
      <vt:lpstr>dasdsa</vt:lpstr>
      <vt:lpstr>Davidsonnewpts</vt:lpstr>
      <vt:lpstr>Davidsonnewtries</vt:lpstr>
      <vt:lpstr>Davidworpts</vt:lpstr>
      <vt:lpstr>Davidwortries</vt:lpstr>
      <vt:lpstr>Daviesalexpts</vt:lpstr>
      <vt:lpstr>Daviesalextries</vt:lpstr>
      <vt:lpstr>Daviesexepts</vt:lpstr>
      <vt:lpstr>Daviesexetries</vt:lpstr>
      <vt:lpstr>Dawebripts</vt:lpstr>
      <vt:lpstr>Dawebritries</vt:lpstr>
      <vt:lpstr>Dawidiukglopts</vt:lpstr>
      <vt:lpstr>Dawidiukglotries</vt:lpstr>
      <vt:lpstr>de_Jagersalpts</vt:lpstr>
      <vt:lpstr>de_Jagersaltries</vt:lpstr>
      <vt:lpstr>de_Jonghwaspts</vt:lpstr>
      <vt:lpstr>de_Jonghwastries</vt:lpstr>
      <vt:lpstr>de_Klerksalgls</vt:lpstr>
      <vt:lpstr>de_Kockneilpts</vt:lpstr>
      <vt:lpstr>de_Kockneiltries</vt:lpstr>
      <vt:lpstr>deklerksalatt</vt:lpstr>
      <vt:lpstr>Delmasbthpts</vt:lpstr>
      <vt:lpstr>Delmasbthtries</vt:lpstr>
      <vt:lpstr>Dentonglopts</vt:lpstr>
      <vt:lpstr>Dentonglotries</vt:lpstr>
      <vt:lpstr>Devotoexepts</vt:lpstr>
      <vt:lpstr>Devotoexetries</vt:lpstr>
      <vt:lpstr>Diaz_Bonilla_Jleicpts</vt:lpstr>
      <vt:lpstr>Diaz_Bonilla_Jleictries</vt:lpstr>
      <vt:lpstr>Diaz_Bonillaleicgls</vt:lpstr>
      <vt:lpstr>diazbonillaleicatt</vt:lpstr>
      <vt:lpstr>Dingwallnorpts</vt:lpstr>
      <vt:lpstr>Dingwallnortries</vt:lpstr>
      <vt:lpstr>Dohertysalpts</vt:lpstr>
      <vt:lpstr>Dohertysaltries</vt:lpstr>
      <vt:lpstr>Dombrandtharpts</vt:lpstr>
      <vt:lpstr>Dombrandthartries</vt:lpstr>
      <vt:lpstr>Donnelllirpts</vt:lpstr>
      <vt:lpstr>Donnelllirtries</vt:lpstr>
      <vt:lpstr>Dorrianlipts</vt:lpstr>
      <vt:lpstr>Dorrianlitries</vt:lpstr>
      <vt:lpstr>Douglasbthpts</vt:lpstr>
      <vt:lpstr>Douglasbthtries</vt:lpstr>
      <vt:lpstr>Douglaswaspts</vt:lpstr>
      <vt:lpstr>Douglaswastries</vt:lpstr>
      <vt:lpstr>Dowsonpts</vt:lpstr>
      <vt:lpstr>Dowsontries</vt:lpstr>
      <vt:lpstr>du_Plessissarpts</vt:lpstr>
      <vt:lpstr>du_Plessissartries</vt:lpstr>
      <vt:lpstr>du_Preez__JPsalpts</vt:lpstr>
      <vt:lpstr>du_Preez__JPsaltries</vt:lpstr>
      <vt:lpstr>du_Preez_Dsalpts</vt:lpstr>
      <vt:lpstr>du_Preez_Dsaltries</vt:lpstr>
      <vt:lpstr>du_Preez_J_Lsalpts</vt:lpstr>
      <vt:lpstr>du_Preez_J_Lsaltries</vt:lpstr>
      <vt:lpstr>du_Preez_Rsalpts</vt:lpstr>
      <vt:lpstr>du_Preez_Rsaltries</vt:lpstr>
      <vt:lpstr>du_Preezworpts</vt:lpstr>
      <vt:lpstr>du_Preezwortries</vt:lpstr>
      <vt:lpstr>du_Toitbthpts</vt:lpstr>
      <vt:lpstr>du_Toitbthtries</vt:lpstr>
      <vt:lpstr>Dunnbattries</vt:lpstr>
      <vt:lpstr>Dunntompts</vt:lpstr>
      <vt:lpstr>dupreezsalatt</vt:lpstr>
      <vt:lpstr>dupreezsalgls</vt:lpstr>
      <vt:lpstr>dupreezsalpts</vt:lpstr>
      <vt:lpstr>Earleharpts</vt:lpstr>
      <vt:lpstr>Earlehartries</vt:lpstr>
      <vt:lpstr>Earlsarpts</vt:lpstr>
      <vt:lpstr>Earlsartries</vt:lpstr>
      <vt:lpstr>Eastgatewaspts</vt:lpstr>
      <vt:lpstr>Eastgatewastries</vt:lpstr>
      <vt:lpstr>edenbriatt</vt:lpstr>
      <vt:lpstr>Edenbrigls</vt:lpstr>
      <vt:lpstr>Edenbripts</vt:lpstr>
      <vt:lpstr>Edenbritries</vt:lpstr>
      <vt:lpstr>Edwardsharpts</vt:lpstr>
      <vt:lpstr>Edwardshartries</vt:lpstr>
      <vt:lpstr>Eliaharpts</vt:lpstr>
      <vt:lpstr>Eliahartries</vt:lpstr>
      <vt:lpstr>Englefieldlirpts</vt:lpstr>
      <vt:lpstr>Englefieldlirtries</vt:lpstr>
      <vt:lpstr>Esterhuizenharpts</vt:lpstr>
      <vt:lpstr>Esterhuizenhartries</vt:lpstr>
      <vt:lpstr>Evans_Lglopts</vt:lpstr>
      <vt:lpstr>Evans_Lglotries</vt:lpstr>
      <vt:lpstr>Evans_Oharpts</vt:lpstr>
      <vt:lpstr>Evans_Ohartries</vt:lpstr>
      <vt:lpstr>Evansbthpts</vt:lpstr>
      <vt:lpstr>Evansbthtries</vt:lpstr>
      <vt:lpstr>Evanshartries</vt:lpstr>
      <vt:lpstr>evanslgloatt</vt:lpstr>
      <vt:lpstr>evanslglogoals</vt:lpstr>
      <vt:lpstr>Evanswharpts</vt:lpstr>
      <vt:lpstr>Evanswillharpts</vt:lpstr>
      <vt:lpstr>Ewelsbthpts</vt:lpstr>
      <vt:lpstr>ewelsbthtries</vt:lpstr>
      <vt:lpstr>Ewersexepts</vt:lpstr>
      <vt:lpstr>Ewersexetries</vt:lpstr>
      <vt:lpstr>ExeterPts</vt:lpstr>
      <vt:lpstr>ExeterTries</vt:lpstr>
      <vt:lpstr>Faletaubthpts</vt:lpstr>
      <vt:lpstr>Faletaubthtries</vt:lpstr>
      <vt:lpstr>farrellatt</vt:lpstr>
      <vt:lpstr>farrellgoals</vt:lpstr>
      <vt:lpstr>Farrellowentries</vt:lpstr>
      <vt:lpstr>Farrellsarpts</vt:lpstr>
      <vt:lpstr>Fatialofaworpts</vt:lpstr>
      <vt:lpstr>Fatialofawortries</vt:lpstr>
      <vt:lpstr>Fearnsalpts</vt:lpstr>
      <vt:lpstr>Fearnsaltries</vt:lpstr>
      <vt:lpstr>Fenbylipts</vt:lpstr>
      <vt:lpstr>Fenbylitries</vt:lpstr>
      <vt:lpstr>Fenton_Wellsbripts</vt:lpstr>
      <vt:lpstr>Fenton_Wellsbritries</vt:lpstr>
      <vt:lpstr>Fishnorpts</vt:lpstr>
      <vt:lpstr>Fishnortries</vt:lpstr>
      <vt:lpstr>floodatt</vt:lpstr>
      <vt:lpstr>floodgoals</vt:lpstr>
      <vt:lpstr>Floodnewpts</vt:lpstr>
      <vt:lpstr>Floodnewptscorrect</vt:lpstr>
      <vt:lpstr>Floodnewtries</vt:lpstr>
      <vt:lpstr>Floodnewtriescorrect</vt:lpstr>
      <vt:lpstr>Floodtobytries</vt:lpstr>
      <vt:lpstr>Ford_Robinsonglopts</vt:lpstr>
      <vt:lpstr>Ford_Robinsonglotries</vt:lpstr>
      <vt:lpstr>fordleicpts</vt:lpstr>
      <vt:lpstr>fordleictries</vt:lpstr>
      <vt:lpstr>Fotuali_ibthpts</vt:lpstr>
      <vt:lpstr>Fotuali_ibthtries</vt:lpstr>
      <vt:lpstr>Fowlielipts</vt:lpstr>
      <vt:lpstr>Fowlietomtries</vt:lpstr>
      <vt:lpstr>Francisexepts</vt:lpstr>
      <vt:lpstr>Francisexetries</vt:lpstr>
      <vt:lpstr>Francisnorpts</vt:lpstr>
      <vt:lpstr>Francisnortries</vt:lpstr>
      <vt:lpstr>Frankslirpts</vt:lpstr>
      <vt:lpstr>Frankslirtries</vt:lpstr>
      <vt:lpstr>Franksnorpts</vt:lpstr>
      <vt:lpstr>Franksnortries</vt:lpstr>
      <vt:lpstr>Freemanexepts</vt:lpstr>
      <vt:lpstr>Freemanexetries</vt:lpstr>
      <vt:lpstr>Freemannorpts</vt:lpstr>
      <vt:lpstr>Freemannortries</vt:lpstr>
      <vt:lpstr>furbanknoratt</vt:lpstr>
      <vt:lpstr>furbanknorgls</vt:lpstr>
      <vt:lpstr>Furbanknorptscorrect</vt:lpstr>
      <vt:lpstr>Furbanknortriescorrect</vt:lpstr>
      <vt:lpstr>Furnonewpts</vt:lpstr>
      <vt:lpstr>Furnonewtries</vt:lpstr>
      <vt:lpstr>Fusernewpts</vt:lpstr>
      <vt:lpstr>Fusernewtries</vt:lpstr>
      <vt:lpstr>Galarzaglopts</vt:lpstr>
      <vt:lpstr>Galarzaglotries</vt:lpstr>
      <vt:lpstr>Galarzamarianopts</vt:lpstr>
      <vt:lpstr>Galarzamarianotries</vt:lpstr>
      <vt:lpstr>Gallaghersarpts</vt:lpstr>
      <vt:lpstr>Gallaghersartries</vt:lpstr>
      <vt:lpstr>Garveyglopts</vt:lpstr>
      <vt:lpstr>Garveyglotries</vt:lpstr>
      <vt:lpstr>Garveymattpts</vt:lpstr>
      <vt:lpstr>Garveymatttries</vt:lpstr>
      <vt:lpstr>Gaskellwaspts</vt:lpstr>
      <vt:lpstr>Gaskellwastries</vt:lpstr>
      <vt:lpstr>Georgesarpts</vt:lpstr>
      <vt:lpstr>Georgesartries</vt:lpstr>
      <vt:lpstr>Geraghtypts</vt:lpstr>
      <vt:lpstr>Ghiraldinileipts</vt:lpstr>
      <vt:lpstr>Ghiraldinileitries</vt:lpstr>
      <vt:lpstr>Gigenaleicpts</vt:lpstr>
      <vt:lpstr>Gigenaleictries</vt:lpstr>
      <vt:lpstr>Gillespienorpts</vt:lpstr>
      <vt:lpstr>Gillespienortries</vt:lpstr>
      <vt:lpstr>GloucesterPts</vt:lpstr>
      <vt:lpstr>GloucesterTries</vt:lpstr>
      <vt:lpstr>goodealexatt</vt:lpstr>
      <vt:lpstr>goodealexgoals</vt:lpstr>
      <vt:lpstr>Goodealexpts</vt:lpstr>
      <vt:lpstr>goodealextries</vt:lpstr>
      <vt:lpstr>goodeandyatt</vt:lpstr>
      <vt:lpstr>goodeandygoals</vt:lpstr>
      <vt:lpstr>Goodewaspts</vt:lpstr>
      <vt:lpstr>Goodewastries</vt:lpstr>
      <vt:lpstr>Graham__Guynewpts</vt:lpstr>
      <vt:lpstr>Graham__Guynewtries</vt:lpstr>
      <vt:lpstr>Grahamnewpts</vt:lpstr>
      <vt:lpstr>Grahamnewtries</vt:lpstr>
      <vt:lpstr>graydannyatt</vt:lpstr>
      <vt:lpstr>graydannygoals</vt:lpstr>
      <vt:lpstr>Grayexepts</vt:lpstr>
      <vt:lpstr>Grayexetries</vt:lpstr>
      <vt:lpstr>Grayjoeharpts</vt:lpstr>
      <vt:lpstr>Grayjoehartries</vt:lpstr>
      <vt:lpstr>graysonnoratt</vt:lpstr>
      <vt:lpstr>graysonnorgls</vt:lpstr>
      <vt:lpstr>Graysonnorpts</vt:lpstr>
      <vt:lpstr>Graysonnortries</vt:lpstr>
      <vt:lpstr>Greenbthpts</vt:lpstr>
      <vt:lpstr>Greenbthtries</vt:lpstr>
      <vt:lpstr>Greenharpts</vt:lpstr>
      <vt:lpstr>Greenhartries</vt:lpstr>
      <vt:lpstr>Griffithssarpts</vt:lpstr>
      <vt:lpstr>Griffithssartries</vt:lpstr>
      <vt:lpstr>Hainingbripts</vt:lpstr>
      <vt:lpstr>Hainingbritries</vt:lpstr>
      <vt:lpstr>Halaifonuaglopts</vt:lpstr>
      <vt:lpstr>Halaifonuaglotries</vt:lpstr>
      <vt:lpstr>Hammersleynewpts</vt:lpstr>
      <vt:lpstr>Hammersleynewtries</vt:lpstr>
      <vt:lpstr>Hammersleysalpts</vt:lpstr>
      <vt:lpstr>Hammersleysaltries</vt:lpstr>
      <vt:lpstr>Hammonddeanpts</vt:lpstr>
      <vt:lpstr>hanrahannoratt</vt:lpstr>
      <vt:lpstr>Hanrahannorgoals</vt:lpstr>
      <vt:lpstr>Hansonglopts</vt:lpstr>
      <vt:lpstr>Hansonglotries</vt:lpstr>
      <vt:lpstr>Hardingbripts</vt:lpstr>
      <vt:lpstr>Hardingbritries</vt:lpstr>
      <vt:lpstr>hardwickleicatt</vt:lpstr>
      <vt:lpstr>hardwickleicgls</vt:lpstr>
      <vt:lpstr>Hardwickleipts</vt:lpstr>
      <vt:lpstr>Hardwickleitries</vt:lpstr>
      <vt:lpstr>HarlequinsPts</vt:lpstr>
      <vt:lpstr>HarlequinsTries</vt:lpstr>
      <vt:lpstr>Harris_Bwaspts</vt:lpstr>
      <vt:lpstr>Harris_Bwastries</vt:lpstr>
      <vt:lpstr>Harrisglopts</vt:lpstr>
      <vt:lpstr>Harrisglotries</vt:lpstr>
      <vt:lpstr>Harrisonnorpts</vt:lpstr>
      <vt:lpstr>Harrisonnortries</vt:lpstr>
      <vt:lpstr>Harrisonsalpts</vt:lpstr>
      <vt:lpstr>Harrisonsaltris</vt:lpstr>
      <vt:lpstr>Harrisonsampts</vt:lpstr>
      <vt:lpstr>Harrisonsamtries</vt:lpstr>
      <vt:lpstr>Hartryscorers</vt:lpstr>
      <vt:lpstr>Hassell_Collinslirpts</vt:lpstr>
      <vt:lpstr>Hassell_Collinslirtries</vt:lpstr>
      <vt:lpstr>Haywoodmikepts</vt:lpstr>
      <vt:lpstr>Haywoodmiketries</vt:lpstr>
      <vt:lpstr>Heaneyworpts</vt:lpstr>
      <vt:lpstr>Heaneywortries</vt:lpstr>
      <vt:lpstr>Hearleworpts</vt:lpstr>
      <vt:lpstr>Hearlewortries</vt:lpstr>
      <vt:lpstr>Hearnlirpts</vt:lpstr>
      <vt:lpstr>Hearnlirtries</vt:lpstr>
      <vt:lpstr>Heinzglopts</vt:lpstr>
      <vt:lpstr>Heinzglotries</vt:lpstr>
      <vt:lpstr>Hendricksonexepts</vt:lpstr>
      <vt:lpstr>Hendricksonexetries</vt:lpstr>
      <vt:lpstr>Hendriksonexetries</vt:lpstr>
      <vt:lpstr>henryleicatt</vt:lpstr>
      <vt:lpstr>Henryleicgls</vt:lpstr>
      <vt:lpstr>Henryleicpts</vt:lpstr>
      <vt:lpstr>Henryleictries</vt:lpstr>
      <vt:lpstr>Hepburnexepts</vt:lpstr>
      <vt:lpstr>Hepburnexetries</vt:lpstr>
      <vt:lpstr>herronharatt</vt:lpstr>
      <vt:lpstr>Herronhargls</vt:lpstr>
      <vt:lpstr>Herronharpts</vt:lpstr>
      <vt:lpstr>Herronhartries</vt:lpstr>
      <vt:lpstr>Hill_Jexepts</vt:lpstr>
      <vt:lpstr>Hill_Jexetries</vt:lpstr>
      <vt:lpstr>Hill_Samexetries</vt:lpstr>
      <vt:lpstr>Hill_Sexepts</vt:lpstr>
      <vt:lpstr>Hill_Ssamexepts</vt:lpstr>
      <vt:lpstr>Hillsampts</vt:lpstr>
      <vt:lpstr>Hillsamtries</vt:lpstr>
      <vt:lpstr>Hillworpts</vt:lpstr>
      <vt:lpstr>Hillwortries</vt:lpstr>
      <vt:lpstr>Hodgeexeatt</vt:lpstr>
      <vt:lpstr>Hodgeexegls</vt:lpstr>
      <vt:lpstr>Hodgeexepts</vt:lpstr>
      <vt:lpstr>Hodgeexetries</vt:lpstr>
      <vt:lpstr>hodgsoncharlieatt</vt:lpstr>
      <vt:lpstr>Hodgsoncharliegoals</vt:lpstr>
      <vt:lpstr>Hodgsonnewptscorrect</vt:lpstr>
      <vt:lpstr>Hodgsonnewtriescorrect</vt:lpstr>
      <vt:lpstr>Hodgsonnorpts</vt:lpstr>
      <vt:lpstr>Hodgsonnortries</vt:lpstr>
      <vt:lpstr>hoggexeatt</vt:lpstr>
      <vt:lpstr>hoggexegls</vt:lpstr>
      <vt:lpstr>Hoggexepts</vt:lpstr>
      <vt:lpstr>Hoggexetries</vt:lpstr>
      <vt:lpstr>Holmesexepts</vt:lpstr>
      <vt:lpstr>holmesexetries</vt:lpstr>
      <vt:lpstr>Holmesleicpts</vt:lpstr>
      <vt:lpstr>Holmesleictries</vt:lpstr>
      <vt:lpstr>Homer_Tombthgoals</vt:lpstr>
      <vt:lpstr>homertombthatt</vt:lpstr>
      <vt:lpstr>Hougaardworpts</vt:lpstr>
      <vt:lpstr>Hougaardwortries</vt:lpstr>
      <vt:lpstr>Howeworpts</vt:lpstr>
      <vt:lpstr>Howewortries</vt:lpstr>
      <vt:lpstr>Hudsonglopts</vt:lpstr>
      <vt:lpstr>Hudsonglotries</vt:lpstr>
      <vt:lpstr>Hughesbripts</vt:lpstr>
      <vt:lpstr>Hughesbritries</vt:lpstr>
      <vt:lpstr>Humphreysworpts</vt:lpstr>
      <vt:lpstr>Humphreyswortries</vt:lpstr>
      <vt:lpstr>hutchinsonnoratt</vt:lpstr>
      <vt:lpstr>hutchinsonnorgls</vt:lpstr>
      <vt:lpstr>Hutchinsonnorpts</vt:lpstr>
      <vt:lpstr>Hutchinsonnortries</vt:lpstr>
      <vt:lpstr>Ibitoyeharpts</vt:lpstr>
      <vt:lpstr>Ibitoyehartries</vt:lpstr>
      <vt:lpstr>isiekwenorpts</vt:lpstr>
      <vt:lpstr>Isiekwenortries</vt:lpstr>
      <vt:lpstr>Isiekwesarpts</vt:lpstr>
      <vt:lpstr>Isiekwesartries</vt:lpstr>
      <vt:lpstr>Itojesarpts</vt:lpstr>
      <vt:lpstr>Itojesartries</vt:lpstr>
      <vt:lpstr>Jacksonlirpts</vt:lpstr>
      <vt:lpstr>Jacksonlirtries</vt:lpstr>
      <vt:lpstr>James_Lsalpts</vt:lpstr>
      <vt:lpstr>James_Lsaltries</vt:lpstr>
      <vt:lpstr>Jamesnorpts</vt:lpstr>
      <vt:lpstr>Jamesnortries</vt:lpstr>
      <vt:lpstr>Jamespts</vt:lpstr>
      <vt:lpstr>Jamessalatt</vt:lpstr>
      <vt:lpstr>Jamessalgls</vt:lpstr>
      <vt:lpstr>Jamessalpts</vt:lpstr>
      <vt:lpstr>Jamessaltries</vt:lpstr>
      <vt:lpstr>jamestries</vt:lpstr>
      <vt:lpstr>Jansevanrensburgsalpts</vt:lpstr>
      <vt:lpstr>Jansevanrensburgsaltries</vt:lpstr>
      <vt:lpstr>Johnsalpts</vt:lpstr>
      <vt:lpstr>Johnsaltries</vt:lpstr>
      <vt:lpstr>Jonesadamharpts</vt:lpstr>
      <vt:lpstr>Jonesadamhartries</vt:lpstr>
      <vt:lpstr>Josephbatpts</vt:lpstr>
      <vt:lpstr>Josephbattries</vt:lpstr>
      <vt:lpstr>josephbthatt</vt:lpstr>
      <vt:lpstr>Josephbthgls</vt:lpstr>
      <vt:lpstr>Jouberternstpts</vt:lpstr>
      <vt:lpstr>Jouberternsttries</vt:lpstr>
      <vt:lpstr>Judgebthpts</vt:lpstr>
      <vt:lpstr>Judgebthtries</vt:lpstr>
      <vt:lpstr>Kareaexepts</vt:lpstr>
      <vt:lpstr>Kareaexetries</vt:lpstr>
      <vt:lpstr>Keastexepts</vt:lpstr>
      <vt:lpstr>Keastexetries</vt:lpstr>
      <vt:lpstr>Kenninghamharpts</vt:lpstr>
      <vt:lpstr>Kenninghamhartries</vt:lpstr>
      <vt:lpstr>Kerrleicpts</vt:lpstr>
      <vt:lpstr>Kerrleictries</vt:lpstr>
      <vt:lpstr>Kibirigezachpts</vt:lpstr>
      <vt:lpstr>Kibirigezachtries</vt:lpstr>
      <vt:lpstr>Kilbridgewaspts</vt:lpstr>
      <vt:lpstr>Kilbridgewastries</vt:lpstr>
      <vt:lpstr>Kirstenexepts</vt:lpstr>
      <vt:lpstr>Kirstenexetries</vt:lpstr>
      <vt:lpstr>Kirwancarlpts</vt:lpstr>
      <vt:lpstr>Kirwancarltries</vt:lpstr>
      <vt:lpstr>Kitchenergrahamptscorrect</vt:lpstr>
      <vt:lpstr>Kitchenergrahamtriescorrect</vt:lpstr>
      <vt:lpstr>Kpoku__Jonathansarpts</vt:lpstr>
      <vt:lpstr>Kpoku__Jonathansartries</vt:lpstr>
      <vt:lpstr>Kpokusarpts</vt:lpstr>
      <vt:lpstr>Kpokusartries</vt:lpstr>
      <vt:lpstr>Krielglopts</vt:lpstr>
      <vt:lpstr>Krielglotries</vt:lpstr>
      <vt:lpstr>Kruisgeorgepts</vt:lpstr>
      <vt:lpstr>Kruisgeorgetries</vt:lpstr>
      <vt:lpstr>Lahiffmaxbthpts</vt:lpstr>
      <vt:lpstr>lahiffmaxbthtries</vt:lpstr>
      <vt:lpstr>Lamositelesarpts</vt:lpstr>
      <vt:lpstr>Lamositelesartries</vt:lpstr>
      <vt:lpstr>Lanceworpts</vt:lpstr>
      <vt:lpstr>Lancewortries</vt:lpstr>
      <vt:lpstr>Landajoharpts</vt:lpstr>
      <vt:lpstr>Landajohartries</vt:lpstr>
      <vt:lpstr>Langdonsalpts</vt:lpstr>
      <vt:lpstr>Langdonsaltries</vt:lpstr>
      <vt:lpstr>langharatt</vt:lpstr>
      <vt:lpstr>Langhargls</vt:lpstr>
      <vt:lpstr>Langharpts</vt:lpstr>
      <vt:lpstr>Langhartries</vt:lpstr>
      <vt:lpstr>lanharatt</vt:lpstr>
      <vt:lpstr>lanhargoals</vt:lpstr>
      <vt:lpstr>lanharpts</vt:lpstr>
      <vt:lpstr>Lasikeharpts</vt:lpstr>
      <vt:lpstr>Lasikehartries</vt:lpstr>
      <vt:lpstr>Launchburywaspts</vt:lpstr>
      <vt:lpstr>Launchburywastries</vt:lpstr>
      <vt:lpstr>Lavaninileicpts</vt:lpstr>
      <vt:lpstr>Lavaninileictries</vt:lpstr>
      <vt:lpstr>Lawesnorpts</vt:lpstr>
      <vt:lpstr>Lawesnortries</vt:lpstr>
      <vt:lpstr>Lawrenceworpts</vt:lpstr>
      <vt:lpstr>Lawrencewortries</vt:lpstr>
      <vt:lpstr>Laybripts</vt:lpstr>
      <vt:lpstr>Laybritries</vt:lpstr>
      <vt:lpstr>Le_Bourgeoiswaspts</vt:lpstr>
      <vt:lpstr>Le_Bourgeoiswastries</vt:lpstr>
      <vt:lpstr>LeicesterPts</vt:lpstr>
      <vt:lpstr>LeicesterTries</vt:lpstr>
      <vt:lpstr>leicspentriespts</vt:lpstr>
      <vt:lpstr>leicspentriestries</vt:lpstr>
      <vt:lpstr>Lewingtontries</vt:lpstr>
      <vt:lpstr>Lewis_</vt:lpstr>
      <vt:lpstr>Lewisdaveharpts</vt:lpstr>
      <vt:lpstr>Lewisdavehartries</vt:lpstr>
      <vt:lpstr>Lewisleicpts</vt:lpstr>
      <vt:lpstr>Lewisleictries</vt:lpstr>
      <vt:lpstr>Lewisrobpts</vt:lpstr>
      <vt:lpstr>Lewisrobtries</vt:lpstr>
      <vt:lpstr>Liebenbergleicpts</vt:lpstr>
      <vt:lpstr>Liebenbergleictries</vt:lpstr>
      <vt:lpstr>LloydBriAtt</vt:lpstr>
      <vt:lpstr>LloydBriGls</vt:lpstr>
      <vt:lpstr>LloydBriPts</vt:lpstr>
      <vt:lpstr>LloydBriTries</vt:lpstr>
      <vt:lpstr>Lloydlirpts</vt:lpstr>
      <vt:lpstr>Lloydlirtries</vt:lpstr>
      <vt:lpstr>Loaderlirpts</vt:lpstr>
      <vt:lpstr>Loaderlirtries</vt:lpstr>
      <vt:lpstr>londonirishpentriespts</vt:lpstr>
      <vt:lpstr>londonirishpentriestries</vt:lpstr>
      <vt:lpstr>LondonIrishPts</vt:lpstr>
      <vt:lpstr>LondonIrishTres</vt:lpstr>
      <vt:lpstr>LondonIrishTries</vt:lpstr>
      <vt:lpstr>Longbottomsarpts</vt:lpstr>
      <vt:lpstr>Longbottomsartries</vt:lpstr>
      <vt:lpstr>Lonsdaleexepts</vt:lpstr>
      <vt:lpstr>Lonsdaleexetries</vt:lpstr>
      <vt:lpstr>Lowkierantries</vt:lpstr>
      <vt:lpstr>Lowlipts</vt:lpstr>
      <vt:lpstr>Lowtriescorrect</vt:lpstr>
      <vt:lpstr>Ludlamnorpts</vt:lpstr>
      <vt:lpstr>Ludlamnortries</vt:lpstr>
      <vt:lpstr>Ludlowglopts</vt:lpstr>
      <vt:lpstr>Ludlowglotries</vt:lpstr>
      <vt:lpstr>Lynaghharpts</vt:lpstr>
      <vt:lpstr>Lynaghhartries</vt:lpstr>
      <vt:lpstr>Ma_afusalesipts</vt:lpstr>
      <vt:lpstr>Ma_afusalesitries</vt:lpstr>
      <vt:lpstr>MacKenziephilpts</vt:lpstr>
      <vt:lpstr>MacKenziephiltries</vt:lpstr>
      <vt:lpstr>MacLeodnewpts</vt:lpstr>
      <vt:lpstr>MacLeodnewtries</vt:lpstr>
      <vt:lpstr>Mafilirpts</vt:lpstr>
      <vt:lpstr>Mafilirtries</vt:lpstr>
      <vt:lpstr>Mafipts</vt:lpstr>
      <vt:lpstr>Maitlandsarpts</vt:lpstr>
      <vt:lpstr>Maitlandsartries</vt:lpstr>
      <vt:lpstr>malinsbriatt</vt:lpstr>
      <vt:lpstr>Malinsbrigls</vt:lpstr>
      <vt:lpstr>malinssaratt</vt:lpstr>
      <vt:lpstr>malinssargls</vt:lpstr>
      <vt:lpstr>Malinssarpts</vt:lpstr>
      <vt:lpstr>Malinssartries</vt:lpstr>
      <vt:lpstr>mallindernoratt</vt:lpstr>
      <vt:lpstr>Mallindernorgoals</vt:lpstr>
      <vt:lpstr>Mallindernorpts</vt:lpstr>
      <vt:lpstr>Mallindernortries</vt:lpstr>
      <vt:lpstr>Maraisglopts</vt:lpstr>
      <vt:lpstr>Maraisglotries</vt:lpstr>
      <vt:lpstr>marchantharatt</vt:lpstr>
      <vt:lpstr>Marchanthargls</vt:lpstr>
      <vt:lpstr>Marchantharpts</vt:lpstr>
      <vt:lpstr>Marchanthartries</vt:lpstr>
      <vt:lpstr>Marfoharpts</vt:lpstr>
      <vt:lpstr>Marfohartries</vt:lpstr>
      <vt:lpstr>Marlerharpts</vt:lpstr>
      <vt:lpstr>marlertries</vt:lpstr>
      <vt:lpstr>Marshalllirpts</vt:lpstr>
      <vt:lpstr>Marshalllirtries</vt:lpstr>
      <vt:lpstr>Marshallnorpts</vt:lpstr>
      <vt:lpstr>Marshallnortries</vt:lpstr>
      <vt:lpstr>Martinleicpts</vt:lpstr>
      <vt:lpstr>Martinleictries</vt:lpstr>
      <vt:lpstr>Matavesi__Joshnewpts</vt:lpstr>
      <vt:lpstr>Matavesi__JoshnewptsCORRECT</vt:lpstr>
      <vt:lpstr>Matavesi__Joshnewtries</vt:lpstr>
      <vt:lpstr>matavesibthatt</vt:lpstr>
      <vt:lpstr>Matavesibthgoals</vt:lpstr>
      <vt:lpstr>Matavesinewptscorrect</vt:lpstr>
      <vt:lpstr>Matavesinewtriescorrect</vt:lpstr>
      <vt:lpstr>Matthewsnorpts</vt:lpstr>
      <vt:lpstr>Matthewsnortries</vt:lpstr>
      <vt:lpstr>Maunderexepts</vt:lpstr>
      <vt:lpstr>Maunderexetries</vt:lpstr>
      <vt:lpstr>Mayhewlipts</vt:lpstr>
      <vt:lpstr>Mayhewlitries</vt:lpstr>
      <vt:lpstr>Mayleicpts</vt:lpstr>
      <vt:lpstr>Mayleictries</vt:lpstr>
      <vt:lpstr>Maytompts</vt:lpstr>
      <vt:lpstr>Maytomtries</vt:lpstr>
      <vt:lpstr>McCabebripts</vt:lpstr>
      <vt:lpstr>McCabebritrie</vt:lpstr>
      <vt:lpstr>McCaffreywelshpts</vt:lpstr>
      <vt:lpstr>McCaffreywelshtries</vt:lpstr>
      <vt:lpstr>McConnochiebthpts</vt:lpstr>
      <vt:lpstr>McConnochiebthtries</vt:lpstr>
      <vt:lpstr>McGuigannewpts</vt:lpstr>
      <vt:lpstr>McGuigannewtries</vt:lpstr>
      <vt:lpstr>mcguigansalatt</vt:lpstr>
      <vt:lpstr>McGuigansalgoals</vt:lpstr>
      <vt:lpstr>McGuigansalpts</vt:lpstr>
      <vt:lpstr>McGuigansaltries</vt:lpstr>
      <vt:lpstr>McIntyresimonpts</vt:lpstr>
      <vt:lpstr>McIntyrewastries</vt:lpstr>
      <vt:lpstr>McLeanlirpts</vt:lpstr>
      <vt:lpstr>McLeanlirtries</vt:lpstr>
      <vt:lpstr>Mcmillanlirpts</vt:lpstr>
      <vt:lpstr>Mcmillanlirtries</vt:lpstr>
      <vt:lpstr>McNallybthpts</vt:lpstr>
      <vt:lpstr>McNallybthtries</vt:lpstr>
      <vt:lpstr>McNallylirpts</vt:lpstr>
      <vt:lpstr>McNallylirtries</vt:lpstr>
      <vt:lpstr>McNultyharpts</vt:lpstr>
      <vt:lpstr>McNultyhartries</vt:lpstr>
      <vt:lpstr>Mcphilipsleipts</vt:lpstr>
      <vt:lpstr>Mcphilipsleitries</vt:lpstr>
      <vt:lpstr>Mercerbatpts</vt:lpstr>
      <vt:lpstr>Mercerbattries</vt:lpstr>
      <vt:lpstr>mikepts</vt:lpstr>
      <vt:lpstr>millerwasatt</vt:lpstr>
      <vt:lpstr>millerwasgoals</vt:lpstr>
      <vt:lpstr>Millerwaspts</vt:lpstr>
      <vt:lpstr>Millerwastries</vt:lpstr>
      <vt:lpstr>Millerworpts</vt:lpstr>
      <vt:lpstr>Millerwortries</vt:lpstr>
      <vt:lpstr>Mitchellnorpts</vt:lpstr>
      <vt:lpstr>Mitchellnortries</vt:lpstr>
      <vt:lpstr>Montgomeryworpts</vt:lpstr>
      <vt:lpstr>Montgomerywortries</vt:lpstr>
      <vt:lpstr>Montoyaleicpts</vt:lpstr>
      <vt:lpstr>Montoyaleictries</vt:lpstr>
      <vt:lpstr>Moon_Anortries</vt:lpstr>
      <vt:lpstr>Moonnorpts</vt:lpstr>
      <vt:lpstr>Mooresalpts</vt:lpstr>
      <vt:lpstr>Mooresaltries</vt:lpstr>
      <vt:lpstr>Morganbenpts</vt:lpstr>
      <vt:lpstr>Morganbentries</vt:lpstr>
      <vt:lpstr>Moriartyglopts</vt:lpstr>
      <vt:lpstr>Moriartyglotries</vt:lpstr>
      <vt:lpstr>Moronileicpts</vt:lpstr>
      <vt:lpstr>Moronileictries</vt:lpstr>
      <vt:lpstr>Morrisbenwasgtries</vt:lpstr>
      <vt:lpstr>Morrisbenwaspts</vt:lpstr>
      <vt:lpstr>Morrisglopts</vt:lpstr>
      <vt:lpstr>Morrisglotries</vt:lpstr>
      <vt:lpstr>Morrisharpts</vt:lpstr>
      <vt:lpstr>Morrishartries</vt:lpstr>
      <vt:lpstr>morrisjgloatt</vt:lpstr>
      <vt:lpstr>Morrisjglogls</vt:lpstr>
      <vt:lpstr>Morrisjglopts</vt:lpstr>
      <vt:lpstr>Morrisjglotries</vt:lpstr>
      <vt:lpstr>Morrisworpts</vt:lpstr>
      <vt:lpstr>Morriswortries</vt:lpstr>
      <vt:lpstr>Mudarikiworpts</vt:lpstr>
      <vt:lpstr>Mudarikiwortries</vt:lpstr>
      <vt:lpstr>Muirbthpts</vt:lpstr>
      <vt:lpstr>Muirbthtries</vt:lpstr>
      <vt:lpstr>Mulchronelipts</vt:lpstr>
      <vt:lpstr>MulchronelirtriesCORRECT</vt:lpstr>
      <vt:lpstr>Mulchronelitries</vt:lpstr>
      <vt:lpstr>Muldowneybripts</vt:lpstr>
      <vt:lpstr>Muldowneybritries</vt:lpstr>
      <vt:lpstr>Mulipolanewpts</vt:lpstr>
      <vt:lpstr>Mulipolanewtries</vt:lpstr>
      <vt:lpstr>Mullennewpts</vt:lpstr>
      <vt:lpstr>Mullennewtries</vt:lpstr>
      <vt:lpstr>Mummpts</vt:lpstr>
      <vt:lpstr>mummtries</vt:lpstr>
      <vt:lpstr>Murleyharpts</vt:lpstr>
      <vt:lpstr>Murleyhartries</vt:lpstr>
      <vt:lpstr>myleratt</vt:lpstr>
      <vt:lpstr>mylergoals</vt:lpstr>
      <vt:lpstr>Nagusanewpts</vt:lpstr>
      <vt:lpstr>Nagusanewtries</vt:lpstr>
      <vt:lpstr>Nahololirpts</vt:lpstr>
      <vt:lpstr>Nahololirtries</vt:lpstr>
      <vt:lpstr>Naiyaravoronorpts</vt:lpstr>
      <vt:lpstr>Naiyaravoronortries</vt:lpstr>
      <vt:lpstr>Nanaiworpts</vt:lpstr>
      <vt:lpstr>Nanaiwortries</vt:lpstr>
      <vt:lpstr>Narrawaylipts</vt:lpstr>
      <vt:lpstr>Naysarpts</vt:lpstr>
      <vt:lpstr>Naysartries</vt:lpstr>
      <vt:lpstr>Nealwaspts</vt:lpstr>
      <vt:lpstr>Nealwastries</vt:lpstr>
      <vt:lpstr>Neildsalpts</vt:lpstr>
      <vt:lpstr>Neildsaltries</vt:lpstr>
      <vt:lpstr>Noakeslipts</vt:lpstr>
      <vt:lpstr>Noakeslitries</vt:lpstr>
      <vt:lpstr>NorthamptonPts</vt:lpstr>
      <vt:lpstr>NorthamptonTries</vt:lpstr>
      <vt:lpstr>Northmoreharpts</vt:lpstr>
      <vt:lpstr>Northmorehartries</vt:lpstr>
      <vt:lpstr>Nottlirpts</vt:lpstr>
      <vt:lpstr>Nottlirtries</vt:lpstr>
      <vt:lpstr>Nowellexepts</vt:lpstr>
      <vt:lpstr>Nowellexetries</vt:lpstr>
      <vt:lpstr>O_Donnellrobtries</vt:lpstr>
      <vt:lpstr>O_Sullivanwaspts</vt:lpstr>
      <vt:lpstr>O_Sullivanwastries</vt:lpstr>
      <vt:lpstr>Obanobthpts</vt:lpstr>
      <vt:lpstr>Obanobthtries</vt:lpstr>
      <vt:lpstr>Obatoysarpts</vt:lpstr>
      <vt:lpstr>Obatoysartries</vt:lpstr>
      <vt:lpstr>Obonnanewpts</vt:lpstr>
      <vt:lpstr>Obonnanewtries</vt:lpstr>
      <vt:lpstr>Odogwuwaspts</vt:lpstr>
      <vt:lpstr>Odogwuwastries</vt:lpstr>
      <vt:lpstr>Ojotopsypts</vt:lpstr>
      <vt:lpstr>Ojotopsytries</vt:lpstr>
      <vt:lpstr>Olowofela_Jleicpts</vt:lpstr>
      <vt:lpstr>Olowofela_Jleictries</vt:lpstr>
      <vt:lpstr>Olvernorpts</vt:lpstr>
      <vt:lpstr>Olvernortriescorrect</vt:lpstr>
      <vt:lpstr>Ostrikovandreitries</vt:lpstr>
      <vt:lpstr>OStrikovsalpts</vt:lpstr>
      <vt:lpstr>Owenleicpts</vt:lpstr>
      <vt:lpstr>Owenleictries</vt:lpstr>
      <vt:lpstr>Owennewptscorrect</vt:lpstr>
      <vt:lpstr>Owennewtriescorrect</vt:lpstr>
      <vt:lpstr>PaiceDavidpts</vt:lpstr>
      <vt:lpstr>PaiceDavidptts</vt:lpstr>
      <vt:lpstr>Painternorpts</vt:lpstr>
      <vt:lpstr>Painternortries</vt:lpstr>
      <vt:lpstr>Palamobrispts</vt:lpstr>
      <vt:lpstr>Palamobristries</vt:lpstr>
      <vt:lpstr>Palframanworpts</vt:lpstr>
      <vt:lpstr>Palframanwortries</vt:lpstr>
      <vt:lpstr>Parlingexepts</vt:lpstr>
      <vt:lpstr>Parlingexetries</vt:lpstr>
      <vt:lpstr>Parlinggeoffexepts</vt:lpstr>
      <vt:lpstr>Parlingleipts</vt:lpstr>
      <vt:lpstr>Parlingleitries</vt:lpstr>
      <vt:lpstr>Paulolirpts</vt:lpstr>
      <vt:lpstr>paulolirtries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</vt:lpstr>
      <vt:lpstr>Penalty_Triesnewptscorrect</vt:lpstr>
      <vt:lpstr>Penalty_Triesnewtries</vt:lpstr>
      <vt:lpstr>Penalty_Triesnewtriescorrect</vt:lpstr>
      <vt:lpstr>Penalty_Triessaintspts</vt:lpstr>
      <vt:lpstr>Penalty_Triessaintstries</vt:lpstr>
      <vt:lpstr>Penalty_Triessalpts</vt:lpstr>
      <vt:lpstr>Penalty_Triessaltries</vt:lpstr>
      <vt:lpstr>Penalty_Trieswaspts</vt:lpstr>
      <vt:lpstr>Penalty_Trieswastries</vt:lpstr>
      <vt:lpstr>Penalty_Triesworpts</vt:lpstr>
      <vt:lpstr>Penalty_Trieswortries</vt:lpstr>
      <vt:lpstr>Pennellchristries</vt:lpstr>
      <vt:lpstr>pennellworatt</vt:lpstr>
      <vt:lpstr>Pennellworgls</vt:lpstr>
      <vt:lpstr>Pennytnewpts</vt:lpstr>
      <vt:lpstr>Pennytnewtries</vt:lpstr>
      <vt:lpstr>Phillipsjamespts</vt:lpstr>
      <vt:lpstr>Phillipsjamessalpts</vt:lpstr>
      <vt:lpstr>Phillipsjamessaltries</vt:lpstr>
      <vt:lpstr>Phillipsjamestries</vt:lpstr>
      <vt:lpstr>Pincusbripts</vt:lpstr>
      <vt:lpstr>Pincusbritries</vt:lpstr>
      <vt:lpstr>Pisikenptscorrect</vt:lpstr>
      <vt:lpstr>Pisikentriescorrect</vt:lpstr>
      <vt:lpstr>Piutau_Cbritriescorrect</vt:lpstr>
      <vt:lpstr>Piutaubripts</vt:lpstr>
      <vt:lpstr>Piutaubritries</vt:lpstr>
      <vt:lpstr>Polledriglopts</vt:lpstr>
      <vt:lpstr>Polledriglotries</vt:lpstr>
      <vt:lpstr>Poreckilirpts</vt:lpstr>
      <vt:lpstr>Poreckilirtries</vt:lpstr>
      <vt:lpstr>Porterleicpts</vt:lpstr>
      <vt:lpstr>Porterleictries</vt:lpstr>
      <vt:lpstr>Postlethwaitesalpts</vt:lpstr>
      <vt:lpstr>Postlethwaitesaltries</vt:lpstr>
      <vt:lpstr>Powellbripts</vt:lpstr>
      <vt:lpstr>Powellbritries</vt:lpstr>
      <vt:lpstr>priestlandbthatt</vt:lpstr>
      <vt:lpstr>Priestlandbthgoals</vt:lpstr>
      <vt:lpstr>Priestlandbthpts</vt:lpstr>
      <vt:lpstr>Priestlandbthtries</vt:lpstr>
      <vt:lpstr>pts</vt:lpstr>
      <vt:lpstr>Purdybripts</vt:lpstr>
      <vt:lpstr>Purdybritries</vt:lpstr>
      <vt:lpstr>quinspentriespts</vt:lpstr>
      <vt:lpstr>quinspentriestries</vt:lpstr>
      <vt:lpstr>Quirkesalpts</vt:lpstr>
      <vt:lpstr>Quirkesaltries</vt:lpstr>
      <vt:lpstr>Radradrabripts</vt:lpstr>
      <vt:lpstr>Radradrabritries</vt:lpstr>
      <vt:lpstr>Radwannewptscorrect</vt:lpstr>
      <vt:lpstr>Radwannewtriescorrect</vt:lpstr>
      <vt:lpstr>Randallbripts</vt:lpstr>
      <vt:lpstr>Randallbritries</vt:lpstr>
      <vt:lpstr>Rapava_Ruskinglopts</vt:lpstr>
      <vt:lpstr>Rapava_Ruskinglotries</vt:lpstr>
      <vt:lpstr>Ratuniyarawanorpts</vt:lpstr>
      <vt:lpstr>Ratuniyarawanortries</vt:lpstr>
      <vt:lpstr>Readsalpts</vt:lpstr>
      <vt:lpstr>Readsaltries</vt:lpstr>
      <vt:lpstr>redpathbthatt</vt:lpstr>
      <vt:lpstr>Redpathbthpts</vt:lpstr>
      <vt:lpstr>Redpathbthtries</vt:lpstr>
      <vt:lpstr>redpathsalatt</vt:lpstr>
      <vt:lpstr>redpathsalegls</vt:lpstr>
      <vt:lpstr>Rees_Zammitglopts</vt:lpstr>
      <vt:lpstr>Rees_Zammitglotries</vt:lpstr>
      <vt:lpstr>repathbthgls</vt:lpstr>
      <vt:lpstr>Reynoldsnicpts</vt:lpstr>
      <vt:lpstr>Reynoldsnictries</vt:lpstr>
      <vt:lpstr>Rhodessarpts</vt:lpstr>
      <vt:lpstr>Rhodessartries</vt:lpstr>
      <vt:lpstr>Ribbansnorpts</vt:lpstr>
      <vt:lpstr>Ribbansnortries</vt:lpstr>
      <vt:lpstr>Riederwaspts</vt:lpstr>
      <vt:lpstr>Riederwastries</vt:lpstr>
      <vt:lpstr>Robertsbthpts</vt:lpstr>
      <vt:lpstr>Robertsbthtries</vt:lpstr>
      <vt:lpstr>Robinsonnewpts</vt:lpstr>
      <vt:lpstr>Robinsonnewtries</vt:lpstr>
      <vt:lpstr>robsobwasgoals</vt:lpstr>
      <vt:lpstr>robsonwasatt</vt:lpstr>
      <vt:lpstr>Robsonwaspts</vt:lpstr>
      <vt:lpstr>Robsonwastries</vt:lpstr>
      <vt:lpstr>Roddsalpts</vt:lpstr>
      <vt:lpstr>Roddsaltries</vt:lpstr>
      <vt:lpstr>Roebucksalpts</vt:lpstr>
      <vt:lpstr>Roebucksaltries</vt:lpstr>
      <vt:lpstr>Rokodugunibatpts</vt:lpstr>
      <vt:lpstr>Rokodugunibattries</vt:lpstr>
      <vt:lpstr>Rosssalpts</vt:lpstr>
      <vt:lpstr>Rosssaltries</vt:lpstr>
      <vt:lpstr>rousetries</vt:lpstr>
      <vt:lpstr>Rowlandswaspts</vt:lpstr>
      <vt:lpstr>Rowlandswastries</vt:lpstr>
      <vt:lpstr>Rowleypaulpts</vt:lpstr>
      <vt:lpstr>Rowleypaultries</vt:lpstr>
      <vt:lpstr>Safeglopts</vt:lpstr>
      <vt:lpstr>Safeglotries</vt:lpstr>
      <vt:lpstr>SalePts</vt:lpstr>
      <vt:lpstr>Saletries</vt:lpstr>
      <vt:lpstr>Salmonexepts</vt:lpstr>
      <vt:lpstr>Salmonexetries</vt:lpstr>
      <vt:lpstr>Salvijulianpts</vt:lpstr>
      <vt:lpstr>Salvijuliantries</vt:lpstr>
      <vt:lpstr>SaracensPts</vt:lpstr>
      <vt:lpstr>SaracensTries</vt:lpstr>
      <vt:lpstr>Saulolirpts</vt:lpstr>
      <vt:lpstr>Saulolirtries</vt:lpstr>
      <vt:lpstr>schoemanbthatt</vt:lpstr>
      <vt:lpstr>Schoemanbthgls</vt:lpstr>
      <vt:lpstr>Schoemanbthpts</vt:lpstr>
      <vt:lpstr>Schoemanbthtries</vt:lpstr>
      <vt:lpstr>ScotlandWilliamsonchristianpts</vt:lpstr>
      <vt:lpstr>Scottleicpts</vt:lpstr>
      <vt:lpstr>Scottleictries</vt:lpstr>
      <vt:lpstr>Scullypts</vt:lpstr>
      <vt:lpstr>Seabrookglopts</vt:lpstr>
      <vt:lpstr>Seabrookglotries</vt:lpstr>
      <vt:lpstr>searleworatt</vt:lpstr>
      <vt:lpstr>Searleworgls</vt:lpstr>
      <vt:lpstr>Searleworpts</vt:lpstr>
      <vt:lpstr>Searlewortris</vt:lpstr>
      <vt:lpstr>Sharplesglopts</vt:lpstr>
      <vt:lpstr>Sharplesglotries</vt:lpstr>
      <vt:lpstr>Sheridaneamonnpts</vt:lpstr>
      <vt:lpstr>Sheridaneamonntries</vt:lpstr>
      <vt:lpstr>Shieldswaspts</vt:lpstr>
      <vt:lpstr>Shieldswastries</vt:lpstr>
      <vt:lpstr>Shillcockworpts</vt:lpstr>
      <vt:lpstr>Shillcockwortries</vt:lpstr>
      <vt:lpstr>shilllcockworatt</vt:lpstr>
      <vt:lpstr>shilllcockworgoals</vt:lpstr>
      <vt:lpstr>Shortexepts</vt:lpstr>
      <vt:lpstr>Shortexetries</vt:lpstr>
      <vt:lpstr>Simmonds_Sexepts</vt:lpstr>
      <vt:lpstr>Simmonds_Sexetries</vt:lpstr>
      <vt:lpstr>simmondsexeatt</vt:lpstr>
      <vt:lpstr>simmondsexegoals</vt:lpstr>
      <vt:lpstr>Simmondsexepts</vt:lpstr>
      <vt:lpstr>Simmondsexetries</vt:lpstr>
      <vt:lpstr>Simmonsleicpts</vt:lpstr>
      <vt:lpstr>Simmonsleictries</vt:lpstr>
      <vt:lpstr>Simpsonglopts</vt:lpstr>
      <vt:lpstr>Simpsonglotries</vt:lpstr>
      <vt:lpstr>Sinclairjebbpts</vt:lpstr>
      <vt:lpstr>Sinclairjebbtries</vt:lpstr>
      <vt:lpstr>Singletonworpts</vt:lpstr>
      <vt:lpstr>Singletonwortries</vt:lpstr>
      <vt:lpstr>Sirkerwaspts</vt:lpstr>
      <vt:lpstr>Sirkerwastries</vt:lpstr>
      <vt:lpstr>Skinner_Hexepts</vt:lpstr>
      <vt:lpstr>Skinner_Hexetries</vt:lpstr>
      <vt:lpstr>Skinnerexeatt</vt:lpstr>
      <vt:lpstr>Skinnerexegls</vt:lpstr>
      <vt:lpstr>Skinnerexepts</vt:lpstr>
      <vt:lpstr>Skinnerexetries</vt:lpstr>
      <vt:lpstr>sladeatt</vt:lpstr>
      <vt:lpstr>Sladeexepts</vt:lpstr>
      <vt:lpstr>Sladeexetries</vt:lpstr>
      <vt:lpstr>sladegoals</vt:lpstr>
      <vt:lpstr>Slaterglopts</vt:lpstr>
      <vt:lpstr>Slaterglotries</vt:lpstr>
      <vt:lpstr>Sleightholmenorpts</vt:lpstr>
      <vt:lpstr>Sleightholmenortries</vt:lpstr>
      <vt:lpstr>Smithharpts</vt:lpstr>
      <vt:lpstr>Smithhartries</vt:lpstr>
      <vt:lpstr>smithworatt</vt:lpstr>
      <vt:lpstr>Smithworgls</vt:lpstr>
      <vt:lpstr>Smithworpts</vt:lpstr>
      <vt:lpstr>Smithwortries</vt:lpstr>
      <vt:lpstr>Socinoglopts</vt:lpstr>
      <vt:lpstr>Socinoglotries</vt:lpstr>
      <vt:lpstr>Solomonasalpts</vt:lpstr>
      <vt:lpstr>Solomonasaltries</vt:lpstr>
      <vt:lpstr>SopoagaGLSWAS</vt:lpstr>
      <vt:lpstr>SOPOAGAWASATT</vt:lpstr>
      <vt:lpstr>Sopoagawaspts</vt:lpstr>
      <vt:lpstr>Sopoagawastries</vt:lpstr>
      <vt:lpstr>Southworthexepts</vt:lpstr>
      <vt:lpstr>Southworthexetries</vt:lpstr>
      <vt:lpstr>Sowreynewpts</vt:lpstr>
      <vt:lpstr>Sowreynewtries</vt:lpstr>
      <vt:lpstr>Spencer_Bbthpts</vt:lpstr>
      <vt:lpstr>Spencer_Bbthtries</vt:lpstr>
      <vt:lpstr>Spencer_Wbthpts</vt:lpstr>
      <vt:lpstr>Spencer_Wbthtries</vt:lpstr>
      <vt:lpstr>spencerbenatt</vt:lpstr>
      <vt:lpstr>spencerbengoals</vt:lpstr>
      <vt:lpstr>Spencerwillpts</vt:lpstr>
      <vt:lpstr>Spencerwilltries</vt:lpstr>
      <vt:lpstr>Stanleyglopts</vt:lpstr>
      <vt:lpstr>Stanleyglotries</vt:lpstr>
      <vt:lpstr>Steelelipts</vt:lpstr>
      <vt:lpstr>Steelelitries</vt:lpstr>
      <vt:lpstr>Stephensonjamestries</vt:lpstr>
      <vt:lpstr>Stevensleicpts</vt:lpstr>
      <vt:lpstr>Stevensleictries</vt:lpstr>
      <vt:lpstr>stewardleicatt</vt:lpstr>
      <vt:lpstr>Stewardleicgls</vt:lpstr>
      <vt:lpstr>Stirzakerbripts</vt:lpstr>
      <vt:lpstr>Stirzakerbritries</vt:lpstr>
      <vt:lpstr>Stokeslirpts</vt:lpstr>
      <vt:lpstr>Stokeslirtries</vt:lpstr>
      <vt:lpstr>Streetexepts</vt:lpstr>
      <vt:lpstr>Streetexetries</vt:lpstr>
      <vt:lpstr>Stuartbthpts</vt:lpstr>
      <vt:lpstr>Stuartbthtries</vt:lpstr>
      <vt:lpstr>Stuartwaspts</vt:lpstr>
      <vt:lpstr>Stuartwastries</vt:lpstr>
      <vt:lpstr>Swainstonharpts</vt:lpstr>
      <vt:lpstr>Swainstonhartries</vt:lpstr>
      <vt:lpstr>Symonsandypts</vt:lpstr>
      <vt:lpstr>Symonsharpts</vt:lpstr>
      <vt:lpstr>Symonshartries</vt:lpstr>
      <vt:lpstr>Taioneexepts</vt:lpstr>
      <vt:lpstr>Taioneexetries</vt:lpstr>
      <vt:lpstr>tapuaihargls</vt:lpstr>
      <vt:lpstr>tapuaiharglsatt</vt:lpstr>
      <vt:lpstr>tapuaiharglscorrect</vt:lpstr>
      <vt:lpstr>Tapuaiharpts</vt:lpstr>
      <vt:lpstr>Tapuaihartries</vt:lpstr>
      <vt:lpstr>Taylornorpts</vt:lpstr>
      <vt:lpstr>Taylornortries</vt:lpstr>
      <vt:lpstr>Taylortommywaspts</vt:lpstr>
      <vt:lpstr>Taylortommywastries</vt:lpstr>
      <vt:lpstr>Terryglopts</vt:lpstr>
      <vt:lpstr>Terryglotries</vt:lpstr>
      <vt:lpstr>Thacker_Cleicpts</vt:lpstr>
      <vt:lpstr>Thacker_Cleictries</vt:lpstr>
      <vt:lpstr>Thomas_Dbripts</vt:lpstr>
      <vt:lpstr>Thomas_Dbritries</vt:lpstr>
      <vt:lpstr>Thomas_DBRITRIESCORRECT</vt:lpstr>
      <vt:lpstr>Thomashenrybatpts</vt:lpstr>
      <vt:lpstr>Thomashenrybattries</vt:lpstr>
      <vt:lpstr>Thompsonleicpts</vt:lpstr>
      <vt:lpstr>Thompsonleictries</vt:lpstr>
      <vt:lpstr>thompstonetries</vt:lpstr>
      <vt:lpstr>Thorleygloptscorrect</vt:lpstr>
      <vt:lpstr>Thorleyglotriescorrect</vt:lpstr>
      <vt:lpstr>Tincknelljamespts</vt:lpstr>
      <vt:lpstr>Tincknelljamestries</vt:lpstr>
      <vt:lpstr>tindallgloatt</vt:lpstr>
      <vt:lpstr>tindallglogoals</vt:lpstr>
      <vt:lpstr>Townsendexepts</vt:lpstr>
      <vt:lpstr>Townsendexetries</vt:lpstr>
      <vt:lpstr>Trinderglopts</vt:lpstr>
      <vt:lpstr>Trindertriestries</vt:lpstr>
      <vt:lpstr>Tualanorpts</vt:lpstr>
      <vt:lpstr>TualaNORTRIES</vt:lpstr>
      <vt:lpstr>Tuitupousampts</vt:lpstr>
      <vt:lpstr>Tuitupousamtries</vt:lpstr>
      <vt:lpstr>twelvetreesatt</vt:lpstr>
      <vt:lpstr>Twelvetreesglopts</vt:lpstr>
      <vt:lpstr>Twelvetreesglotries</vt:lpstr>
      <vt:lpstr>twelvetreesgoals</vt:lpstr>
      <vt:lpstr>umagawasatt</vt:lpstr>
      <vt:lpstr>umagawasgoals</vt:lpstr>
      <vt:lpstr>Umagawaspts</vt:lpstr>
      <vt:lpstr>Umagawastries</vt:lpstr>
      <vt:lpstr>Underhillbthpts</vt:lpstr>
      <vt:lpstr>Underhillbthtries</vt:lpstr>
      <vt:lpstr>UrenBRITRIES</vt:lpstr>
      <vt:lpstr>Vailanuwaspts</vt:lpstr>
      <vt:lpstr>Vailanuwastries</vt:lpstr>
      <vt:lpstr>Van_Bredaworpts</vt:lpstr>
      <vt:lpstr>Van_Bredawortries</vt:lpstr>
      <vt:lpstr>Van_der_Merwe_Asalpts</vt:lpstr>
      <vt:lpstr>Van_der_Merwe_Asaltries</vt:lpstr>
      <vt:lpstr>van_der_Sluysexepts</vt:lpstr>
      <vt:lpstr>van_der_Sluysexetries</vt:lpstr>
      <vt:lpstr>van_Poortvlietleicpts</vt:lpstr>
      <vt:lpstr>van_Poortvlietleictries</vt:lpstr>
      <vt:lpstr>van_Rensburgsalpts</vt:lpstr>
      <vt:lpstr>van_Rensburgsaltries</vt:lpstr>
      <vt:lpstr>van_Vuurenbthpts</vt:lpstr>
      <vt:lpstr>van_Vuurenbthtries</vt:lpstr>
      <vt:lpstr>van_Wykkobusleicpts</vt:lpstr>
      <vt:lpstr>van_Wykkobusleictries</vt:lpstr>
      <vt:lpstr>van_Wyknorpts</vt:lpstr>
      <vt:lpstr>van_Wyknortries</vt:lpstr>
      <vt:lpstr>vanbredaworatt</vt:lpstr>
      <vt:lpstr>vanbredaworgls</vt:lpstr>
      <vt:lpstr>Vellacottglopts</vt:lpstr>
      <vt:lpstr>Vellacottglotries</vt:lpstr>
      <vt:lpstr>Vellacottwaspts</vt:lpstr>
      <vt:lpstr>Vellacottwastries</vt:lpstr>
      <vt:lpstr>VennerGLOPTS</vt:lpstr>
      <vt:lpstr>VennerGLOTRIES</vt:lpstr>
      <vt:lpstr>Venterworpts</vt:lpstr>
      <vt:lpstr>Venterwortries</vt:lpstr>
      <vt:lpstr>Visagieglopts</vt:lpstr>
      <vt:lpstr>Visagieglotries</vt:lpstr>
      <vt:lpstr>Vossleicpts</vt:lpstr>
      <vt:lpstr>Vossleictries</vt:lpstr>
      <vt:lpstr>Vuibripts</vt:lpstr>
      <vt:lpstr>Vuibritries</vt:lpstr>
      <vt:lpstr>Vunipola_Msaratt</vt:lpstr>
      <vt:lpstr>Vunipola_Msargls</vt:lpstr>
      <vt:lpstr>Wacokecokenewpts</vt:lpstr>
      <vt:lpstr>Wacokecokenewtries</vt:lpstr>
      <vt:lpstr>Walkerbthpts</vt:lpstr>
      <vt:lpstr>Walkerbthtries</vt:lpstr>
      <vt:lpstr>Wallerworpts</vt:lpstr>
      <vt:lpstr>Wallerwortries</vt:lpstr>
      <vt:lpstr>Walshexegls</vt:lpstr>
      <vt:lpstr>Warwickpaultries</vt:lpstr>
      <vt:lpstr>waslhexeatt</vt:lpstr>
      <vt:lpstr>WaspsPts</vt:lpstr>
      <vt:lpstr>WaspsTries</vt:lpstr>
      <vt:lpstr>Watersharpts</vt:lpstr>
      <vt:lpstr>Watershartries</vt:lpstr>
      <vt:lpstr>Watsonanthonypts</vt:lpstr>
      <vt:lpstr>Watsonanthonytries</vt:lpstr>
      <vt:lpstr>Watsonwaspts</vt:lpstr>
      <vt:lpstr>Watsonwastries</vt:lpstr>
      <vt:lpstr>Webbersalpts</vt:lpstr>
      <vt:lpstr>Webbersaltries</vt:lpstr>
      <vt:lpstr>Weirworpts</vt:lpstr>
      <vt:lpstr>Weirwortries</vt:lpstr>
      <vt:lpstr>Wellsharrypts</vt:lpstr>
      <vt:lpstr>Wellsharrytries</vt:lpstr>
      <vt:lpstr>Wellsleicpts</vt:lpstr>
      <vt:lpstr>Wellsleictries</vt:lpstr>
      <vt:lpstr>Westwaspts</vt:lpstr>
      <vt:lpstr>Westwastries</vt:lpstr>
      <vt:lpstr>White_NexeptsCORRECT</vt:lpstr>
      <vt:lpstr>White_Nicexepts</vt:lpstr>
      <vt:lpstr>White_Nicexetries</vt:lpstr>
      <vt:lpstr>Whiteharpts</vt:lpstr>
      <vt:lpstr>Whitehartries</vt:lpstr>
      <vt:lpstr>Whiteleicpts</vt:lpstr>
      <vt:lpstr>Whiteleictries</vt:lpstr>
      <vt:lpstr>whiteleysaratt</vt:lpstr>
      <vt:lpstr>Whiteleysargls</vt:lpstr>
      <vt:lpstr>Whittenpts</vt:lpstr>
      <vt:lpstr>Whittentries</vt:lpstr>
      <vt:lpstr>Wieseleicpts</vt:lpstr>
      <vt:lpstr>Wieseleictries</vt:lpstr>
      <vt:lpstr>Wigglesworthleictries</vt:lpstr>
      <vt:lpstr>Wigglesworthlicpts</vt:lpstr>
      <vt:lpstr>wilkinsonsalatt</vt:lpstr>
      <vt:lpstr>wilkinsonsalgls</vt:lpstr>
      <vt:lpstr>Wilkinsonsalpts</vt:lpstr>
      <vt:lpstr>Wilkinsonsaltries</vt:lpstr>
      <vt:lpstr>Williamsbenpts</vt:lpstr>
      <vt:lpstr>Williamsbentries</vt:lpstr>
      <vt:lpstr>Williamsexepts</vt:lpstr>
      <vt:lpstr>Williamsexetries</vt:lpstr>
      <vt:lpstr>Williamsowenpts</vt:lpstr>
      <vt:lpstr>williamssalatt</vt:lpstr>
      <vt:lpstr>williamssalgls</vt:lpstr>
      <vt:lpstr>Williamssalpts</vt:lpstr>
      <vt:lpstr>Williamssaltries</vt:lpstr>
      <vt:lpstr>Williamsworpts</vt:lpstr>
      <vt:lpstr>Williamswortries</vt:lpstr>
      <vt:lpstr>Willis_Twaspts</vt:lpstr>
      <vt:lpstr>Willis_Twastries</vt:lpstr>
      <vt:lpstr>Willisonbthpts</vt:lpstr>
      <vt:lpstr>Willisonbthtries</vt:lpstr>
      <vt:lpstr>Williswaspts</vt:lpstr>
      <vt:lpstr>Williswastries</vt:lpstr>
      <vt:lpstr>Wilson__Jamesbthpts</vt:lpstr>
      <vt:lpstr>Wilson__Jamesbthtries</vt:lpstr>
      <vt:lpstr>Wilsonnewpts</vt:lpstr>
      <vt:lpstr>Wilsonnewtries</vt:lpstr>
      <vt:lpstr>Wittyexepts</vt:lpstr>
      <vt:lpstr>Wittyexetries</vt:lpstr>
      <vt:lpstr>Wolstenholmewaspts</vt:lpstr>
      <vt:lpstr>Wolstenholmewastries</vt:lpstr>
      <vt:lpstr>Wolstenhomewaspts</vt:lpstr>
      <vt:lpstr>Woodburnexepts</vt:lpstr>
      <vt:lpstr>Woodburnexetries</vt:lpstr>
      <vt:lpstr>Woodtomptscorrect</vt:lpstr>
      <vt:lpstr>Woodtomtriescorrect</vt:lpstr>
      <vt:lpstr>Woodwardglopts</vt:lpstr>
      <vt:lpstr>Woodwardglotries</vt:lpstr>
      <vt:lpstr>Woolstencroftwaspts</vt:lpstr>
      <vt:lpstr>Woolstencroftwastries</vt:lpstr>
      <vt:lpstr>worcesterpentriespts</vt:lpstr>
      <vt:lpstr>WorcesterPts</vt:lpstr>
      <vt:lpstr>WorcesterTries</vt:lpstr>
      <vt:lpstr>worthleiatt</vt:lpstr>
      <vt:lpstr>worthleigoals</vt:lpstr>
      <vt:lpstr>Worthleipts</vt:lpstr>
      <vt:lpstr>Worthleitries</vt:lpstr>
      <vt:lpstr>Wyattexepts</vt:lpstr>
      <vt:lpstr>Wyattexetries</vt:lpstr>
      <vt:lpstr>Yardesalpts</vt:lpstr>
      <vt:lpstr>Yardesaltries</vt:lpstr>
      <vt:lpstr>Yeandlejackpts</vt:lpstr>
      <vt:lpstr>Yeandlejacktries</vt:lpstr>
      <vt:lpstr>youngsbatt</vt:lpstr>
      <vt:lpstr>Youngsbenptscorrect</vt:lpstr>
      <vt:lpstr>youngsbentries</vt:lpstr>
      <vt:lpstr>youngsbgoals</vt:lpstr>
      <vt:lpstr>youngstompts</vt:lpstr>
      <vt:lpstr>youngstomtries</vt:lpstr>
      <vt:lpstr>Youngwaspts</vt:lpstr>
      <vt:lpstr>Youngwastries</vt:lpstr>
      <vt:lpstr>Zhvaniawaspts</vt:lpstr>
      <vt:lpstr>Zhvaniawastries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2021-10-05T17:44:30Z</dcterms:modified>
</cp:coreProperties>
</file>