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6/"/>
    </mc:Choice>
  </mc:AlternateContent>
  <xr:revisionPtr revIDLastSave="1867" documentId="8_{214A7F73-C051-4A4E-A565-C7391E002D0D}" xr6:coauthVersionLast="47" xr6:coauthVersionMax="47" xr10:uidLastSave="{769F15D3-E638-41FC-8221-C14776014718}"/>
  <bookViews>
    <workbookView xWindow="-109" yWindow="-109" windowWidth="26301" windowHeight="14169" tabRatio="939" xr2:uid="{00000000-000D-0000-FFFF-FFFF00000000}"/>
  </bookViews>
  <sheets>
    <sheet name="TIER 1" sheetId="35" r:id="rId1"/>
    <sheet name="6N" sheetId="22" r:id="rId2"/>
    <sheet name="WXV" sheetId="31" r:id="rId3"/>
    <sheet name="P4" sheetId="30" r:id="rId4"/>
    <sheet name="AUS" sheetId="25" r:id="rId5"/>
    <sheet name="BRA" sheetId="34" r:id="rId6"/>
    <sheet name="CAN" sheetId="26" r:id="rId7"/>
    <sheet name="ENG" sheetId="4" r:id="rId8"/>
    <sheet name="FIJ" sheetId="23" r:id="rId9"/>
    <sheet name="FRA" sheetId="6" r:id="rId10"/>
    <sheet name="IRE" sheetId="8" r:id="rId11"/>
    <sheet name="ITA" sheetId="9" r:id="rId12"/>
    <sheet name="JPN" sheetId="24" r:id="rId13"/>
    <sheet name="NZL" sheetId="28" r:id="rId14"/>
    <sheet name="SAM" sheetId="32" r:id="rId15"/>
    <sheet name="SCO" sheetId="16" r:id="rId16"/>
    <sheet name="RSA" sheetId="29" r:id="rId17"/>
    <sheet name="ESP" sheetId="33" r:id="rId18"/>
    <sheet name="USA" sheetId="27" r:id="rId19"/>
    <sheet name="WAL" sheetId="21" r:id="rId20"/>
  </sheets>
  <externalReferences>
    <externalReference r:id="rId21"/>
  </externalReferences>
  <definedNames>
    <definedName name="A_Wallerpts">ITA!#REF!</definedName>
    <definedName name="A_Wallertries">ITA!#REF!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damsWAL6NPTS">WAL!$G$3</definedName>
    <definedName name="AdamsWAL6NTRIES">WAL!$B$3</definedName>
    <definedName name="ADAMSWALINTPTS">[1]WAL!$G$3</definedName>
    <definedName name="ADAMSWALINTTRIES">[1]WAL!$C$3</definedName>
    <definedName name="Addisonsalpts">#REF!</definedName>
    <definedName name="Addisonsaltries">#REF!</definedName>
    <definedName name="Afoaglopts">#REF!</definedName>
    <definedName name="Afoaglotries">#REF!</definedName>
    <definedName name="Agullabatpts">#REF!</definedName>
    <definedName name="Agullabattries">#REF!</definedName>
    <definedName name="Agullapts">#REF!</definedName>
    <definedName name="Agullatries">#REF!</definedName>
    <definedName name="Aholeleiwelshpts">#REF!</definedName>
    <definedName name="Aholeleiwelshtries">#REF!</definedName>
    <definedName name="Aitchisoneng6natt">ENG!$M$16</definedName>
    <definedName name="Aitchisoneng6ngls">ENG!$L$16</definedName>
    <definedName name="Aitchisonengpts">ENG!$G$3</definedName>
    <definedName name="Aitchisonengtries">ENG!$B$3</definedName>
    <definedName name="aitchisonengwxvatt">ENG!$M$37</definedName>
    <definedName name="Aitchisonengwxvgls">ENG!$L$37</definedName>
    <definedName name="aitchisonengwxvpts">ENG!$H$3</definedName>
    <definedName name="aitchisonengwxvtries">ENG!$C$3</definedName>
    <definedName name="Akiire6npts">IRE!$G$4</definedName>
    <definedName name="akiireintpts">[1]IRE!$G$3</definedName>
    <definedName name="akiireinttries">[1]IRE!$C$3</definedName>
    <definedName name="Akiiretries">IRE!$B$4</definedName>
    <definedName name="alaalatoaausintpts">[1]AUS!$G$3</definedName>
    <definedName name="alaalatoaausinttries">[1]AUS!$C$3</definedName>
    <definedName name="alamedaespwxvpts">ESP!$H$3</definedName>
    <definedName name="alamedaespwxvtries">ESP!$C$3</definedName>
    <definedName name="ALBORNOZARGINTPTS">[1]ARG!$G$3</definedName>
    <definedName name="ALBORNOZARGINTTRIES">[1]ARG!$C$3</definedName>
    <definedName name="Albornozargyratt">[1]ARG!$K$4</definedName>
    <definedName name="Albornozargyrgls">[1]ARG!$J$4</definedName>
    <definedName name="Aldcrofteng6npts">ENG!$G$4</definedName>
    <definedName name="Aldcrofteng6ntries">ENG!$B$4</definedName>
    <definedName name="aldcroftengwxvpts">ENG!$H$4</definedName>
    <definedName name="aldcroftengwxvtries">ENG!$C$4</definedName>
    <definedName name="Alemannoargintpts">[1]ARG!$G$4</definedName>
    <definedName name="Alemannoarginttries">[1]ARG!$C$4</definedName>
    <definedName name="allanita6npts">[1]ITA!$F$3</definedName>
    <definedName name="allanita6ntries">[1]ITA!$B$3</definedName>
    <definedName name="allanitaintpts">[1]ITA!$G$3</definedName>
    <definedName name="allanitainttries">[1]ITA!$C$3</definedName>
    <definedName name="Allanitayrgls">[1]ITA!$J$4</definedName>
    <definedName name="allanitsyratt">[1]ITA!$K$4</definedName>
    <definedName name="Alldrittfra6npts">[1]FRA!$F$3</definedName>
    <definedName name="Alldrittfra6ntries">[1]FRA!$B$3</definedName>
    <definedName name="Alldrittfraintpts">[1]FRA!$G$3</definedName>
    <definedName name="Alldrittfrainttries">[1]FRA!$C$3</definedName>
    <definedName name="Allenanthonypts">#REF!</definedName>
    <definedName name="Allenanthonytries">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mosaauswxvpts">AUS!$H$3</definedName>
    <definedName name="amosaauswxvtries">AUS!$C$3</definedName>
    <definedName name="Amrsaintpts">[1]RSA!$F$3</definedName>
    <definedName name="Amrsainttries">[1]RSA!$B$3</definedName>
    <definedName name="andopnwxvpts">JPN!$H$4</definedName>
    <definedName name="andopnwxvtries">JPN!$C$4</definedName>
    <definedName name="Anscombewal6npts">[1]WAL!$F$4</definedName>
    <definedName name="Anscombewal6ntries">[1]WAL!$B$4</definedName>
    <definedName name="Anscombewalattcorrect">[1]WAL!$K$4</definedName>
    <definedName name="ANSCOMBEWALINTPTS">[1]WAL!$G$4</definedName>
    <definedName name="anscombewalinttries">[1]WAL!$C$4</definedName>
    <definedName name="Anscombewalyrglscorrect">[1]WAL!$J$4</definedName>
    <definedName name="antolinezespwxvpts">ESP!$H$4</definedName>
    <definedName name="antolinezespwxvtries">ESP!$C$4</definedName>
    <definedName name="Appscanp4pts">CAN!$G$3</definedName>
    <definedName name="Appscanp4tries">CAN!$B$3</definedName>
    <definedName name="Arbeyfra6npts">FRA!$G$3</definedName>
    <definedName name="Arbeyfra6ntries">FRA!$B$3</definedName>
    <definedName name="arbeyfrawxvpts">FRA!$H$3</definedName>
    <definedName name="arbeyfrawxvtries">FRA!$C$3</definedName>
    <definedName name="arbezfra6natt">FRA!$M$15</definedName>
    <definedName name="Arbezfra6ngls">FRA!$L$15</definedName>
    <definedName name="ArbezFRA6NPTS">FRA!$G$4</definedName>
    <definedName name="ArbezFRA6NTRIES">FRA!$B$4</definedName>
    <definedName name="arbezfrawxpts">FRA!$H$4</definedName>
    <definedName name="arbezfrawxtries">FRA!$C$4</definedName>
    <definedName name="Arbezfrayratt">FRA!$M$4</definedName>
    <definedName name="Arbezfrayrgls">FRA!$L$4</definedName>
    <definedName name="Arendsersaintptscorrect">[1]RSA!$F$4</definedName>
    <definedName name="Arendsersainttriescorrect">[1]RSA!$B$4</definedName>
    <definedName name="argudoespwxvpts">ESP!$H$5</definedName>
    <definedName name="argudoespwxvtries">ESP!$C$5</definedName>
    <definedName name="Armanddonpts">#REF!</definedName>
    <definedName name="Armanddontries">#REF!</definedName>
    <definedName name="Armitageguytries">FRA!#REF!</definedName>
    <definedName name="Armtageguypts">FRA!#REF!</definedName>
    <definedName name="Arnottexepts">#REF!</definedName>
    <definedName name="Arnottexetries">#REF!</definedName>
    <definedName name="Arscottbatpts">#REF!</definedName>
    <definedName name="Arscottbattries">#REF!</definedName>
    <definedName name="Arscottlukepts">#REF!</definedName>
    <definedName name="Arscottluketries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eng6nptscorrect">[1]ENG!$G$3</definedName>
    <definedName name="Arundelleng6ntriescorrect">[1]ENG!$C$3</definedName>
    <definedName name="Arundellengintptscorrect">[1]ENG!$F$3</definedName>
    <definedName name="Arundellenginttriescorrect">[1]ENG!$B$3</definedName>
    <definedName name="AshenbruckerUSAP4pts">USA!$G$3</definedName>
    <definedName name="AshenbruckerUSAP4tries">USA!$B$3</definedName>
    <definedName name="Ashmansco6npts">[1]SCO!$F$3</definedName>
    <definedName name="Ashmansco6ntries">[1]SCO!$B$3</definedName>
    <definedName name="ashmanscointpts">[1]SCO!$G$3</definedName>
    <definedName name="ashmanscointtries">[1]SCO!$C$3</definedName>
    <definedName name="Ashtonchrisptscorrect">#REF!</definedName>
    <definedName name="Ashtonchristriescorrect">#REF!</definedName>
    <definedName name="Ashtonpts">#REF!</definedName>
    <definedName name="ashtontries">#REF!</definedName>
    <definedName name="atkindavieseng6npts">ENG!$G$6</definedName>
    <definedName name="atkindavieseng6ntries">ENG!$B$6</definedName>
    <definedName name="atkindaviesengwxvpts">ENG!$H$6</definedName>
    <definedName name="atkindaviesengwxvtries">ENG!$C$6</definedName>
    <definedName name="Atkinson_Cengyratt">[1]ENG!$K$4</definedName>
    <definedName name="Atkinson_Cengyrgls">[1]ENG!$J$4</definedName>
    <definedName name="Atkinson_Sengintpts">[1]ENG!$F$5</definedName>
    <definedName name="Atkinson_Senginttries">[1]ENG!$B$5</definedName>
    <definedName name="Atkinsonglopts">#REF!</definedName>
    <definedName name="Atkinsonglotries">#REF!</definedName>
    <definedName name="Atoniofra6npts">[1]FRA!$F$5</definedName>
    <definedName name="Atoniofra6ntries">[1]FRA!$B$5</definedName>
    <definedName name="atoniofraintpts">[1]FRA!$G$5</definedName>
    <definedName name="atoniofrainttries">[1]FRA!$C$5</definedName>
    <definedName name="Attissogbefra6npts">[1]FRA!$F$6</definedName>
    <definedName name="Attissogbefra6ntries">[1]FRA!$B$6</definedName>
    <definedName name="attissoghefraintpts">[1]FRA!$G$6</definedName>
    <definedName name="attissoghefrainttries">[1]FRA!$C$6</definedName>
    <definedName name="Attwooddavepts">#REF!</definedName>
    <definedName name="Attwooddavetries">#REF!</definedName>
    <definedName name="Attwoodpts">#REF!</definedName>
    <definedName name="attwoodtries">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#REF!</definedName>
    <definedName name="auteracnicbat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leFRA6NPTS">FRA!$G$5</definedName>
    <definedName name="BailleFRA6NTRIES">FRA!$B$5</definedName>
    <definedName name="baillefraintpts">[1]FRA!$G$7</definedName>
    <definedName name="baillefrainttries">[1]FRA!$C$7</definedName>
    <definedName name="Bainessalpts">#REF!</definedName>
    <definedName name="Bainessaltries">#REF!</definedName>
    <definedName name="Bairdire6npts">IRE!$G$5</definedName>
    <definedName name="Bairdire6ntries">IRE!$B$5</definedName>
    <definedName name="bairdireintpts">[1]IRE!$G$4</definedName>
    <definedName name="bairdireinttries">[1]IRE!$C$4</definedName>
    <definedName name="Balmainleipts">#REF!</definedName>
    <definedName name="Balmainleitries">#REF!</definedName>
    <definedName name="Baloucouneire6npts">[1]IRE!$F$5</definedName>
    <definedName name="Baloucouneire6ntries">[1]IRE!$B$5</definedName>
    <definedName name="Baloucouneireintptscorrect">[1]IRE!$G$5</definedName>
    <definedName name="Baloucouneireinttriescorrect">[1]IRE!$C$5</definedName>
    <definedName name="banahanbatatt">#REF!</definedName>
    <definedName name="banahanbatgoals">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etfrawxvpts">FRA!$H$5</definedName>
    <definedName name="banetfrawxvtries">FRA!$C$5</definedName>
    <definedName name="banhanpts">#REF!</definedName>
    <definedName name="Barassifra6npts">[1]FRA!$F$8</definedName>
    <definedName name="Barassifra6ntries">[1]FRA!$B$8</definedName>
    <definedName name="Barassifraintpts">[1]FRA!$G$8</definedName>
    <definedName name="Barassifrainttries">[1]FRA!$C$8</definedName>
    <definedName name="Barattinitapts">ITA!$G$4</definedName>
    <definedName name="Barattinitatries">ITA!$B$4</definedName>
    <definedName name="Barbierileipts">#REF!</definedName>
    <definedName name="Barbierileitries">#REF!</definedName>
    <definedName name="bargellusawxtries">USA!$C$4</definedName>
    <definedName name="bargellusawxvpts">USA!$H$4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newpts">IRE!#REF!</definedName>
    <definedName name="Barnesnewtries">IRE!#REF!</definedName>
    <definedName name="Barratfra6npts">FRA!$G$6</definedName>
    <definedName name="Barratfra6ntries">FRA!$B$6</definedName>
    <definedName name="barrefra6npts">[1]FRA!$F$9</definedName>
    <definedName name="barrefra6ntries">[1]FRA!$B$9</definedName>
    <definedName name="barrefraintpts">[1]FRA!$G$9</definedName>
    <definedName name="barrefrainttries">[1]FRA!$C$9</definedName>
    <definedName name="barretjnzlyratt">[1]NZL!$K$5</definedName>
    <definedName name="Barrett_Bnzlintpts">[1]NZL!$F$3</definedName>
    <definedName name="Barrett_Bnzlinttries">[1]NZL!$B$3</definedName>
    <definedName name="Barrett_Bnzlyrgls">[1]NZL!$J$4</definedName>
    <definedName name="Barrett_JNZLINTPTS">[1]NZL!$F$4</definedName>
    <definedName name="Barrett_JNZLINTTRIES">[1]NZL!$B$4</definedName>
    <definedName name="Barrett_Jnzlyrgls">[1]NZL!$J$5</definedName>
    <definedName name="barrettbnzlyratt">[1]NZL!$K$4</definedName>
    <definedName name="Barringtonrichardpts">#REF!</definedName>
    <definedName name="Barringtonrichardtries">#REF!</definedName>
    <definedName name="Barrittbradpts">#REF!</definedName>
    <definedName name="Barrittbradtries">#REF!</definedName>
    <definedName name="Barrownewpts">IRE!#REF!</definedName>
    <definedName name="Barrownewtries">IRE!#REF!</definedName>
    <definedName name="Bartlettsco6npts">SCO!$G$3</definedName>
    <definedName name="Bartlettsco6ntries">SCO!$B$3</definedName>
    <definedName name="bartlettscowxvpts">SCO!$H$3</definedName>
    <definedName name="bartlettscowxvtries">SCO!$C$3</definedName>
    <definedName name="BashamWAL6NPTS">WAL!$G$5</definedName>
    <definedName name="BashamWAL6NTRIES">WAL!$B$5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#REF!</definedName>
    <definedName name="Batemangregtries">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scorers">#REF!</definedName>
    <definedName name="Battyrosspts">#REF!</definedName>
    <definedName name="Battyrosstries">#REF!</definedName>
    <definedName name="baxtereng6npts">[1]ENG!$G$6</definedName>
    <definedName name="baxtereng6ntries">[1]ENG!$C$6</definedName>
    <definedName name="Baxterengintpts">[1]ENG!$F$6</definedName>
    <definedName name="Baxterenginttries">[1]ENG!$B$6</definedName>
    <definedName name="bayfieldnzlwxvpts">NZL!$H$3</definedName>
    <definedName name="bayfieldnzlwxvtries">NZL!$C$3</definedName>
    <definedName name="baylissscointpts">[1]SCO!$G$4</definedName>
    <definedName name="baylissscointtries">[1]SCO!$C$4</definedName>
    <definedName name="Bealhamire6npts">IRE!$G$6</definedName>
    <definedName name="Bealhamire6ntries">IRE!$B$6</definedName>
    <definedName name="Beaumontsalpts">#REF!</definedName>
    <definedName name="Beaumontsaltries">#REF!</definedName>
    <definedName name="Beechcharliepts">#REF!</definedName>
    <definedName name="Beechcharlietries">#REF!</definedName>
    <definedName name="BEIRNEIRE6NPTS">[1]IRE!$F$7</definedName>
    <definedName name="BEIRNEIRE6NTRIES">[1]IRE!$B$7</definedName>
    <definedName name="BEIRNEIREINTPTS">[1]IRE!$G$7</definedName>
    <definedName name="BEIRNEIREINTTRIES">[1]IRE!$C$7</definedName>
    <definedName name="Bell_C">#REF!</definedName>
    <definedName name="Bellausintpts">[1]AUS!$G$4</definedName>
    <definedName name="Bellausinttries">[1]AUS!$C$4</definedName>
    <definedName name="Bellchrispts">#REF!</definedName>
    <definedName name="Bellchristries">#REF!</definedName>
    <definedName name="bellleiatt">#REF!</definedName>
    <definedName name="Bellleigoals">#REF!</definedName>
    <definedName name="Bellleipts">#REF!</definedName>
    <definedName name="Bellleitries">#REF!</definedName>
    <definedName name="Bellnzlintpts">[1]NZL!$F$6</definedName>
    <definedName name="Bellnzlinttries">[1]NZL!$B$6</definedName>
    <definedName name="belloargintpts">[1]ARG!$G$6</definedName>
    <definedName name="belloarginttries">[1]ARG!$C$6</definedName>
    <definedName name="Belltommypts">#REF!</definedName>
    <definedName name="Belltommytries">#REF!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tleyjonnypts">#REF!</definedName>
    <definedName name="berdeufraintpts">[1]FRA!$G$10</definedName>
    <definedName name="berdeufrainttries">[1]FRA!$C$10</definedName>
    <definedName name="Bermudezcanp4pts">CAN!$G$4</definedName>
    <definedName name="Bermudezcanp4tries">CAN!$B$4</definedName>
    <definedName name="bermudezcanwxvpts">CAN!$H$4</definedName>
    <definedName name="bermudezcanwxvtries">CAN!$C$4</definedName>
    <definedName name="Berneng6npts">ENG!$G$8</definedName>
    <definedName name="Berneng6ntries">ENG!$B$8</definedName>
    <definedName name="bernengwxvpts">ENG!$H$8</definedName>
    <definedName name="bernengwxvtries">ENG!$C$8</definedName>
    <definedName name="bertranouargintpts">[1]ARG!$G$7</definedName>
    <definedName name="bertranouarginttries">[1]ARG!$C$7</definedName>
    <definedName name="Bettoniita6npts">ITA!$G$5</definedName>
    <definedName name="Bettoniita6ntries">ITA!$B$5</definedName>
    <definedName name="Bettysampts">#REF!</definedName>
    <definedName name="Bettysamtries">#REF!</definedName>
    <definedName name="Beukeboomcanp4pts">CAN!$G$5</definedName>
    <definedName name="Beukeboomcanp4tries">CAN!$B$5</definedName>
    <definedName name="bevanwal6natt">WAL!$M$12</definedName>
    <definedName name="Bevanwal6ngls">WAL!$L$4</definedName>
    <definedName name="Bevanwal6nglscorrect">WAL!$L$12</definedName>
    <definedName name="bevanwalintpts">[1]WAL!$G$7</definedName>
    <definedName name="bevanwalinttries">[1]WAL!$C$7</definedName>
    <definedName name="Bevanwalwxvatt">WAL!$M$26</definedName>
    <definedName name="Bevanwalwxvgls">WAL!$L$26</definedName>
    <definedName name="bevanwalwxvpts">WAL!$H$3</definedName>
    <definedName name="bevanwalwxvtries">WAL!$C$3</definedName>
    <definedName name="Bevanwalyratt">WAL!$M$4</definedName>
    <definedName name="Bevanwalyrgls">WAL!$L$4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ellebiarreyfra6npts">[1]FRA!$F$11</definedName>
    <definedName name="biellebiarreyfra6ntries">[1]FRA!$B$11</definedName>
    <definedName name="biellebiarreyfraintpts">[1]FRA!$G$11</definedName>
    <definedName name="biellebiarreyfrainttries">[1]FRA!$C$11</definedName>
    <definedName name="Biggarwal6natt">WAL!$V$20</definedName>
    <definedName name="biggarwal6nattcorrect">WAL!$M$15</definedName>
    <definedName name="Biggarwal6nglscorrect">WAL!$L$15</definedName>
    <definedName name="Biggarwal6ngoals">WAL!#REF!</definedName>
    <definedName name="Biggarwal6npts">WAL!$G$6</definedName>
    <definedName name="Biggarwal6ntries">WAL!$B$6</definedName>
    <definedName name="biggarwalatt">WAL!$M$7</definedName>
    <definedName name="Biggarwalgls">WAL!$L$7</definedName>
    <definedName name="biggarwalpts">WAL!$J$6</definedName>
    <definedName name="biggarwaltries">WAL!$E$6</definedName>
    <definedName name="Biggstompts">#REF!</definedName>
    <definedName name="Biggstomtries">#REF!</definedName>
    <definedName name="Bigotfra6npts">FRA!$G$8</definedName>
    <definedName name="Bigotfra6ntries">FRA!$B$8</definedName>
    <definedName name="bitonciitawxvpts">ITA!$H$5</definedName>
    <definedName name="bitonciitawxvtries">ITA!$C$5</definedName>
    <definedName name="Bitterusap4att">USA!$M$15</definedName>
    <definedName name="Bitterusap4gls">USA!$L$15</definedName>
    <definedName name="Bitterusawxvatt">USA!$M$31</definedName>
    <definedName name="Bitterusawxvgls">USA!$L$31</definedName>
    <definedName name="Bitterusayratt">USA!$M$4</definedName>
    <definedName name="Bitterusayrgls">USA!$L$4</definedName>
    <definedName name="Blairnewpts">IRE!#REF!</definedName>
    <definedName name="Blairpts">IRE!#REF!</definedName>
    <definedName name="Blairtries">IRE!#REF!</definedName>
    <definedName name="blancoespwxvpts">ESP!$H$6</definedName>
    <definedName name="blancoespwxvtries">ESP!$C$6</definedName>
    <definedName name="Bluckwal6npts">WAL!$G$4</definedName>
    <definedName name="Bluckwal6ntries">WAL!$B$4</definedName>
    <definedName name="Boagcanp4pts">CAN!$G$6</definedName>
    <definedName name="Boagcanp4tries">CAN!$B$6</definedName>
    <definedName name="boagcanwxvpts">CAN!$H$6</definedName>
    <definedName name="boagcanwxvtries">CAN!$C$6</definedName>
    <definedName name="Bodillyexepts">#REF!</definedName>
    <definedName name="Bodillyexetries">#REF!</definedName>
    <definedName name="boffelliargintpts">[1]ARG!$G$8</definedName>
    <definedName name="boffelliarginttries">[1]ARG!$C$8</definedName>
    <definedName name="bogadoargintpts">[1]ARG!$G$9</definedName>
    <definedName name="bogadoarginttries">[1]ARG!$C$9</definedName>
    <definedName name="boltonireintpts">[1]IRE!$G$8</definedName>
    <definedName name="boltonireinttries">[1]IRE!$C$8</definedName>
    <definedName name="bonarrscowxvpts">SCO!$H$5</definedName>
    <definedName name="bonarrscowxvtries">SCO!$C$5</definedName>
    <definedName name="Bonarsco6npts">SCO!$G$5</definedName>
    <definedName name="Bonarsco6ntries">SCO!$B$5</definedName>
    <definedName name="boschatt">#REF!</definedName>
    <definedName name="Boschgoals">#REF!</definedName>
    <definedName name="Boschmarcelopts">#REF!</definedName>
    <definedName name="Boschmarcelotries">#REF!</definedName>
    <definedName name="botesrsawxvpts">RSA!$H$5</definedName>
    <definedName name="botesrsawxvtries">RSA!$C$5</definedName>
    <definedName name="Bothaexepts">#REF!</definedName>
    <definedName name="Bothaexetries">#REF!</definedName>
    <definedName name="Bothamouritzpts">#REF!</definedName>
    <definedName name="Bothamouritztries">#REF!</definedName>
    <definedName name="bothamwalintpts">[1]WAL!$G$8</definedName>
    <definedName name="bothamwalinttries">[1]WAL!$C$8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ttermanengwxvpts">ENG!$H$9</definedName>
    <definedName name="bottermanengwxvtries">ENG!$C$9</definedName>
    <definedName name="Boudehent__Paulfra6npts">[1]FRA!$F$12</definedName>
    <definedName name="Boudehent__Paulfra6ntries">[1]FRA!$B$12</definedName>
    <definedName name="boudehentpaulfraintpts">[1]FRA!$G$12</definedName>
    <definedName name="boudehentpaulfrainttries">[1]FRA!$C$12</definedName>
    <definedName name="Boujardfra6npts">FRA!$G$9</definedName>
    <definedName name="Boujardfra6ntries">FRA!$B$9</definedName>
    <definedName name="Boulard_Efra6npts">FRA!$G$10</definedName>
    <definedName name="Boulard_Efra6ntries">FRA!$B$10</definedName>
    <definedName name="boulardfrawxvpts">FRA!$H$10</definedName>
    <definedName name="boulardfrawxvtries">FRA!$C$10</definedName>
    <definedName name="Bourdonfra6natt">FRA!$M$16</definedName>
    <definedName name="Bourdonfra6ngls">FRA!$L$16</definedName>
    <definedName name="Bourdonfra6npts">FRA!$G$11</definedName>
    <definedName name="Bourdonfra6ntries">FRA!$B$11</definedName>
    <definedName name="bourdonfragls">FRA!$L$5</definedName>
    <definedName name="bourdonfrawxvpts">FRA!$H$11</definedName>
    <definedName name="bourdonfrawxvtries">FRA!$C$11</definedName>
    <definedName name="Bourgeoisfra6natt">FRA!$M$17</definedName>
    <definedName name="Bourgeoisfra6ngls">FRA!$L$17</definedName>
    <definedName name="Bourgeoisfrawxvatt">FRA!$M$34</definedName>
    <definedName name="Bourgeoisfrawxvgls">FRA!$L$34</definedName>
    <definedName name="bourgeoisfrawxvtpts">FRA!$H$12</definedName>
    <definedName name="bourgeoisfrawxvtries">FRA!$C$12</definedName>
    <definedName name="Bowdendanpts">#REF!</definedName>
    <definedName name="Bowdendantries">#REF!</definedName>
    <definedName name="Bowdenpts">#REF!</definedName>
    <definedName name="bowdentries">#REF!</definedName>
    <definedName name="Bowernzlintpts">[1]NZL!$F$7</definedName>
    <definedName name="Bowernzlinttries">[1]NZL!$B$7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leyglopts">#REF!</definedName>
    <definedName name="Braleyglotries">#REF!</definedName>
    <definedName name="Braleyita6npts">ITA!$G$6</definedName>
    <definedName name="Braleyita6ntries">ITA!$B$6</definedName>
    <definedName name="Brau_Boiriefra6npts">[1]FRA!$F$14</definedName>
    <definedName name="Brau_Boiriefra6ntries">[1]FRA!$B$14</definedName>
    <definedName name="Brau_Boiriefraintpts">[1]FRA!$G$14</definedName>
    <definedName name="Brau_Boiriefrainttries">[1]FRA!$C$14</definedName>
    <definedName name="breachengwxvpts">ENG!$H$10</definedName>
    <definedName name="breachengwxvtries">ENG!$C$10</definedName>
    <definedName name="brebnerholdenscowxvpts">SCO!$H$6</definedName>
    <definedName name="brebnerholdenscowxvtries">SCO!$C$6</definedName>
    <definedName name="Breenire6natt">IRE!$M$12</definedName>
    <definedName name="Breenire6nattcorrect">IRE!$M$14</definedName>
    <definedName name="Breenire6ngls">IRE!$L$12</definedName>
    <definedName name="Breenire6nglscorrect">IRE!$L$14</definedName>
    <definedName name="breenirewxvpts">IRE!$H$5</definedName>
    <definedName name="breenirewxvtries">IRE!$C$5</definedName>
    <definedName name="Bremner_AnzlP4pts">NZL!$G$4</definedName>
    <definedName name="Bremner_AnzlP4tries">NZL!$B$4</definedName>
    <definedName name="Bremner_CnzlP4pts">NZL!$G$5</definedName>
    <definedName name="Bremner_CnzlP4tries">NZL!$B$5</definedName>
    <definedName name="brennanfraintpts">[1]FRA!$G$15</definedName>
    <definedName name="brennanfrainttries">[1]FRA!$C$15</definedName>
    <definedName name="Brexita6ntries">[1]ITA!$B$5</definedName>
    <definedName name="brexitaintpts">[1]ITA!$G$5</definedName>
    <definedName name="brexitainttries">[1]ITA!$C$5</definedName>
    <definedName name="Brexits6npts">[1]ITA!$F$5</definedName>
    <definedName name="Briggsleipts">#REF!</definedName>
    <definedName name="Briggsleitries">#REF!</definedName>
    <definedName name="Bristowleipts">#REF!</definedName>
    <definedName name="Bristowleitries">#REF!</definedName>
    <definedName name="Britspts">#REF!</definedName>
    <definedName name="britstris">#REF!</definedName>
    <definedName name="Brittonwelpts">#REF!</definedName>
    <definedName name="Brittonweltries">#REF!</definedName>
    <definedName name="brockengwxvpts">ENG!$H$11</definedName>
    <definedName name="brockengwxvtries">ENG!$C$11</definedName>
    <definedName name="brodyusawxvpts">USA!$H$6</definedName>
    <definedName name="brodyusawxvtries">USA!$C$6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#REF!</definedName>
    <definedName name="Brownedanieltries">#REF!</definedName>
    <definedName name="browneng6npts">ENG!#REF!</definedName>
    <definedName name="browneng6ntries">ENG!#REF!</definedName>
    <definedName name="Brownepetepts">#REF!</definedName>
    <definedName name="Brownepetetries">#REF!</definedName>
    <definedName name="brownexepts">#REF!</definedName>
    <definedName name="brownexetries">#REF!</definedName>
    <definedName name="brownkellypts">#REF!</definedName>
    <definedName name="brownkellytries">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#REF!</definedName>
    <definedName name="brownsartries">#REF!</definedName>
    <definedName name="Brunoita6ntries">[1]ITA!$B$6</definedName>
    <definedName name="brunoitaintpts">[1]ITA!$G$6</definedName>
    <definedName name="brunoitainttries">[1]ITA!$C$6</definedName>
    <definedName name="Brunoits6npts">[1]ITA!$F$6</definedName>
    <definedName name="BruntnzlP4pts">NZL!$G$6</definedName>
    <definedName name="BruntnzlP4tries">NZL!$B$6</definedName>
    <definedName name="bruntnzlwxvpts">NZL!$H$6</definedName>
    <definedName name="bruntnzlwxvtries">NZL!$C$6</definedName>
    <definedName name="Buchananpts">ENG!#REF!</definedName>
    <definedName name="buchanantries">ENG!#REF!</definedName>
    <definedName name="Buckleysalpts">#REF!</definedName>
    <definedName name="Buckleysaltries">#REF!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kesco6npts">[1]SCO!$F$6</definedName>
    <definedName name="Burkesco6ntries">[1]SCO!$B$6</definedName>
    <definedName name="Burkescointpts">[1]SCO!$G$6</definedName>
    <definedName name="Burkescointtries">[1]SCO!$C$6</definedName>
    <definedName name="Burkescoyratt">[1]SCO!$K$4</definedName>
    <definedName name="Burkescoyrgls">[1]SCO!$J$4</definedName>
    <definedName name="Burnsbillypts">#REF!</definedName>
    <definedName name="Burnsbillytries">#REF!</definedName>
    <definedName name="burnsfreddieatt">#REF!</definedName>
    <definedName name="burnsfreddiegoals">#REF!</definedName>
    <definedName name="Burnsfreddiepts">#REF!</definedName>
    <definedName name="Burnsfreddietries">#REF!</definedName>
    <definedName name="burnsgloatt">#REF!</definedName>
    <definedName name="burnsglogoals">#REF!</definedName>
    <definedName name="Burnsharpts">ENG!#REF!</definedName>
    <definedName name="Burnshartries">ENG!#REF!</definedName>
    <definedName name="burnsleiatt">#REF!</definedName>
    <definedName name="burnsleigoals">#REF!</definedName>
    <definedName name="Burnsleipts">#REF!</definedName>
    <definedName name="Burnsleitries">#REF!</definedName>
    <definedName name="burosfraintpts">[1]FRA!$G$16</definedName>
    <definedName name="burosfrainttries">[1]FRA!$C$16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Burtoneng6npts">ENG!$G$12</definedName>
    <definedName name="Burtoneng6ntries">ENG!$B$12</definedName>
    <definedName name="busoita6natt">ITA!$M$16</definedName>
    <definedName name="busoita6ngls">ITA!$L$16</definedName>
    <definedName name="busoitawxvpts">ITA!$H$6</definedName>
    <definedName name="busoitawxvtries">ITA!$C$6</definedName>
    <definedName name="Busoitayratt">ITA!$M$5</definedName>
    <definedName name="Busoitayrgls">ITA!$L$5</definedName>
    <definedName name="Buthelezirsaintpts">[1]RSA!$F$5</definedName>
    <definedName name="Buthelezirsainttries">[1]RSA!$B$5</definedName>
    <definedName name="byrnehire6npts">[1]IRE!$F$9</definedName>
    <definedName name="byrnehire6ntries">[1]IRE!$B$9</definedName>
    <definedName name="caarberyire6ngls">IRE!#REF!</definedName>
    <definedName name="Cahillshanepts">#REF!</definedName>
    <definedName name="Cahillshanetries">#REF!</definedName>
    <definedName name="Caldwellexepts">#REF!</definedName>
    <definedName name="Caldwellexetries">#REF!</definedName>
    <definedName name="callenderwalwxpts">WAL!$H$42</definedName>
    <definedName name="callenderwalwxtries">WAL!$C$42</definedName>
    <definedName name="callenderwalwxvpts">WAL!$H$5</definedName>
    <definedName name="callenderwalwxvtries">WAL!$C$5</definedName>
    <definedName name="Camacholeipts">#REF!</definedName>
    <definedName name="Camacholeitries">#REF!</definedName>
    <definedName name="Cannaita6natt">ITA!#REF!</definedName>
    <definedName name="Cannaita6ngoals">ITA!#REF!</definedName>
    <definedName name="cannoncenitaintpts">[1]ITA!$G$8</definedName>
    <definedName name="cannonelitaintptscorrect">[1]ITA!$G$7</definedName>
    <definedName name="cannonelitainttries">[1]ITA!$C$7</definedName>
    <definedName name="Cannonwaspts">#REF!</definedName>
    <definedName name="Cannonwastries">#REF!</definedName>
    <definedName name="canonenitainttries">[1]ITA!$C$8</definedName>
    <definedName name="cantornaUSAp4att">USA!$M$16</definedName>
    <definedName name="CantornaUSAp4gls">USA!$L$16</definedName>
    <definedName name="CantornaUSAP4pts">USA!$G$7</definedName>
    <definedName name="Cantornausap4tries">USA!$B$7</definedName>
    <definedName name="Cantornausawxvatt">USA!$M$32</definedName>
    <definedName name="Cantornausawxvgls">USA!$L$32</definedName>
    <definedName name="cantornausawxvpts">USA!$H$7</definedName>
    <definedName name="cantornausawxvtries">USA!$C$7</definedName>
    <definedName name="Capomaggiita6natt">ITA!$M$6</definedName>
    <definedName name="Capomaggiita6nattcorrect">ITA!$M$17</definedName>
    <definedName name="Capomaggiita6ngls">ITA!$L$6</definedName>
    <definedName name="Capomaggiita6nglscorrect">ITA!$L$17</definedName>
    <definedName name="capomaggiitawxvatt">ITA!$M$33</definedName>
    <definedName name="Capomaggiitawxvgls">ITA!$L$33</definedName>
    <definedName name="capomaggiitawxvpts">ITA!$H$7</definedName>
    <definedName name="capomaggiitawxvtries">ITA!$C$7</definedName>
    <definedName name="Capuozzoita6npts">ITA!$G$7</definedName>
    <definedName name="Capuozzoita6ntries">ITA!$B$7</definedName>
    <definedName name="capuozzoitaintpts">[1]ITA!$G$9</definedName>
    <definedName name="capuozzoitainttries">[1]ITA!$C$9</definedName>
    <definedName name="carberyiireintpts">[1]IRE!$G$11</definedName>
    <definedName name="carberyire6natt">IRE!#REF!</definedName>
    <definedName name="Carberyire6ngls">IRE!#REF!</definedName>
    <definedName name="Carberyire6npts">IRE!$G$12</definedName>
    <definedName name="Carberyire6ntries">IRE!$B$12</definedName>
    <definedName name="carberyireatt">IRE!#REF!</definedName>
    <definedName name="Carberyiregls">IRE!#REF!</definedName>
    <definedName name="Care" comment="constant">ENG!#REF!</definedName>
    <definedName name="Carepts">ENG!#REF!</definedName>
    <definedName name="caretries" comment="constant">ENG!#REF!</definedName>
    <definedName name="carlisleatt">#REF!</definedName>
    <definedName name="carlislegoals">#REF!</definedName>
    <definedName name="Carlislejoetries">#REF!</definedName>
    <definedName name="Carlislepts">#REF!</definedName>
    <definedName name="Carreras_Sargyrgls">[1]ARG!$J$6</definedName>
    <definedName name="carrerasmargintpts">[1]ARG!$G$10</definedName>
    <definedName name="carrerasmarginttries">[1]ARG!$C$10</definedName>
    <definedName name="carrerassargintpts">[1]ARG!$G$11</definedName>
    <definedName name="carrerassarginttries">[1]ARG!$C$11</definedName>
    <definedName name="carrerassargyratt">[1]ARG!$K$6</definedName>
    <definedName name="Carrewal6npts">[1]WAL!$F$9</definedName>
    <definedName name="Carrewal6ntries">[1]WAL!$B$9</definedName>
    <definedName name="Carrewalintpys">[1]WAL!$G$9</definedName>
    <definedName name="Carrick_Smithexepts">#REF!</definedName>
    <definedName name="Carrick_Smithexetries">#REF!</definedName>
    <definedName name="CarsonEeng6npts">ENG!$G$14</definedName>
    <definedName name="CarsonEeng6ntries">ENG!$B$14</definedName>
    <definedName name="carsonengwxvpts">ENG!$H$14</definedName>
    <definedName name="carsonengwxvtries">ENG!$C$14</definedName>
    <definedName name="Carternzlintpts">[1]NZL!$F$8</definedName>
    <definedName name="Carternzlinttries">[1]NZL!$B$8</definedName>
    <definedName name="caseyireinttries">[1]IRE!$C$11</definedName>
    <definedName name="Caslickausp4pts">AUS!$G$4</definedName>
    <definedName name="Caslickausp4tries">AUS!$B$4</definedName>
    <definedName name="Cassonharpts">ENG!#REF!</definedName>
    <definedName name="Cassonhartries">ENG!#REF!</definedName>
    <definedName name="casteloespwxvpts">ESP!$H$8</definedName>
    <definedName name="casteloespwxvtries">ESP!$C$8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#REF!</definedName>
    <definedName name="Cattnathantries">#REF!</definedName>
    <definedName name="Chambonfra6npts">FRA!$G$13</definedName>
    <definedName name="Chambonfra6ntries">FRA!$B$13</definedName>
    <definedName name="chambonfrawxvpts">FRA!$H$14</definedName>
    <definedName name="chambonfrawxvptscorrect">FRA!$H$13</definedName>
    <definedName name="chambonfrawxvtries">FRA!$C$14</definedName>
    <definedName name="chambonfrawxvtriescorrect">FRA!$C$13</definedName>
    <definedName name="champonfrawxvpts">FRA!$H$14</definedName>
    <definedName name="champonfrawxvtries">FRA!$C$14</definedName>
    <definedName name="chancellorauswxvpts">AUS!$H$5</definedName>
    <definedName name="chancellorauswxvtries">AUS!$C$5</definedName>
    <definedName name="Chessum_Oeng6npts">[1]ENG!$G$7</definedName>
    <definedName name="Chessum_Oeng6ntries">[1]ENG!$C$7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ocobaresargintpts">[1]ARG!$G$12</definedName>
    <definedName name="Chocobaresarginttries">[1]ARG!$C$12</definedName>
    <definedName name="Chudleyexepts">#REF!</definedName>
    <definedName name="Chudleyexetries">#REF!</definedName>
    <definedName name="Cintiarginttries">[1]ARG!$C$13</definedName>
    <definedName name="ciprianiatt">#REF!</definedName>
    <definedName name="Ciprianidannytries">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ttadiniwaspts">#REF!</definedName>
    <definedName name="Cittadiniwastries">#REF!</definedName>
    <definedName name="ClappUSAP4pts">USA!$G$8</definedName>
    <definedName name="ClappUSAp4tries">USA!$B$8</definedName>
    <definedName name="clappusawxvpts">USA!$H$8</definedName>
    <definedName name="clappusawxvtries">USA!$C$8</definedName>
    <definedName name="Clarkcalumpts">ITA!#REF!</definedName>
    <definedName name="Clarkcalumtries">ITA!#REF!</definedName>
    <definedName name="clarkenzlintptscorrect">[1]NZL!$F$9</definedName>
    <definedName name="clarkenzlinttriescorrect">[1]NZL!$B$9</definedName>
    <definedName name="clarksonireintpts">[1]IRE!$G$12</definedName>
    <definedName name="clarksonireinttries">[1]IRE!$C$12</definedName>
    <definedName name="Cleall_Penftries">ENG!$B$16</definedName>
    <definedName name="Cleall_Pengpts">ENG!$G$16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eng6npts">ENG!$G$17</definedName>
    <definedName name="Cliffordeng6ntries">ENG!$A$17</definedName>
    <definedName name="Cliffordeng6ntriescorrect">ENG!$B$17</definedName>
    <definedName name="cliffordengwxvpts">ENG!$H$17</definedName>
    <definedName name="cliffordengwxvtries">ENG!$C$17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#REF!</definedName>
    <definedName name="Cliffsaltries">#REF!</definedName>
    <definedName name="Clinecanp4pts">CAN!$G$7</definedName>
    <definedName name="Clinecanp4tries">CAN!$B$7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kayneeng6npts">ENG!$G$18</definedName>
    <definedName name="Cokayneeng6ntries">ENG!$B$18</definedName>
    <definedName name="cokayneengwxvpts">ENG!$H$18</definedName>
    <definedName name="cokayneengwxvtries">ENG!$C$18</definedName>
    <definedName name="Coleleipts">#REF!</definedName>
    <definedName name="Coleleitries">#REF!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lombesfra6npts">[1]FRA!$F$17</definedName>
    <definedName name="colombesfra6ntries">[1]FRA!$B$17</definedName>
    <definedName name="Conanire6npts">IRE!$G$13</definedName>
    <definedName name="Conanire6ntries">IRE!$B$13</definedName>
    <definedName name="conanireintpts">[1]IRE!$G$13</definedName>
    <definedName name="conanireinttries">[1]IRE!$C$13</definedName>
    <definedName name="Conlonexepts">#REF!</definedName>
    <definedName name="Conlonexetries">#REF!</definedName>
    <definedName name="Conlonjoelpts">#REF!</definedName>
    <definedName name="Conlonjoeltries">#REF!</definedName>
    <definedName name="ConnornzlP4tries">NZL!$B$7</definedName>
    <definedName name="ConnorrnzlP4pts">NZL!$G$7</definedName>
    <definedName name="Conwayire6npts">IRE!$G$15</definedName>
    <definedName name="Conwayire6ntries">IRE!$B$15</definedName>
    <definedName name="cookatt">#REF!</definedName>
    <definedName name="Cookchrispts">#REF!</definedName>
    <definedName name="Cookchristries">#REF!</definedName>
    <definedName name="Cookgoals">#REF!</definedName>
    <definedName name="Cookpts">#REF!</definedName>
    <definedName name="Cooktries">#REF!</definedName>
    <definedName name="Cooper_Woolleypts">#REF!</definedName>
    <definedName name="Cooper_Woolleytries">#REF!</definedName>
    <definedName name="Cooper_Woolleywaspts">#REF!</definedName>
    <definedName name="Cooper_Woolleywastries">#REF!</definedName>
    <definedName name="cooperausintpts">[1]AUS!$G$5</definedName>
    <definedName name="cooperausinttriies">[1]AUS!$C$5</definedName>
    <definedName name="Cooperwelpts">#REF!</definedName>
    <definedName name="Cooperweltries">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deroargintpts">[1]ARG!$G$14</definedName>
    <definedName name="corderoarginttries">[1]ARG!$C$14</definedName>
    <definedName name="Corkermattpts">#REF!</definedName>
    <definedName name="Corkermatttries">#REF!</definedName>
    <definedName name="corradiniitawxvpts">ITA!$H$8</definedName>
    <definedName name="corradiniitawxvtries">ITA!$C$8</definedName>
    <definedName name="Corrigancanp4pts">CAN!$G$8</definedName>
    <definedName name="Corrigancanp4tries">CAN!$B$8</definedName>
    <definedName name="corrigancanwxvpts">CAN!$H$8</definedName>
    <definedName name="corrigancanwxvtries">CAN!$C$8</definedName>
    <definedName name="Corriganire6npts">IRE!$G$8</definedName>
    <definedName name="Corriganire6ntries">IRE!$B$8</definedName>
    <definedName name="costellowwalintpts">[1]WAL!$G$10</definedName>
    <definedName name="costellowwalinttries">[1]WAL!$C$10</definedName>
    <definedName name="costelowwal6npts">[1]WAL!$F$10</definedName>
    <definedName name="costelowwal6ntries">[1]WAL!$B$10</definedName>
    <definedName name="Costelowwalyratt">[1]WAL!$K$5</definedName>
    <definedName name="Costelowwalyrgls">[1]WAL!$J$5</definedName>
    <definedName name="costiganirewxvpts">IRE!$H$9</definedName>
    <definedName name="costiganirewxvtries">IRE!$C$9</definedName>
    <definedName name="COUILLOUDFRAINTPTS">[1]FRA!$G$17</definedName>
    <definedName name="couilloudfraintptscorrect">[1]FRA!$G$18</definedName>
    <definedName name="COUILLOUDFRAINTTRIES">[1]FRA!$C$17</definedName>
    <definedName name="couilloudfrainttriescorrect">[1]FRA!$C$18</definedName>
    <definedName name="coulibalyusawxpts">USA!$H$9</definedName>
    <definedName name="coulibalyusawxtries">USA!$C$9</definedName>
    <definedName name="Courtlipts">FRA!#REF!</definedName>
    <definedName name="Courtlitries">FRA!#REF!</definedName>
    <definedName name="Cowan_Dickie_Lukepts">#REF!</definedName>
    <definedName name="Cowan_Dickie_Luketries">#REF!</definedName>
    <definedName name="Cowan_Dickieengintpts">[1]ENG!$F$8</definedName>
    <definedName name="Cowan_Dickieenginttries">[1]ENG!$B$8</definedName>
    <definedName name="Cowanblairtries">FRA!#REF!</definedName>
    <definedName name="Cowanjimmypts">#REF!</definedName>
    <definedName name="Cowanjimmytries">#REF!</definedName>
    <definedName name="Cowanlipts">FRA!#REF!</definedName>
    <definedName name="Cowanpts">FRA!#REF!</definedName>
    <definedName name="Cowantries">FRA!#REF!</definedName>
    <definedName name="Cowellengpts">ENG!$G$19</definedName>
    <definedName name="Cowellengtries">ENG!$B$19</definedName>
    <definedName name="Coxlipts">FRA!#REF!</definedName>
    <definedName name="Coxlitries">FRA!#REF!</definedName>
    <definedName name="Coxmattpts">#REF!</definedName>
    <definedName name="Coxmatttries">#REF!</definedName>
    <definedName name="coxwalwxvtries">WAL!$C$6</definedName>
    <definedName name="coxwalwxvtriespts">WAL!$H$6</definedName>
    <definedName name="Crabbwal6npts">WAL!$G$7</definedName>
    <definedName name="Crabbwal6ntries">WAL!$B$7</definedName>
    <definedName name="Craignorpts">ITA!#REF!</definedName>
    <definedName name="Craignortries">ITA!#REF!</definedName>
    <definedName name="cramerausP4att">AUS!$M$15</definedName>
    <definedName name="CramerausP4gls">AUS!$L$15</definedName>
    <definedName name="Cramerausp4pts">AUS!$G$8</definedName>
    <definedName name="Cramerausp4tries">AUS!$B$8</definedName>
    <definedName name="cramerauswxvpts">AUS!$H$8</definedName>
    <definedName name="cramerauswxvtries">AUS!$C$8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eevyargintptsscorrect">[1]ARG!$G$16</definedName>
    <definedName name="Creevyarginttriescorrect">[1]ARG!$C$16</definedName>
    <definedName name="Croallsalpts">#REF!</definedName>
    <definedName name="Croallsaltries">#REF!</definedName>
    <definedName name="Croftleipts">#REF!</definedName>
    <definedName name="Croftleitries">#REF!</definedName>
    <definedName name="croninire6natt">IRE!$M$13</definedName>
    <definedName name="Croninire6ngls">IRE!$L$13</definedName>
    <definedName name="Croninire6npts">IRE!$G$9</definedName>
    <definedName name="Croninire6ntries">IRE!$B$9</definedName>
    <definedName name="CROSBIESCOINTPTS">[1]SCO!$G$7</definedName>
    <definedName name="CROSBIESCOINTTRIES">[1]SCO!$C$7</definedName>
    <definedName name="Crosfra6npts">[1]FRA!$F$19</definedName>
    <definedName name="Crosfra6ntries">[1]FRA!$B$19</definedName>
    <definedName name="crossleycanwxvpts">CAN!$H$9</definedName>
    <definedName name="crossleycanwxvtries">CAN!$C$9</definedName>
    <definedName name="Crosslipts">FRA!#REF!</definedName>
    <definedName name="Crosslitries">FRA!#REF!</definedName>
    <definedName name="Croweire6npts">IRE!$G$10</definedName>
    <definedName name="Croweire6ntries">IRE!$B$10</definedName>
    <definedName name="crowleyire6npts">[1]IRE!$F$14</definedName>
    <definedName name="crowleyire6ntries">[1]IRE!$B$14</definedName>
    <definedName name="crowleyireintpts">[1]IRE!$G$14</definedName>
    <definedName name="crowleyireinttries">[1]IRE!$C$14</definedName>
    <definedName name="crowleyireyratt">[1]IRE!$K$8</definedName>
    <definedName name="Crowleyireyrgls">[1]IRE!$J$8</definedName>
    <definedName name="cubelliargintpts">[1]ARG!$G$15</definedName>
    <definedName name="cubelliarginttries">[1]ARG!$C$15</definedName>
    <definedName name="Cuetopts">#REF!</definedName>
    <definedName name="Cuetosalpts">#REF!</definedName>
    <definedName name="Cuetosaltries">#REF!</definedName>
    <definedName name="cuetotries">#REF!</definedName>
    <definedName name="Cunningham_Sthengintpts">[1]ENG!$F$9</definedName>
    <definedName name="Cunningham_Sthenginttries">[1]ENG!$B$9</definedName>
    <definedName name="CUNNINGHAMSOUTHENG6NPTS">[1]ENG!$G$9</definedName>
    <definedName name="CUNNINGHAMSOUTHENG6NTRIES">[1]ENG!$C$9</definedName>
    <definedName name="curriescointpts">[1]SCO!$G$9</definedName>
    <definedName name="curriescointtries">[1]SCO!$C$9</definedName>
    <definedName name="Curry_Tengintpts">[1]ENG!$F$10</definedName>
    <definedName name="Curry_Tenginttries">[1]ENG!$B$10</definedName>
    <definedName name="curryteng6npts">[1]ENG!$G$10</definedName>
    <definedName name="curryteng6ntries">[1]ENG!$C$10</definedName>
    <definedName name="Cusitersalpts">#REF!</definedName>
    <definedName name="Cusitersaltries">#REF!</definedName>
    <definedName name="d_Incaita6natt">ITA!$M$18</definedName>
    <definedName name="d_Incaita6ngls">ITA!$L$18</definedName>
    <definedName name="D_Incaita6npts">ITA!$G$9</definedName>
    <definedName name="D_Incaita6ntries">ITA!$B$9</definedName>
    <definedName name="d_Incaitayratt">ITA!$M$7</definedName>
    <definedName name="d_Incaitayrgls">ITA!$L$7</definedName>
    <definedName name="da_Reita6npts">[1]ITA!$F$11</definedName>
    <definedName name="da_Reita6ntries">[1]ITA!$B$11</definedName>
    <definedName name="Da_Reitayrgls">[1]ITA!$J$5</definedName>
    <definedName name="Dallavallewal6npts">WAL!$G$8</definedName>
    <definedName name="Dallavallewal6ntries">WAL!$B$8</definedName>
    <definedName name="dallingerauswxvatt">AUS!$P$32</definedName>
    <definedName name="Dallingerauswxvgls">AUS!$O$32</definedName>
    <definedName name="dallingerauswxvpts">AUS!$H$9</definedName>
    <definedName name="dallingerauswxvtries">AUS!$C$9</definedName>
    <definedName name="Daltonire6npts">IRE!$G$11</definedName>
    <definedName name="Daltonire6ntries">IRE!$B$11</definedName>
    <definedName name="Dalyelliotpts">#REF!</definedName>
    <definedName name="Dalyelliottries">#REF!</definedName>
    <definedName name="Dalyeng6npts">ENG!$G$9</definedName>
    <definedName name="Dalyeng6ntries">ENG!$B$9</definedName>
    <definedName name="dalywasatt">#REF!</definedName>
    <definedName name="dalywasgoals">#REF!</definedName>
    <definedName name="Dalywaspts">#REF!</definedName>
    <definedName name="Danaherdeclanpts">FRA!#REF!</definedName>
    <definedName name="Danaherdeclantries">FRA!#REF!</definedName>
    <definedName name="Dantyfra6npts">FRA!$G$12</definedName>
    <definedName name="Dantyfra6ntries">FRA!$B$12</definedName>
    <definedName name="DANTYFRAINTPTS">[1]FRA!$G$20</definedName>
    <definedName name="DANTYFRAINTTRIES">[1]FRA!$C$20</definedName>
    <definedName name="dareitaintpts">[1]ITA!$G$11</definedName>
    <definedName name="dareitainttries">[1]ITA!$C$11</definedName>
    <definedName name="dareitayratt">[1]ITA!$K$5</definedName>
    <definedName name="Dargesco6npts">SCO!$G$7</definedName>
    <definedName name="Dargesco6ntries">SCO!$B$7</definedName>
    <definedName name="dargescointpts">[1]SCO!$G$10</definedName>
    <definedName name="dargescointtries">[1]SCO!$C$10</definedName>
    <definedName name="Darrynzlintpts">[1]NZL!$F$10</definedName>
    <definedName name="Darrynzlintries">[1]NZL!$B$10</definedName>
    <definedName name="daugunuausintpts">[1]AUS!$G$7</definedName>
    <definedName name="daugunuausinttries">[1]AUS!$C$7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ng6npts">ENG!#REF!</definedName>
    <definedName name="Davieseng6ntries">ENG!#REF!</definedName>
    <definedName name="daviesengwxvpts">ENG!#REF!</definedName>
    <definedName name="daviesengwxvtries">ENG!#REF!</definedName>
    <definedName name="Daviesexepts">#REF!</definedName>
    <definedName name="Daviesexetries">#REF!</definedName>
    <definedName name="Daviesnewpts">IRE!#REF!</definedName>
    <definedName name="Daviesnewtries">IRE!#REF!</definedName>
    <definedName name="davieswelatt">#REF!</definedName>
    <definedName name="davieswelgoals">#REF!</definedName>
    <definedName name="Dawidiukglopts">#REF!</definedName>
    <definedName name="Dawidiukglotries">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#REF!</definedName>
    <definedName name="Daydomtries">#REF!</definedName>
    <definedName name="De_Chavesleipts">#REF!</definedName>
    <definedName name="De_Chavesleitries">#REF!</definedName>
    <definedName name="De_Goedecanp4att">CAN!$M$14</definedName>
    <definedName name="De_Goedecanp4gls">CAN!$L$14</definedName>
    <definedName name="de_Goedecanp4pts">CAN!$G$10</definedName>
    <definedName name="de_Goedecanp4tries">CAN!$B$10</definedName>
    <definedName name="de_Goedecanwxvatt">CAN!$M$31</definedName>
    <definedName name="de_Goedecanwxvgls">CAN!$L$31</definedName>
    <definedName name="de_Grootnzlintpts">[1]NZL!$F$11</definedName>
    <definedName name="de_Grootnzlinttries">[1]NZL!$B$11</definedName>
    <definedName name="de_Jagersarpts">#REF!</definedName>
    <definedName name="de_Jagersartries">#REF!</definedName>
    <definedName name="de_Kockneilpts">#REF!</definedName>
    <definedName name="de_Kockneiltries">#REF!</definedName>
    <definedName name="Deaconleipts">#REF!</definedName>
    <definedName name="Deaconleitries">#REF!</definedName>
    <definedName name="deewal6npts">[1]WAL!$F$11</definedName>
    <definedName name="deewal6ntries">[1]WAL!$B$11</definedName>
    <definedName name="degoedecanwxvpts">CAN!$H$10</definedName>
    <definedName name="degoedecanwxvtries">CAN!$C$10</definedName>
    <definedName name="delafuenteargintpts">[1]ARG!$G$17</definedName>
    <definedName name="delafuentearginttries">[1]ARG!$C$17</definedName>
    <definedName name="delguyargintpts">[1]ARG!$G$18</definedName>
    <definedName name="delguyarginttries">[1]ARG!$C$18</definedName>
    <definedName name="Demantnzlp4att">NZL!$L$15</definedName>
    <definedName name="Demantnzlp4attcorrect">NZL!$M$15</definedName>
    <definedName name="Demantnzlp4gls">NZL!$L$15</definedName>
    <definedName name="DemantnzlP4pts">NZL!$G$9</definedName>
    <definedName name="DemantnzlP4tries">NZL!$B$9</definedName>
    <definedName name="Demantnzlwxvatt">NZL!$M$32</definedName>
    <definedName name="Demantnzlwxvgls">NZL!$L$32</definedName>
    <definedName name="demantnzlwxvpts">NZL!$H$9</definedName>
    <definedName name="demantnzlwxvtries">NZL!$C$9</definedName>
    <definedName name="DeMerchantcanP4pts">CAN!$G$11</definedName>
    <definedName name="DeMerchantcanP4tries">CAN!$B$11</definedName>
    <definedName name="demerchantcanwxvpts">CAN!$H$11</definedName>
    <definedName name="demerchantcanwxvtries">CAN!$C$11</definedName>
    <definedName name="Dempseysco6npts">[1]SCO!$F$11</definedName>
    <definedName name="Dempseysco6ntries">[1]SCO!$B$11</definedName>
    <definedName name="dempseyscointpts">[1]SCO!$G$11</definedName>
    <definedName name="Dempseyscointtries">[1]SCO!$C$11</definedName>
    <definedName name="Denmangarethpts">ITA!#REF!</definedName>
    <definedName name="Denmangarethtries">ITA!#REF!</definedName>
    <definedName name="Depoorterefra6npts">[1]FRA!$F$21</definedName>
    <definedName name="Depoorterefra6ntries">[1]FRA!$B$21</definedName>
    <definedName name="Depoorterefraintpts">[1]FRA!$G$21</definedName>
    <definedName name="Depoorterefrainttries">[1]FRA!$C$21</definedName>
    <definedName name="deshayefrawxvpts">FRA!$H$15</definedName>
    <definedName name="deshayefrawxvtries">FRA!$C$15</definedName>
    <definedName name="DetiveauxUSAP4pts">USA!$G$9</definedName>
    <definedName name="DetiveauxUSAP4tries">USA!$B$9</definedName>
    <definedName name="devotobatatt">#REF!</definedName>
    <definedName name="devotobatgoals">#REF!</definedName>
    <definedName name="Devotoolliepts">#REF!</definedName>
    <definedName name="Devotoollietries">#REF!</definedName>
    <definedName name="Di_Bartolomeoita6npts">[1]ITA!$F$12</definedName>
    <definedName name="Di_Bartolomeoita6ntries">[1]ITA!$B$12</definedName>
    <definedName name="Di_Bartolomeoitaintpts">[1]ITA!$G$12</definedName>
    <definedName name="Di_Bartolomeoitainttries">[1]ITA!$C$12</definedName>
    <definedName name="di_Marchisalpts">#REF!</definedName>
    <definedName name="di_Marchisaltries">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imcheffitaintpts">[1]ITA!$G$13</definedName>
    <definedName name="dimcheffitainttries">[1]ITA!$C$13</definedName>
    <definedName name="dincaitawxvpts">ITA!$H$9</definedName>
    <definedName name="dincaitawxvtries">ITA!$C$9</definedName>
    <definedName name="dingwalleng6npts">[1]ENG!$G$13</definedName>
    <definedName name="dingwalleng6ntries">[1]ENG!$C$13</definedName>
    <definedName name="Dingwallengintpts">[1]ENG!$F$13</definedName>
    <definedName name="Dingwallenginttries">[1]ENG!$B$13</definedName>
    <definedName name="Dixonrsaintpts">[1]RSA!$F$8</definedName>
    <definedName name="Dixonrsainttries">[1]RSA!$B$8</definedName>
    <definedName name="djougangirewxvpts">IRE!$H$13</definedName>
    <definedName name="djougangirewxvtries">IRE!$C$13</definedName>
    <definedName name="Dobiesco6npts">[1]SCO!$F$12</definedName>
    <definedName name="Dobiesco6ntries">[1]SCO!$B$12</definedName>
    <definedName name="dobiescointpts">[1]SCO!$G$12</definedName>
    <definedName name="dobiescointtries">[1]SCO!$C$12</definedName>
    <definedName name="Dobsonmatthewpts">#REF!</definedName>
    <definedName name="Dobsonmatthewtries">#REF!</definedName>
    <definedName name="Dolannorpts">ITA!#REF!</definedName>
    <definedName name="Dolannortries">ITA!#REF!</definedName>
    <definedName name="dolfrsawxvpts">RSA!$H$8</definedName>
    <definedName name="dolfrsawxvtries">RSA!$C$8</definedName>
    <definedName name="dollmanatt">#REF!</definedName>
    <definedName name="Dollmanexepts">#REF!</definedName>
    <definedName name="Dollmanexetries">#REF!</definedName>
    <definedName name="Dollmangoals">#REF!</definedName>
    <definedName name="Dollmanpts">#REF!</definedName>
    <definedName name="dollmantries">#REF!</definedName>
    <definedName name="Dombrandteng6npts">ENG!$G$10</definedName>
    <definedName name="Dombrandteng6ntries">ENG!$B$10</definedName>
    <definedName name="donaldsonausintpts">[1]AUS!$G$6</definedName>
    <definedName name="Donaldsonausinttries">[1]AUS!$C$6</definedName>
    <definedName name="donaldsonausyratt">[1]AUS!$K$4</definedName>
    <definedName name="Donaldsonausyrgls">[1]AUS!$J$4</definedName>
    <definedName name="Doran_Jonesharpts">ENG!#REF!</definedName>
    <definedName name="Doran_Joneshartries">ENG!#REF!</definedName>
    <definedName name="Dorisire6npts">[1]IRE!$F$15</definedName>
    <definedName name="Dorisire6ntries">[1]IRE!$B$15</definedName>
    <definedName name="dorisireintpts">[1]IRE!$G$15</definedName>
    <definedName name="dorisireinttries">[1]IRE!$C$15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engpts">ENG!$G$20</definedName>
    <definedName name="Dowengtries">ENG!$B$20</definedName>
    <definedName name="dowengwxvpts">ENG!$H$20</definedName>
    <definedName name="dowengwxvtries">ENG!$C$20</definedName>
    <definedName name="Downwelpts">#REF!</definedName>
    <definedName name="Downweltries">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#REF!</definedName>
    <definedName name="Drauniniutries">#REF!</definedName>
    <definedName name="Dreanfra6npts">[1]FRA!$F$22</definedName>
    <definedName name="Dreanfra6ntries">[1]FRA!$B$22</definedName>
    <definedName name="Dreanfraintpts">[1]FRA!$G$22</definedName>
    <definedName name="Dreanfrainttries">[1]FRA!$C$22</definedName>
    <definedName name="drouinfra6natt">FRA!$M$18</definedName>
    <definedName name="Drouinfra6ngls">FRA!$L$18</definedName>
    <definedName name="Drouinfra6npts">FRA!$G$18</definedName>
    <definedName name="Drouinfra6ntries">FRA!$B$18</definedName>
    <definedName name="du_PlessisnzlP4pts">NZL!$G$10</definedName>
    <definedName name="du_PlessisnzlP4tries">NZL!$B$10</definedName>
    <definedName name="du_Plessissarpts">#REF!</definedName>
    <definedName name="du_Plessissartries">#REF!</definedName>
    <definedName name="du_Toit_P_Srsaintpts">[1]RSA!$F$9</definedName>
    <definedName name="du_Toit_P_Srsainttries">[1]RSA!$B$9</definedName>
    <definedName name="du_Toit_Trsaintpts">[1]RSA!$F$10</definedName>
    <definedName name="du_Toit_Trsainttries">[1]RSA!$B$10</definedName>
    <definedName name="ducautawxvpts">ITA!$H$10</definedName>
    <definedName name="ducautawxvtrie">ITA!$C$10</definedName>
    <definedName name="dumkersawxvpts">RSA!$H$9</definedName>
    <definedName name="dumkersawxvtries">RSA!$C$9</definedName>
    <definedName name="Dumortierfra6npts">[1]FRA!$F$23</definedName>
    <definedName name="Dumortierfra6ntries">[1]FRA!$B$23</definedName>
    <definedName name="dumortierfraintpts">[1]FRA!$G$23</definedName>
    <definedName name="dumortierfrainttries">[1]FRA!$C$23</definedName>
    <definedName name="Dunnbattries">#REF!</definedName>
    <definedName name="Dunntompts">#REF!</definedName>
    <definedName name="duplessisnzlwxvpts">NZL!$H$10</definedName>
    <definedName name="duplessisnzlwxvtries">NZL!$C$10</definedName>
    <definedName name="DupontFRA6NPTS">FRA!$G$14</definedName>
    <definedName name="DupontFRA6NTRIES">FRA!$B$14</definedName>
    <definedName name="Dyerwal6npts">[1]WAL!$F$13</definedName>
    <definedName name="Dyerwal6ntries">[1]WAL!$B$13</definedName>
    <definedName name="dyerwalintpts">[1]WAL!$G$13</definedName>
    <definedName name="dyerwalinttries">[1]WAL!$C$13</definedName>
    <definedName name="Earlenathanpts">#REF!</definedName>
    <definedName name="Earlenathantries">#REF!</definedName>
    <definedName name="earleng6npts">[1]ENG!$G$14</definedName>
    <definedName name="earleng6ntries">[1]ENG!$C$14</definedName>
    <definedName name="Earlengintpts">[1]ENG!$F$14</definedName>
    <definedName name="Earlenginttries">[1]ENG!$B$14</definedName>
    <definedName name="Eastermarkpts">#REF!</definedName>
    <definedName name="Eastermarktries">#REF!</definedName>
    <definedName name="Easternickpts">ENG!#REF!</definedName>
    <definedName name="Easternicktries">ENG!#REF!</definedName>
    <definedName name="Eastersalpts">#REF!</definedName>
    <definedName name="Eastersaltries">#REF!</definedName>
    <definedName name="Eastertries">ENG!#REF!</definedName>
    <definedName name="Eastmondkylepts">#REF!</definedName>
    <definedName name="Eastmondkyletries">#REF!</definedName>
    <definedName name="Edmedausintpts">[1]AUS!$G$8</definedName>
    <definedName name="Edmedausinttries">[1]AUS!$C$8</definedName>
    <definedName name="Edmondshuiapts">#REF!</definedName>
    <definedName name="Edmondshuiatries">#REF!</definedName>
    <definedName name="Edwardswal6npts">[1]WAL!$F$14</definedName>
    <definedName name="Edwardswal6ntries">[1]WAL!$B$14</definedName>
    <definedName name="Edwardswalintpts">[1]WAL!$G$14</definedName>
    <definedName name="Edwardswalintries">[1]WAL!$C$14</definedName>
    <definedName name="edwardswalyratt">[1]WAL!$K$6</definedName>
    <definedName name="Edwardswalyrgls">[1]WAL!$J$6</definedName>
    <definedName name="Elderchrispts">#REF!</definedName>
    <definedName name="Elderchristries">#REF!</definedName>
    <definedName name="Ellerysarpts">#REF!</definedName>
    <definedName name="Ellerysartries">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scuderoFRA6NPTS">FRA!$G$19</definedName>
    <definedName name="EscuderoFRA6NTRIES">FRA!$B$19</definedName>
    <definedName name="escuderofrawxpts">FRA!$H$19</definedName>
    <definedName name="escuderofrawxtries">FRA!$C$19</definedName>
    <definedName name="Esterhuizenrsaintpts">[1]RSA!$F$11</definedName>
    <definedName name="Esterhuizenrsainttries">[1]RSA!$B$11</definedName>
    <definedName name="Etzebethrsaintpts">[1]RSA!$F$12</definedName>
    <definedName name="Etzebethrsainttries">[1]RSA!$B$12</definedName>
    <definedName name="Evans_Jwal6npts">[1]WAL!$F$17</definedName>
    <definedName name="Evans_Jwal6ntries">[1]WAL!$B$17</definedName>
    <definedName name="Evans_Jwalintpts">[1]WAL!$G$17</definedName>
    <definedName name="Evans_Jwalinttries">[1]WAL!$C$17</definedName>
    <definedName name="Evansbrynpts">FRA!#REF!</definedName>
    <definedName name="Evansbryntries">FRA!#REF!</definedName>
    <definedName name="evanscaiwalintpts">[1]WAL!$G$16</definedName>
    <definedName name="evanscaiwalinttries">[1]WAL!$C$16</definedName>
    <definedName name="Evansgarethpts">#REF!</definedName>
    <definedName name="Evansgarethtries">#REF!</definedName>
    <definedName name="Evansharpts">ENG!#REF!</definedName>
    <definedName name="evansjwalyratt">[1]WAL!$K$7</definedName>
    <definedName name="evansjwalyrgls">[1]WAL!$J$7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answalwxvpts">WAL!$H$9</definedName>
    <definedName name="evanswalwxvtries">WAL!$C$9</definedName>
    <definedName name="Everardmattpts">#REF!</definedName>
    <definedName name="Everardmatttries">#REF!</definedName>
    <definedName name="Everardwaspts">#REF!</definedName>
    <definedName name="Everardwastries">#REF!</definedName>
    <definedName name="Ewersexepts">#REF!</definedName>
    <definedName name="Ewersexetries">#REF!</definedName>
    <definedName name="Ewerspts">#REF!</definedName>
    <definedName name="Ewerstries">#REF!</definedName>
    <definedName name="Fa_asavalumauriepts">ENG!#REF!</definedName>
    <definedName name="Fa_asavalumaurietries">ENG!#REF!</definedName>
    <definedName name="Fa_osilivaalafotipts">#REF!</definedName>
    <definedName name="Fa_osilivaalafotitries">#REF!</definedName>
    <definedName name="faesslerausintpts">[1]AUS!$G$10</definedName>
    <definedName name="faesslerausinttries">[1]AUS!$C$10</definedName>
    <definedName name="Fagerson_Msco6npts">[1]SCO!$F$13</definedName>
    <definedName name="Fagerson_Msco6ntries">[1]SCO!$B$13</definedName>
    <definedName name="fagersonmscointpts">[1]SCO!$G$13</definedName>
    <definedName name="fagersonmscointtries">[1]SCO!$C$13</definedName>
    <definedName name="FAGERSONZSCO6NPTS">[1]SCO!$F$14</definedName>
    <definedName name="FAGERSONZSCO6NTRIES">[1]SCO!$B$14</definedName>
    <definedName name="Fainga_anukunzlintpts">[1]NZL!$F$12</definedName>
    <definedName name="Fainga_anukunzlinttries">[1]NZL!$B$12</definedName>
    <definedName name="Fainga_anukuofapts">#REF!</definedName>
    <definedName name="Fainga_anukuofatries">#REF!</definedName>
    <definedName name="faingaaausintpts">[1]AUS!$G$9</definedName>
    <definedName name="faingaaausinttries">[1]AUS!$C$9</definedName>
    <definedName name="Faletauwal6npts">[1]WAL!$F$18</definedName>
    <definedName name="Faletauwal6ntries">[1]WAL!$B$18</definedName>
    <definedName name="faletauwalintpts">[1]WAL!$G$18</definedName>
    <definedName name="faletauwalinttries">[1]WAL!$C$18</definedName>
    <definedName name="farrellatt">#REF!</definedName>
    <definedName name="Farrelleng6Ngatt">ENG!$V$20</definedName>
    <definedName name="Farrelleng6Ngoals">ENG!$U$20</definedName>
    <definedName name="farrellgoals">#REF!</definedName>
    <definedName name="Farrellowentries">#REF!</definedName>
    <definedName name="Farrellpts">#REF!</definedName>
    <definedName name="Farrellsarpts">#REF!</definedName>
    <definedName name="farriescanwxvpts">CAN!$H$13</definedName>
    <definedName name="farriescanwxvtries">CAN!$C$13</definedName>
    <definedName name="Fassirsaintpts">[1]RSA!$F$13</definedName>
    <definedName name="Fassirsainttries">[1]RSA!$B$13</definedName>
    <definedName name="Fearnsalpts">#REF!</definedName>
    <definedName name="Fearnsaltries">#REF!</definedName>
    <definedName name="Fearnscarlpts">#REF!</definedName>
    <definedName name="Fearnscarltries">#REF!</definedName>
    <definedName name="Feaunatieng6npts">ENG!$G$21</definedName>
    <definedName name="Feaunatieng6ntries">ENG!$B$21</definedName>
    <definedName name="feaunatiengwxvpts">ENG!$H$21</definedName>
    <definedName name="feaunatiengwxvtries">ENG!$C$21</definedName>
    <definedName name="Fedrighiita6npts">ITA!$G$11</definedName>
    <definedName name="Fedrighiita6ntries">ITA!$B$11</definedName>
    <definedName name="fedrighiitawxvpts">ITA!$H$11</definedName>
    <definedName name="fedrighiitawxvtries">ITA!$C$11</definedName>
    <definedName name="Feinberg_M_zulursaintpts">[1]RSA!$F$14</definedName>
    <definedName name="Feinberg_M_zulursainttries">[1]RSA!$B$14</definedName>
    <definedName name="Feinberg_M_zulursayratt">[1]RSA!$K$5</definedName>
    <definedName name="Feinberg_M_zulursayrgls">[1]RSA!$J$5</definedName>
    <definedName name="Feleu_Tfra6npts">FRA!$G$22</definedName>
    <definedName name="Feleu_Tfra6Ntries">FRA!$B$22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#REF!</definedName>
    <definedName name="Fercusartries">#REF!</definedName>
    <definedName name="Festucciacarlopts">#REF!</definedName>
    <definedName name="Festucciacarlotries">#REF!</definedName>
    <definedName name="Feuryusawxvatt">USA!$M$33</definedName>
    <definedName name="Feuryusawxvgls">USA!$L$33</definedName>
    <definedName name="feuryusawxvpts">USA!$H$11</definedName>
    <definedName name="feuryusawxvtries">USA!$C$11</definedName>
    <definedName name="Feyi_Wabosoengintpts">[1]ENG!$F$15</definedName>
    <definedName name="Feyi_Wabosoenginttries">[1]ENG!$B$15</definedName>
    <definedName name="feyiwabosoeng6npts">[1]ENG!$G$15</definedName>
    <definedName name="feyiwabosoeng6ntries">[1]ENG!$C$15</definedName>
    <definedName name="Fickoufra6npts">FRA!$G$15</definedName>
    <definedName name="Fickoufra6ntries">FRA!$B$15</definedName>
    <definedName name="fickoufraintpts">[1]FRA!$G$26</definedName>
    <definedName name="fickoufrainttries">[1]FRA!$C$26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naunzlintptscorrect">[1]NZL!$F$13</definedName>
    <definedName name="Finaunzlinttriescorrect">[1]NZL!$B$13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amentfra6npts">[1]FRA!$F$27</definedName>
    <definedName name="Flamentfra6ntries">[1]FRA!$B$27</definedName>
    <definedName name="flamentfraintpts">[1]FRA!$G$27</definedName>
    <definedName name="flamentfrainttries">[1]FRA!$C$27</definedName>
    <definedName name="Fleetwoodeng6npts">ENG!#REF!</definedName>
    <definedName name="Fleetwoodeng6ntries">ENG!#REF!</definedName>
    <definedName name="Flemingwal6npts">WAL!$G$10</definedName>
    <definedName name="Flemingwal6ntries">WAL!$B$10</definedName>
    <definedName name="flemingwalwxvpts">WAL!$H$10</definedName>
    <definedName name="flemingwalwxvtries">WAL!$C$10</definedName>
    <definedName name="floodatt">#REF!</definedName>
    <definedName name="floodgoals">#REF!</definedName>
    <definedName name="floodirewxvpts">IRE!$H$15</definedName>
    <definedName name="floodirewxvtries">IRE!$C$15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ITA!#REF!</definedName>
    <definedName name="fodentries">ITA!#REF!</definedName>
    <definedName name="foketiausintpts">[1]AUS!$G$12</definedName>
    <definedName name="foketiausinttries">[1]AUS!$C$12</definedName>
    <definedName name="foleyausyratt">[1]AUS!$K$5</definedName>
    <definedName name="Foleyausyrgls">[1]AUS!$J$5</definedName>
    <definedName name="Fonualwepts">#REF!</definedName>
    <definedName name="Fonualwetries">#REF!</definedName>
    <definedName name="Fordeng6ngatt">ENG!$V$21</definedName>
    <definedName name="Fordeng6ngoals">ENG!$U$21</definedName>
    <definedName name="fordeng6npts">[1]ENG!$G$16</definedName>
    <definedName name="fordeng6ntries">[1]ENG!$C$16</definedName>
    <definedName name="FordENGINTPTSCORRECT">[1]ENG!$F$16</definedName>
    <definedName name="FordENGINTTRIESCORRECT">[1]ENG!$B$16</definedName>
    <definedName name="fordengyratt">[1]ENG!$K$6</definedName>
    <definedName name="Fordengyrgls">[1]ENG!$J$6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saltries">#REF!</definedName>
    <definedName name="Forlanifra6npts">FRA!$G$24</definedName>
    <definedName name="Forlanifra6ntries">FRA!$B$24</definedName>
    <definedName name="Forsythandy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rtezacanP4pts">CAN!$G$15</definedName>
    <definedName name="FortezacanP4tries">CAN!$B$15</definedName>
    <definedName name="fortezacanwxvpts">CAN!$H$15</definedName>
    <definedName name="fortezacanwxvtries">CAN!$C$15</definedName>
    <definedName name="Fotuali_Ikahnpts">ITA!#REF!</definedName>
    <definedName name="Fotuali_Ikahntries">ITA!#REF!</definedName>
    <definedName name="Fowlessalpts">#REF!</definedName>
    <definedName name="Fowlessaltries">#REF!</definedName>
    <definedName name="Fowley6nireatt">IRE!$M$16</definedName>
    <definedName name="Fowley6niregls">IRE!$L$16</definedName>
    <definedName name="Fowlielipts">FRA!#REF!</definedName>
    <definedName name="Fowlietompts">FRA!#REF!</definedName>
    <definedName name="Fowlietomtries">FRA!#REF!</definedName>
    <definedName name="Francisexepts">#REF!</definedName>
    <definedName name="Francisexetries">#REF!</definedName>
    <definedName name="Franciswal6npts">WAL!#REF!</definedName>
    <definedName name="Franciswal6ntries">WAL!#REF!</definedName>
    <definedName name="franciswalpts">WAL!#REF!</definedName>
    <definedName name="franciswaltries">WAL!#REF!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wleyire6npts">[1]IRE!$F$16</definedName>
    <definedName name="frawleyire6ntries">[1]IRE!$B$16</definedName>
    <definedName name="frawleyireintpts">[1]IRE!$G$16</definedName>
    <definedName name="frawleyireinttries">[1]IRE!$C$16</definedName>
    <definedName name="freemaneng6npts">[1]ENG!$G$17</definedName>
    <definedName name="freemaneng6ntries">[1]ENG!$C$17</definedName>
    <definedName name="Freemanengintpts">[1]ENG!$F$17</definedName>
    <definedName name="Freemanenginttries">[1]ENG!$B$17</definedName>
    <definedName name="FriedrichsausP4pts">AUS!$G$11</definedName>
    <definedName name="FriedrichsausP4tries">AUS!$B$11</definedName>
    <definedName name="friedrichsauswxvpts">AUS!$H$11</definedName>
    <definedName name="friedrichsauswxvtries">AUS!$C$11</definedName>
    <definedName name="frischfraintpts">[1]FRA!$G$28</definedName>
    <definedName name="frischfrainttries">[1]FRA!$C$28</definedName>
    <definedName name="frostausintpts">[1]AUS!$G$13</definedName>
    <definedName name="frostausinttries">[1]AUS!$C$13</definedName>
    <definedName name="Frydayire6npts">IRE!$G$16</definedName>
    <definedName name="Frydayire6ntries">IRE!$B$16</definedName>
    <definedName name="Frynewpts">IRE!#REF!</definedName>
    <definedName name="Frynewtries">IRE!#REF!</definedName>
    <definedName name="furbankeng6npts">[1]ENG!$G$18</definedName>
    <definedName name="furbankeng6ntries">[1]ENG!$C$18</definedName>
    <definedName name="Furbankengintpts">[1]ENG!$F$18</definedName>
    <definedName name="Furbankenginttries">[1]ENG!$B$18</definedName>
    <definedName name="Furlongire6npts">[1]IRE!$F$17</definedName>
    <definedName name="Furlongire6ntries">[1]IRE!$B$17</definedName>
    <definedName name="Furlongireintpts">[1]IRE!$G$17</definedName>
    <definedName name="Furlongireinttries">[1]IRE!$C$17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Fuscoita6nptscorrect">[1]ITA!$F$17</definedName>
    <definedName name="Fuscoita6ntriescorrect">[1]ITA!$B$17</definedName>
    <definedName name="fuscoitaintptscorrect">[1]ITA!$G$17</definedName>
    <definedName name="fuscoitainttriescorrect">[1]ITA!$C$17</definedName>
    <definedName name="gabrillaguesfra6npts">[1]FRA!$F$29</definedName>
    <definedName name="gabrillaguesfra6ntries">[1]FRA!$B$29</definedName>
    <definedName name="Gaffneysco6npts">SCO!$G$11</definedName>
    <definedName name="Gaffneysco6ntries">SCO!$B$11</definedName>
    <definedName name="gaffneyscointpts">SCO!$I$11</definedName>
    <definedName name="gaffneyscointtries">SCO!$D$11</definedName>
    <definedName name="Gagop4nzlpts">NZL!$G$11</definedName>
    <definedName name="Gagop4nzltries">NZL!$B$11</definedName>
    <definedName name="Gailletonfra6npts">[1]FRA!$F$30</definedName>
    <definedName name="Gailletonfra6ntries">[1]FRA!$B$30</definedName>
    <definedName name="gailletonfraintpts">[1]FRA!$G$30</definedName>
    <definedName name="gailletonfrainttries">[1]FRA!$C$30</definedName>
    <definedName name="Galarzaglopts">#REF!</definedName>
    <definedName name="Galarzaglotries">#REF!</definedName>
    <definedName name="Galarzamarianopts">#REF!</definedName>
    <definedName name="Galarzamarianotries">#REF!</definedName>
    <definedName name="Gallaghercanp4att">CAN!$M$15</definedName>
    <definedName name="Gallaghercanp4gls">CAN!$L$15</definedName>
    <definedName name="Gallaghercanp4pts">CAN!$G$16</definedName>
    <definedName name="Gallaghercanp4tries">CAN!$B$16</definedName>
    <definedName name="gallaghercanyratt">CAN!$M$5</definedName>
    <definedName name="Gallaghercanyrgls">CAN!$L$5</definedName>
    <definedName name="gallagherscowxvpts">SCO!$H$12</definedName>
    <definedName name="gallagherscowxvtries">SCO!$C$12</definedName>
    <definedName name="Galliganeng6npts">ENG!$G$22</definedName>
    <definedName name="Galliganeng6ntries">ENG!$B$22</definedName>
    <definedName name="galloargintpts">[1]ARG!$G$19</definedName>
    <definedName name="galloarginttries">[1]ARG!$C$19</definedName>
    <definedName name="Garbisi_Pita6ntries">[1]ITA!$B$19</definedName>
    <definedName name="garbisiaita6npts">[1]ITA!$F$18</definedName>
    <definedName name="garbisiaita6ntries">[1]ITA!$B$18</definedName>
    <definedName name="garbisiaitaintpts">[1]ITA!$G$18</definedName>
    <definedName name="garbisiaitainttries">[1]ITA!$C$18</definedName>
    <definedName name="garbisiita6natt">ITA!#REF!</definedName>
    <definedName name="Garbisiita6ngls">ITA!#REF!</definedName>
    <definedName name="Garbisiita6npts">ITA!$G$12</definedName>
    <definedName name="garbisiitayearatt">ITA!#REF!</definedName>
    <definedName name="Garbisiitayeargls">ITA!#REF!</definedName>
    <definedName name="garbisipitaintptscorrect">[1]ITA!$G$19</definedName>
    <definedName name="garbisipitatries">[1]ITA!$C$19</definedName>
    <definedName name="Garciaita6natt">ITA!#REF!</definedName>
    <definedName name="Garciaita6ngoals">ITA!#REF!</definedName>
    <definedName name="Garrattbthpts">#REF!</definedName>
    <definedName name="Garrattbthtries">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avinireintpts">[1]IRE!$G$18</definedName>
    <definedName name="gavinireinttries">[1]IRE!$C$18</definedName>
    <definedName name="Gengeeng6npts">[1]ENG!$G$19</definedName>
    <definedName name="Gengeeng6ntries">[1]ENG!$C$19</definedName>
    <definedName name="Gengeengintptscorrect">[1]ENG!$F$19</definedName>
    <definedName name="Gengeengintries">[1]ENG!$B$19</definedName>
    <definedName name="Georgeeng6npts">ENG!$G$15</definedName>
    <definedName name="Georgeeng6ntries">ENG!$B$15</definedName>
    <definedName name="Georgeengintcorrect">[1]ENG!$B$20</definedName>
    <definedName name="Georgeengintptscorrect">[1]ENG!$F$20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tries">#REF!</definedName>
    <definedName name="georgetries">#REF!</definedName>
    <definedName name="Georgewal6natt">WAL!$M$13</definedName>
    <definedName name="Georgewal6ngls">WAL!$L$13</definedName>
    <definedName name="Georgewal6npts">WAL!$G$11</definedName>
    <definedName name="Georgewal6ntries">WAL!$B$11</definedName>
    <definedName name="georgewalwxvatt">WAL!$M$27</definedName>
    <definedName name="Georgewalwxvgls">WAL!$L$27</definedName>
    <definedName name="Georgewalyratt">WAL!$M$5</definedName>
    <definedName name="Georgewalyrgls">WAL!$L$5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erinfrawxvpts">FRA!$H$25</definedName>
    <definedName name="gerinfrawxvtries">FRA!$C$25</definedName>
    <definedName name="Gesi_Sita6npts">[1]ITA!$F$20</definedName>
    <definedName name="Gesi_Sita6ntries">[1]ITA!$B$20</definedName>
    <definedName name="gesiitaintpts">[1]ITA!$G$20</definedName>
    <definedName name="gesiitainttries">[1]ITA!$C$20</definedName>
    <definedName name="gfordpts">#REF!</definedName>
    <definedName name="Ghiraldinileipts">#REF!</definedName>
    <definedName name="Ghiraldinileitries">#REF!</definedName>
    <definedName name="Gibson_Parkire6npts">IRE!$G$22</definedName>
    <definedName name="Gibson_Parkire6ntries">IRE!$B$22</definedName>
    <definedName name="Gibsonjamiepts">#REF!</definedName>
    <definedName name="Gibsonjamie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christscointpts">[1]SCO!$G$15</definedName>
    <definedName name="gilchristscointtries">[1]SCO!$C$15</definedName>
    <definedName name="Gildingjackpts">#REF!</definedName>
    <definedName name="Gildingjacktries">#REF!</definedName>
    <definedName name="Gillsarpts">#REF!</definedName>
    <definedName name="Gillsartries">#REF!</definedName>
    <definedName name="Gilsenanlipts">FRA!#REF!</definedName>
    <definedName name="Gilsenanlitries">FRA!#REF!</definedName>
    <definedName name="giordanoitawxvpts">ITA!$H$16</definedName>
    <definedName name="giordanoitawxvtries">ITA!$C$16</definedName>
    <definedName name="gloucesterpentriespts">#REF!</definedName>
    <definedName name="GloucesterPenTriestries">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pts">#REF!</definedName>
    <definedName name="Goodewaspts">#REF!</definedName>
    <definedName name="Goodewastries">#REF!</definedName>
    <definedName name="Goodhuecampts">#REF!</definedName>
    <definedName name="Goodhuecamtries">#REF!</definedName>
    <definedName name="Gordon_Causintpts">[1]AUS!$G$15</definedName>
    <definedName name="Gordon_Causinttries">[1]AUS!$C$15</definedName>
    <definedName name="gordonjausintpts">[1]AUS!$G$16</definedName>
    <definedName name="gordonjausinttries">[1]AUS!$C$16</definedName>
    <definedName name="gradywal6npts">[1]WAL!$F$20</definedName>
    <definedName name="gradywal6ntries">[1]WAL!$B$20</definedName>
    <definedName name="Grahamsco6npts">SCO!$G$10</definedName>
    <definedName name="Grahamsco6ntries">SCO!$B$10</definedName>
    <definedName name="grahamscointpts">[1]SCO!$G$16</definedName>
    <definedName name="grahamscointtries">[1]SCO!$C$16</definedName>
    <definedName name="grahamscopts">SCO!$J$10</definedName>
    <definedName name="grahamscotries">SCO!$E$10</definedName>
    <definedName name="Grantcanp4pts">CAN!$G$18</definedName>
    <definedName name="Grantcanp4tries">CAN!$B$18</definedName>
    <definedName name="grantcanwxvpts">CAN!$H$18</definedName>
    <definedName name="grantcanwxvtries">CAN!$C$18</definedName>
    <definedName name="Grantsco6npts">SCO!$G$13</definedName>
    <definedName name="Grantsco6ntries">SCO!$B$13</definedName>
    <definedName name="grantscowxvpts">SCO!$H$13</definedName>
    <definedName name="grantscowxvtries">SCO!$C$13</definedName>
    <definedName name="Granzottoita6npts">ITA!$G$17</definedName>
    <definedName name="Granzottoita6ntries">ITA!$B$17</definedName>
    <definedName name="granzottoitawxvpts">ITA!$H$17</definedName>
    <definedName name="granzottoitawxvtries">ITA!$C$17</definedName>
    <definedName name="graydannyatt">#REF!</definedName>
    <definedName name="graydannygoals">#REF!</definedName>
    <definedName name="Grayharpts">ENG!#REF!</definedName>
    <definedName name="Grayhartries">ENG!#REF!</definedName>
    <definedName name="Graypts">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isezfra6npts">FRA!$G$26</definedName>
    <definedName name="Grisezfra6ntries">FRA!$B$26</definedName>
    <definedName name="grisezfrawxvpts">FRA!$H$26</definedName>
    <definedName name="grisezfrawxvtries">FRA!$C$26</definedName>
    <definedName name="Grondona_Sargintpts">[1]ARG!$G$22</definedName>
    <definedName name="Grondona_Sarginttries">[1]ARG!$C$22</definedName>
    <definedName name="grosfraintpts">[1]FRA!$G$31</definedName>
    <definedName name="grosfrainttries">[1]FRA!$C$31</definedName>
    <definedName name="Grovepts">#REF!</definedName>
    <definedName name="Grovetries">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Guillardfra6npts">[1]FRA!$F$32</definedName>
    <definedName name="Guillardfra6ntries">[1]FRA!$B$32</definedName>
    <definedName name="guillardfraintpts">[1]FRA!$G$32</definedName>
    <definedName name="guillardfrainttries">[1]FRA!$C$32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#REF!</definedName>
    <definedName name="Haleymiketries">#REF!</definedName>
    <definedName name="halseauswxvpts">AUS!$H$12</definedName>
    <definedName name="halseauswxvtries">AUS!$C$12</definedName>
    <definedName name="HamiltonausP4pts">AUS!$G$13</definedName>
    <definedName name="HamiltonausP4tries">AUS!$B$13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IRE!#REF!</definedName>
    <definedName name="Hammersleynewtries">IRE!#REF!</definedName>
    <definedName name="Hammonddeanpts">#REF!</definedName>
    <definedName name="Hammonddeantries">#REF!</definedName>
    <definedName name="Hankinmattpts">#REF!</definedName>
    <definedName name="Hankinmatttries">#REF!</definedName>
    <definedName name="Hansenire6npts">IRE!$G$23</definedName>
    <definedName name="Hansenire6nries">IRE!$B$23</definedName>
    <definedName name="hansenireintpts">[1]IRE!$G$20</definedName>
    <definedName name="hansenireinttries">[1]IRE!$C$20</definedName>
    <definedName name="HardyWAL6NPTS">WAL!$G$21</definedName>
    <definedName name="Hardywal6nptscorrect">[1]WAL!$F$21</definedName>
    <definedName name="HardyWAL6NTRIES">WAL!$B$21</definedName>
    <definedName name="Hardywal6ntriescorrect">[1]WAL!$B$21</definedName>
    <definedName name="Hardywalintpts">[1]WAL!$G$21</definedName>
    <definedName name="Hardywalinttries">[1]WAL!$C$21</definedName>
    <definedName name="Hargreavessarpts">#REF!</definedName>
    <definedName name="Hargreavessartries">#REF!</definedName>
    <definedName name="Harrieswal6npts">WAL!$G$13</definedName>
    <definedName name="Harrieswal6ntries">WAL!$B$13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eng6natt">ENG!$M$17</definedName>
    <definedName name="Harrisoneng6ngls">ENG!$L$17</definedName>
    <definedName name="Harrisoneng6npts">ENG!$G$24</definedName>
    <definedName name="Harrisoneng6ntries">ENG!$B$24</definedName>
    <definedName name="Harrisonengwxvatt">ENG!$M$38</definedName>
    <definedName name="Harrisonengwxvgls">ENG!$L$38</definedName>
    <definedName name="harrisonengwxvpts">ENG!$H$24</definedName>
    <definedName name="harrisonengwxvtries">ENG!$C$24</definedName>
    <definedName name="Harrisonengyratt">ENG!$M$5</definedName>
    <definedName name="Harrisonengyrgls">ENG!$L$5</definedName>
    <definedName name="Harrisonnorpts">ITA!#REF!</definedName>
    <definedName name="Harrisonnortries">ITA!#REF!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cointpts">[1]SCO!$G$19</definedName>
    <definedName name="harrisonscointtries">[1]SCO!$C$19</definedName>
    <definedName name="HarrisSCO6NPTS">SCO!$G$12</definedName>
    <definedName name="HarrisSCO6NTRIES">SCO!$B$12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ENG!$A$2:$E$53</definedName>
    <definedName name="Haskelljamespts">#REF!</definedName>
    <definedName name="Haskelljamestries">#REF!</definedName>
    <definedName name="hastingsscointpts">[1]SCO!$G$20</definedName>
    <definedName name="hastingsscointtries">[1]SCO!$C$20</definedName>
    <definedName name="hastingsscoyratt">[1]SCO!$K$5</definedName>
    <definedName name="Hastingsscoyrgls">[1]SCO!$J$5</definedName>
    <definedName name="hastoyfraintpts">[1]FRA!$G$33</definedName>
    <definedName name="hastoyfrainttries">[1]FRA!$C$33</definedName>
    <definedName name="hastoyfrayratt">[1]FRA!$K$8</definedName>
    <definedName name="Hastoyfrayrgls">[1]FRA!$J$8</definedName>
    <definedName name="hatadajpnwxvpts">JPN!$H$6</definedName>
    <definedName name="hatadajpnwxvtries">JPN!$C$6</definedName>
    <definedName name="Hawkinscanp4pts">CAN!#REF!</definedName>
    <definedName name="Hawkinscanp4tries">CAN!#REF!</definedName>
    <definedName name="Hawkinsnewpts">IRE!#REF!</definedName>
    <definedName name="Hawkinsnewtries">IRE!#REF!</definedName>
    <definedName name="hawkinsUSAp4att">USA!$M$18</definedName>
    <definedName name="HawkinsUSAp4gls">USA!$L$18</definedName>
    <definedName name="HawkinsUSAP4pts">USA!$G$15</definedName>
    <definedName name="Hawkinsusap4tries">USA!$B$15</definedName>
    <definedName name="Hawkinsusawxvatt">USA!$M$34</definedName>
    <definedName name="Hawkinsusawxvgls">USA!$L$34</definedName>
    <definedName name="hawkinsusawxvpts">USA!$H$15</definedName>
    <definedName name="hawkinsusawxvtries">USA!$C$15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ITA!#REF!</definedName>
    <definedName name="Haywoodmiketries">ITA!#REF!</definedName>
    <definedName name="Healyire6npts">[1]IRE!$F$21</definedName>
    <definedName name="Healyire6ntries">[1]IRE!$B$21</definedName>
    <definedName name="healyireintpts">[1]IRE!$G$21</definedName>
    <definedName name="healyireinttries">[1]IRE!$C$21</definedName>
    <definedName name="heathcoteatt">#REF!</definedName>
    <definedName name="Heathcotegoals">#REF!</definedName>
    <definedName name="Heathcotepts">#REF!</definedName>
    <definedName name="Heathcoteptscorrect">#REF!</definedName>
    <definedName name="helersawxvpts">RSA!$H$13</definedName>
    <definedName name="helersawxvtries">RSA!$C$13</definedName>
    <definedName name="Helleurnewpts">IRE!#REF!</definedName>
    <definedName name="Helleurnewtris">IRE!#REF!</definedName>
    <definedName name="Helupts">#REF!</definedName>
    <definedName name="Helutries">#REF!</definedName>
    <definedName name="Hendrikse__Jordanrsaintpts">[1]RSA!$F$16</definedName>
    <definedName name="Hendrikse__Jordanrsainttries">[1]RSA!$B$16</definedName>
    <definedName name="Hennwelshpts">#REF!</definedName>
    <definedName name="Hennwelshtries">#REF!</definedName>
    <definedName name="Henrichusap4pts">USA!$G$17</definedName>
    <definedName name="Henrichusap4tries">USA!$B$17</definedName>
    <definedName name="Henshawire6npts">[1]IRE!$F$23</definedName>
    <definedName name="Henshawire6ntries">[1]IRE!$B$23</definedName>
    <definedName name="HENSHAWIREINTPTS">[1]IRE!$G$23</definedName>
    <definedName name="HENSHAWIREINTTRIES">[1]IRE!$C$23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pburnwaspts">#REF!</definedName>
    <definedName name="Hepburnwastries">#REF!</definedName>
    <definedName name="Hepetamaleipts">#REF!</definedName>
    <definedName name="Hepetamaleitries">#REF!</definedName>
    <definedName name="Hermetfra6npts">FRA!$G$28</definedName>
    <definedName name="Hermetfra6ntries">FRA!$B$28</definedName>
    <definedName name="Herringire6npts">[1]IRE!$F$24</definedName>
    <definedName name="Herringire6ntries">[1]IRE!$B$24</definedName>
    <definedName name="HERRINGIREINTTRIES">[1]IRE!$C$24</definedName>
    <definedName name="HERRINGREINTPTS">[1]IRE!$G$24</definedName>
    <definedName name="heyeseng6npts">[1]ENG!$G$21</definedName>
    <definedName name="heyeseng6ntries">[1]ENG!$C$21</definedName>
    <definedName name="Hibbardglopts">#REF!</definedName>
    <definedName name="Hibbardglotries">#REF!</definedName>
    <definedName name="Higginsire6npts">IRE!$G$18</definedName>
    <definedName name="Higginsire6ntries">IRE!$B$18</definedName>
    <definedName name="higginsirewxvpts">IRE!$H$18</definedName>
    <definedName name="higginsirewxvtries">IRE!$C$18</definedName>
    <definedName name="Hillsampts">#REF!</definedName>
    <definedName name="Hillsamtries">#REF!</definedName>
    <definedName name="Hinessalpts">#REF!</definedName>
    <definedName name="Hinessaltries">#REF!</definedName>
    <definedName name="Hinganousap4pts">USA!$G$18</definedName>
    <definedName name="Hinganousap4tries">USA!$B$18</definedName>
    <definedName name="hinganousawxvpts">USA!$H$18</definedName>
    <definedName name="hinganousawxvtries">USA!$C$18</definedName>
    <definedName name="hirotsujpnwxvpts">JPN!$H$7</definedName>
    <definedName name="hirotsujpnwxvtries">JPN!$C$7</definedName>
    <definedName name="hirotsupnwxvpts">JPN!$H$6</definedName>
    <definedName name="hirotsupnwxvtries">JPN!$C$6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an_Rochestercanp4pts">CAN!$G$19</definedName>
    <definedName name="Hogan_Rochestercanp4tries">CAN!$B$19</definedName>
    <definedName name="Hoganire6npts">IRE!$G$19</definedName>
    <definedName name="Hoganire6ntries">IRE!$B$19</definedName>
    <definedName name="hoganrochestercanwxvpts">CAN!$H$19</definedName>
    <definedName name="hoganrochestercanwxvtries">CAN!$C$19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SCO!#REF!</definedName>
    <definedName name="Hoggsco6ntries">SCO!#REF!</definedName>
    <definedName name="hoggscoatt">SCO!#REF!</definedName>
    <definedName name="Hoggscogoals">SCO!#REF!</definedName>
    <definedName name="hoggscointpts">[1]SCO!$G$21</definedName>
    <definedName name="hoggscointtries">[1]SCO!$C$21</definedName>
    <definedName name="hoggscoyratt">SCO!#REF!</definedName>
    <definedName name="Hoggscoyrgls">SCO!#REF!</definedName>
    <definedName name="HohalanzlP4pts">NZL!$G$12</definedName>
    <definedName name="HohalanzlP4tries">NZL!$B$12</definedName>
    <definedName name="Holmesjonahpts">#REF!</definedName>
    <definedName name="Holmesjonahtries">#REF!</definedName>
    <definedName name="holmesnzlP4att">NZL!$M$16</definedName>
    <definedName name="HolmesnzlP4gls">NZL!$L$16</definedName>
    <definedName name="HolmesnzlP4pts">NZL!$G$13</definedName>
    <definedName name="HolmesnzlP4tries">NZL!$B$13</definedName>
    <definedName name="Holmesnzlwxvatt">NZL!$M$33</definedName>
    <definedName name="Holmesnzlwxvgls">NZL!$L$33</definedName>
    <definedName name="holmesnzlwxvpts">NZL!$H$13</definedName>
    <definedName name="holmesnzlwxvtries">NZL!$C$13</definedName>
    <definedName name="Holmesnzlyratt">NZL!$M$6</definedName>
    <definedName name="Holmesnzlyrgls">NZL!$L$6</definedName>
    <definedName name="Holmeswaspts">#REF!</definedName>
    <definedName name="Holmeswastries">#REF!</definedName>
    <definedName name="holtkampcanwxvpts">CAN!#REF!</definedName>
    <definedName name="holtkampcanwxvtries">CAN!#REF!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FRA!#REF!</definedName>
    <definedName name="homerligoals">FRA!#REF!</definedName>
    <definedName name="homertombthatt">#REF!</definedName>
    <definedName name="Homertompts">FRA!#REF!</definedName>
    <definedName name="Homertomtried">FRA!#REF!</definedName>
    <definedName name="Hookerrsaintpts">[1]RSA!$F$17</definedName>
    <definedName name="Hookerrsainttries">[1]RSA!$B$17</definedName>
    <definedName name="hookgloatt">#REF!</definedName>
    <definedName name="hookglogoals">#REF!</definedName>
    <definedName name="Hookglopts">#REF!</definedName>
    <definedName name="Hookglotries">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#REF!</definedName>
    <definedName name="Hooperstuarttries">#REF!</definedName>
    <definedName name="hoopertausintpts">[1]AUS!$G$17</definedName>
    <definedName name="hoopertausinttries">[1]AUS!$C$17</definedName>
    <definedName name="Hopkinswal6npts">WAL!$G$16</definedName>
    <definedName name="Hopkinswal6ntries">WAL!$B$16</definedName>
    <definedName name="Hopperpts">ENG!#REF!</definedName>
    <definedName name="Hoppertries">ENG!#REF!</definedName>
    <definedName name="Hornesco6npts">[1]SCO!$F$22</definedName>
    <definedName name="Hornesco6ntries">[1]SCO!$B$22</definedName>
    <definedName name="hornescointpts">[1]SCO!$G$22</definedName>
    <definedName name="hornescointtries">[1]SCO!$C$22</definedName>
    <definedName name="Hornescoyratt">[1]SCO!$K$7</definedName>
    <definedName name="Hornescoyrgls">[1]SCO!$J$7</definedName>
    <definedName name="Hornrsaintpts">[1]RSA!$F$18</definedName>
    <definedName name="Hornrsainttries">[1]RSA!$B$18</definedName>
    <definedName name="Horstmannexepts">#REF!</definedName>
    <definedName name="Horstmannexetries">#REF!</definedName>
    <definedName name="Houstonleroypts">#REF!</definedName>
    <definedName name="Houstonleroytries">#REF!</definedName>
    <definedName name="Howetompts">#REF!</definedName>
    <definedName name="Howetomtries">#REF!</definedName>
    <definedName name="Hudsonjamespts">#REF!</definedName>
    <definedName name="hudsonjamestries">#REF!</definedName>
    <definedName name="Hughesexepts">#REF!</definedName>
    <definedName name="Hughesexetries">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ntcanp4pts">CAN!$G$20</definedName>
    <definedName name="Huntcanp4tries">CAN!$B$20</definedName>
    <definedName name="huntcanwxvpts">CAN!$H$20</definedName>
    <definedName name="huntcanwxvtries">CAN!$C$20</definedName>
    <definedName name="Huntereng6npts">ENG!$G$26</definedName>
    <definedName name="Huntereng6ntries">ENG!$B$26</definedName>
    <definedName name="hurdscointpts">[1]SCO!$G$23</definedName>
    <definedName name="hurdscointtries">[1]SCO!$C$23</definedName>
    <definedName name="hutchinsonscointptscorrect">[1]SCO!$G$24</definedName>
    <definedName name="hutchinsonscointtriescorrect">[1]SCO!$C$24</definedName>
    <definedName name="ikitauausintpts">[1]AUS!$G$18</definedName>
    <definedName name="ikitauausinttries">[1]AUS!$C$18</definedName>
    <definedName name="imakugijpnwxvpts">JPN!$H$8</definedName>
    <definedName name="imakugijpnwxvtries">JPN!$C$8</definedName>
    <definedName name="Infanteengpts">ENG!$G$27</definedName>
    <definedName name="Infanteengtries">ENG!$B$27</definedName>
    <definedName name="Ingallcharliepts">#REF!</definedName>
    <definedName name="Ingallcharlietries">#REF!</definedName>
    <definedName name="ioaneita6npts">[1]ITA!$F$21</definedName>
    <definedName name="ioaneita6ntries">[1]ITA!$B$21</definedName>
    <definedName name="ioaneitaintpts">[1]ITA!$G$21</definedName>
    <definedName name="ioaneitainttries">[1]ITA!$C$21</definedName>
    <definedName name="Ioanenzlintpts">[1]NZL!$F$16</definedName>
    <definedName name="Ioanenzlinttries">[1]NZL!$B$16</definedName>
    <definedName name="Ioanetjsalpts">#REF!</definedName>
    <definedName name="Ioanetjsaltries">#REF!</definedName>
    <definedName name="Isaacsglopts">#REF!</definedName>
    <definedName name="Isaacsglotries">#REF!</definedName>
    <definedName name="isaargintpts">[1]ARG!$G$23</definedName>
    <definedName name="isaarginttries">[1]ARG!$C$23</definedName>
    <definedName name="isgroargintpts">[1]ARG!$G$24</definedName>
    <definedName name="isgroarginttries">[1]ARG!$C$24</definedName>
    <definedName name="itojeeng6npts">[1]ENG!$G$22</definedName>
    <definedName name="itojeeng6ntries">[1]ENG!$C$22</definedName>
    <definedName name="ItojeINTPTS">[1]ENG!$F$22</definedName>
    <definedName name="ItojeINTTRIES">[1]ENG!$B$22</definedName>
    <definedName name="Itojesarpts">#REF!</definedName>
    <definedName name="Itojesartries">#REF!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rwasatt">#REF!</definedName>
    <definedName name="jacksonrwasgoals">#REF!</definedName>
    <definedName name="Jacobsbenpts">#REF!</definedName>
    <definedName name="Jacobsbentries">#REF!</definedName>
    <definedName name="jacobsrsawxvpts">RSA!$H$15</definedName>
    <definedName name="jacobsrsawxvtries">RSA!$C$15</definedName>
    <definedName name="Jacobswaspts">#REF!</definedName>
    <definedName name="Jacobswastries">#REF!</definedName>
    <definedName name="jacobyusawxvpts">USA!$H$19</definedName>
    <definedName name="jacobyusawxvtries">USA!$C$19</definedName>
    <definedName name="Jacquetfra6npts">FRA!$G$29</definedName>
    <definedName name="Jacquetfra6ntries">FRA!$B$29</definedName>
    <definedName name="Jalibertfra6npts">[1]FRA!$F$34</definedName>
    <definedName name="Jalibertfra6ntries">[1]FRA!$B$34</definedName>
    <definedName name="JALIBERTFRAINTPTS">[1]FRA!$G$34</definedName>
    <definedName name="Jalibertfrainttries">[1]FRA!$C$34</definedName>
    <definedName name="Jamespaulpts">#REF!</definedName>
    <definedName name="Jamespaultries">#REF!</definedName>
    <definedName name="Jamespts">#REF!</definedName>
    <definedName name="Jamessalpts">#REF!</definedName>
    <definedName name="Jamessaltries">#REF!</definedName>
    <definedName name="jamestries">#REF!</definedName>
    <definedName name="jaminetfra6natt">FRA!#REF!</definedName>
    <definedName name="Jaminetfra6ngls">FRA!#REF!</definedName>
    <definedName name="Jaminetfra6npts">FRA!$G$19</definedName>
    <definedName name="jaminetfrayearatt">FRA!#REF!</definedName>
    <definedName name="Jaminetfrayeargls">FRA!#REF!</definedName>
    <definedName name="Janse_v_Rensburgrsawxvatt">RSA!$M$37</definedName>
    <definedName name="Janse_v_Rensburgrsawxvgls">RSA!$L$37</definedName>
    <definedName name="jansevanrensburgrsawxvpts">RSA!$H$16</definedName>
    <definedName name="jansevanrensburgrsawxvtries">RSA!$C$16</definedName>
    <definedName name="jarrellsearcyusawxvpts">USA!$H$20</definedName>
    <definedName name="jarrellsearcyusawxvtries">USA!$C$20</definedName>
    <definedName name="Jegoufra6npts">[1]FRA!$F$35</definedName>
    <definedName name="Jegoufra6ntries">[1]FRA!$B$35</definedName>
    <definedName name="jegoufraintptscorrect">[1]FRA!$G$35</definedName>
    <definedName name="jegoufrainttries">[1]FRA!$C$35</definedName>
    <definedName name="Jelonchfra6npts">FRA!$G$20</definedName>
    <definedName name="Jelonchfra6ntries">FRA!$B$20</definedName>
    <definedName name="jelonchfraintpts">[1]FRA!$G$36</definedName>
    <definedName name="jelonchfrainttries">[1]FRA!$C$36</definedName>
    <definedName name="jenkinsnzlwxvpts">NZL!$H$14</definedName>
    <definedName name="jenkinsnzlwxvtries">NZL!$C$14</definedName>
    <definedName name="Jenningsbthpts">#REF!</definedName>
    <definedName name="Jenningsbthtries">#REF!</definedName>
    <definedName name="Jenningssalpts">#REF!</definedName>
    <definedName name="Jenningssaltries">#REF!</definedName>
    <definedName name="Jessexepts">#REF!</definedName>
    <definedName name="Jessexetries">#REF!</definedName>
    <definedName name="Jesspts">#REF!</definedName>
    <definedName name="Jesstries">#REF!</definedName>
    <definedName name="Jewellsebpts">#REF!</definedName>
    <definedName name="Jewellsebtries">#REF!</definedName>
    <definedName name="Johnson_Rusap4pts">USA!$G$22</definedName>
    <definedName name="Johnson_Rusap4tries">USA!$B$22</definedName>
    <definedName name="Johnsonashleypts">#REF!</definedName>
    <definedName name="johnsonashleytries">#REF!</definedName>
    <definedName name="Johnsoncanp4pts">CAN!#REF!</definedName>
    <definedName name="Johnsoncanp4tries">CAN!#REF!</definedName>
    <definedName name="Johnsonexepts">#REF!</definedName>
    <definedName name="Johnsonexetries">#REF!</definedName>
    <definedName name="johnsonrusawxvpts">USA!$H$22</definedName>
    <definedName name="johnsonrusawxvtries">USA!$C$22</definedName>
    <definedName name="Johnsonsco6npts">SCO!$G$15</definedName>
    <definedName name="JohnsonSCO6NTRIES">SCO!$B$15</definedName>
    <definedName name="Johnsontompts">#REF!</definedName>
    <definedName name="Johnsontomtries">#REF!</definedName>
    <definedName name="Johnsonwaspts">#REF!</definedName>
    <definedName name="Johnsonwastries">#REF!</definedName>
    <definedName name="Johnstonjamespts">#REF!</definedName>
    <definedName name="Johnstonjamestries">#REF!</definedName>
    <definedName name="jonathanjosephtries">#REF!</definedName>
    <definedName name="Jones_Kwal6npts">WAL!$G$19</definedName>
    <definedName name="Jones_Kwal6ntries">WAL!$B$19</definedName>
    <definedName name="Joneschrispts">#REF!</definedName>
    <definedName name="joneschristries">#REF!</definedName>
    <definedName name="joneseng6natt">ENG!$M$18</definedName>
    <definedName name="Joneseng6ngls">ENG!$L$18</definedName>
    <definedName name="Joneseng6npts">ENG!$G$28</definedName>
    <definedName name="Joneseng6ntries">ENG!$B$28</definedName>
    <definedName name="jonesengwxvpts">ENG!$H$28</definedName>
    <definedName name="jonesengwxvtries">ENG!$C$28</definedName>
    <definedName name="jonesirewxvpts">IRE!$H$23</definedName>
    <definedName name="jonesirewxvtries">IRE!$C$23</definedName>
    <definedName name="joneskwalwxvpts">WAL!$H$19</definedName>
    <definedName name="joneskwalwxvtries">WAL!$C$19</definedName>
    <definedName name="Jonesmarcpts">#REF!</definedName>
    <definedName name="Jonesmarctries">#REF!</definedName>
    <definedName name="Jonesmengatt">ENG!$M$6</definedName>
    <definedName name="Jonesmenggls">ENG!$L$6</definedName>
    <definedName name="Jonessampts">#REF!</definedName>
    <definedName name="Jonessamtries">#REF!</definedName>
    <definedName name="JonesSCO6NPTS">[1]SCO!$F$25</definedName>
    <definedName name="JonesSCO6NTRIES">[1]SCO!$B$25</definedName>
    <definedName name="jonesscointpts">[1]SCO!$G$25</definedName>
    <definedName name="jonesscointtries">[1]SCO!$C$25</definedName>
    <definedName name="Jordannzlintptscorrect">[1]NZL!$F$18</definedName>
    <definedName name="Jordannzlinttriescorrect">[1]NZL!$B$18</definedName>
    <definedName name="Jordansco6npts">[1]SCO!$F$26</definedName>
    <definedName name="Jordansco6ntries">[1]SCO!$B$26</definedName>
    <definedName name="jordanscointpts">[1]SCO!$G$26</definedName>
    <definedName name="jordanscointtries">[1]SCO!$C$26</definedName>
    <definedName name="jorgensenausintpts">[1]AUS!$G$19</definedName>
    <definedName name="jorgensenausinttries">[1]AUS!$C$19</definedName>
    <definedName name="Josephbatpts">#REF!</definedName>
    <definedName name="Josephbattries">#REF!</definedName>
    <definedName name="Josephjonathanptscorrect">#REF!</definedName>
    <definedName name="Josephjonathantriescorrect">#REF!</definedName>
    <definedName name="josephnzlwxvpts">NZL!$H$15</definedName>
    <definedName name="josephnzlwxvtries">NZL!$C$15</definedName>
    <definedName name="josephpts">#REF!</definedName>
    <definedName name="Josephpts2">#REF!</definedName>
    <definedName name="Jouberternstpts">#REF!</definedName>
    <definedName name="Jouberternsttries">#REF!</definedName>
    <definedName name="Joyeuxfra6npts">FRA!$G$30</definedName>
    <definedName name="Joyeuxfra6ntries">FRA!$B$30</definedName>
    <definedName name="Jubbtompts">#REF!</definedName>
    <definedName name="Jubbtomtries">#REF!</definedName>
    <definedName name="Kabeyaeng6npts">ENG!$G$29</definedName>
    <definedName name="Kabeyaeng6ntries">ENG!$B$29</definedName>
    <definedName name="kabeyaengwxvpts">ENG!$H$29</definedName>
    <definedName name="kabeyaengWXVtries">ENG!$C$29</definedName>
    <definedName name="kaileaausintpts">[1]AUS!$G$20</definedName>
    <definedName name="kaileaausinttries">[1]AUS!$C$20</definedName>
    <definedName name="Kalamafonipts">#REF!</definedName>
    <definedName name="Kalamafonitries">#REF!</definedName>
    <definedName name="kalouivalenzlwxvpts">NZL!$H$16</definedName>
    <definedName name="kalouivalenzlwxvtries">NZL!$C$16</definedName>
    <definedName name="KalounivalenzlP4pts">NZL!$G$16</definedName>
    <definedName name="KalounivalenzlP4tries">NZL!$B$16</definedName>
    <definedName name="KarpaniausP4pts">AUS!$G$14</definedName>
    <definedName name="KarpaniausP4tries">AUS!$B$14</definedName>
    <definedName name="karpaniauswxvpts">AUS!$H$14</definedName>
    <definedName name="karpaniauswxvtries">AUS!$C$14</definedName>
    <definedName name="kassilcanwxvpts">CAN!$H$21</definedName>
    <definedName name="kassilcanwxvtries">CAN!$C$21</definedName>
    <definedName name="kawamurajpnwxvpts">JPN!$H$11</definedName>
    <definedName name="kawamurajpnwxvtries">JPN!$C$11</definedName>
    <definedName name="Kearlwepts">#REF!</definedName>
    <definedName name="Kearlwetries">#REF!</definedName>
    <definedName name="Keenanire6npts">IRE!$G$29</definedName>
    <definedName name="Keenanire6ntries">IRE!$B$29</definedName>
    <definedName name="KEENANIREINTPTS">[1]IRE!$G$25</definedName>
    <definedName name="KEENANIREINTTRIES">[1]IRE!$C$25</definedName>
    <definedName name="kellawayausintpts">[1]AUS!$G$21</definedName>
    <definedName name="kellawayausinttries">[1]AUS!$C$21</definedName>
    <definedName name="kellawayausyratt">[1]AUS!$K$8</definedName>
    <definedName name="Kellawayausyrgls">[1]AUS!$J$8</definedName>
    <definedName name="kelleherire6npts">[1]IRE!$F$26</definedName>
    <definedName name="kelleherire6ntries">[1]IRE!$B$26</definedName>
    <definedName name="Kelterusap4pts">USA!$G$24</definedName>
    <definedName name="Kelterusap4tries">USA!$B$24</definedName>
    <definedName name="kereviausintpts">[1]AUS!$G$23</definedName>
    <definedName name="kereviausinttries">[1]AUS!$C$23</definedName>
    <definedName name="Khalfaouifra6npts">FRA!$G$31</definedName>
    <definedName name="Khalfaouifra6ntries">FRA!$B$31</definedName>
    <definedName name="khalfaouifrawxvpts">FRA!$H$31</definedName>
    <definedName name="khalfaouifrawxvtries">FRA!$C$31</definedName>
    <definedName name="Kibirigezachpts">IRE!#REF!</definedName>
    <definedName name="Kibirigezachtries">IRE!#REF!</definedName>
    <definedName name="kilcoyneireintpts">[1]IRE!$G$27</definedName>
    <definedName name="kilcoyneireinttries">[1]IRE!$C$27</definedName>
    <definedName name="Kildunneeng6npts">ENG!$G$30</definedName>
    <definedName name="Kildunneeng6ntries">ENG!$B$30</definedName>
    <definedName name="kildunneengwxvpts">ENG!$H$30</definedName>
    <definedName name="kildunneengwxvtries">ENG!$C$30</definedName>
    <definedName name="kinghornsco6npts">[1]SCO!$F$27</definedName>
    <definedName name="Kinghornsco6ntries">[1]SCO!$B$27</definedName>
    <definedName name="kinghornscointpts">[1]SCO!$G$27</definedName>
    <definedName name="kinghornscointtries">[1]SCO!$C$27</definedName>
    <definedName name="kinghornscoyratt">[1]SCO!$K$9</definedName>
    <definedName name="Kinghornscoyrgls">[1]SCO!$J$9</definedName>
    <definedName name="Kingire6ngls">IRE!$B$24</definedName>
    <definedName name="Kingire6npts">IRE!$G$24</definedName>
    <definedName name="kingire6ntries">IRE!$B$24</definedName>
    <definedName name="kingnzlp4att">NZL!$M$17</definedName>
    <definedName name="Kingnzlp4gls">NZL!$L$17</definedName>
    <definedName name="Kingnzlp4pts">NZL!$G$17</definedName>
    <definedName name="Kingnzlp4tries">NZL!$B$17</definedName>
    <definedName name="Kingnzlwxvatt">NZL!$M$34</definedName>
    <definedName name="Kingnzlwxvgls">NZL!$L$34</definedName>
    <definedName name="Kirifinzlintpts">[1]NZL!$F$19</definedName>
    <definedName name="Kirifinzlinttries">[1]NZL!$B$19</definedName>
    <definedName name="Kirwancarlpts">#REF!</definedName>
    <definedName name="Kirwancarltries">#REF!</definedName>
    <definedName name="kitanojpnwxvpts">JPN!$H$12</definedName>
    <definedName name="kitanojpnwxvtries">JPN!$C$12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nightpts">#REF!</definedName>
    <definedName name="Knighttries">#REF!</definedName>
    <definedName name="Kochhannbrawxvpts">BRA!$F$15</definedName>
    <definedName name="Kochhannbrawxvtries">BRA!$B$15</definedName>
    <definedName name="Kochrsaintpts">[1]RSA!$F$21</definedName>
    <definedName name="Kochrsainttries">[1]RSA!$B$21</definedName>
    <definedName name="Kolbersaintptscorrect">[1]RSA!$F$22</definedName>
    <definedName name="Kolbersainttriescorrect">[1]RSA!$B$22</definedName>
    <definedName name="Kolo_ofainewpts">IRE!#REF!</definedName>
    <definedName name="Kolo_ofainewtries">IRE!#REF!</definedName>
    <definedName name="komaitaifijwxvpts">FIJ!$I$10</definedName>
    <definedName name="komaitaifijwxvtries">FIJ!$D$10</definedName>
    <definedName name="Kondefra6npts">FRA!$G$32</definedName>
    <definedName name="Kondefra6ntries">FRA!$B$32</definedName>
    <definedName name="kondefrawxvpts">FRA!$H$32</definedName>
    <definedName name="kondefrawxvtries">FRA!$C$32</definedName>
    <definedName name="konkelintries">SCO!$D$14</definedName>
    <definedName name="Konkelscopts">SCO!$G$14</definedName>
    <definedName name="Konkelscotries">SCO!$B$14</definedName>
    <definedName name="koraijpnwxvpts">JPN!$H$16</definedName>
    <definedName name="koraijpnwxvtries">JPN!$C$16</definedName>
    <definedName name="koroibeteausintpts">[1]AUS!$G$24</definedName>
    <definedName name="koroibeteausinttries">[1]AUS!$C$24</definedName>
    <definedName name="kremerarginttries">[1]ARG!$C$25</definedName>
    <definedName name="kremerargontpts">[1]ARG!$G$25</definedName>
    <definedName name="Krielrsaintptscorrect">[1]RSA!$F$24</definedName>
    <definedName name="Krielrsainttriescorrect">[1]RSA!$B$24</definedName>
    <definedName name="Kruisgeorgepts">#REF!</definedName>
    <definedName name="Kruisgeorgetries">#REF!</definedName>
    <definedName name="Kuleminsalpts">#REF!</definedName>
    <definedName name="Kuleminsaltries">#REF!</definedName>
    <definedName name="Kvesicmattpts">#REF!</definedName>
    <definedName name="Kvesicmatttries">#REF!</definedName>
    <definedName name="Lachancecanp4pts">CAN!$G$22</definedName>
    <definedName name="Lachancecanp4tries">CAN!$B$22</definedName>
    <definedName name="lachancecanwxvpts">CAN!$H$22</definedName>
    <definedName name="lachancecanwxvtries">CAN!$C$22</definedName>
    <definedName name="Lahiffmaxbthpts">#REF!</definedName>
    <definedName name="lahiffmaxbthtries">#REF!</definedName>
    <definedName name="laidlawgloatt">#REF!</definedName>
    <definedName name="laidlawglogoals">#REF!</definedName>
    <definedName name="Laidlawglopts">#REF!</definedName>
    <definedName name="Laidlawglotries">#REF!</definedName>
    <definedName name="laidlawsco6natt">SCO!#REF!</definedName>
    <definedName name="Laidlawsco6ngoals">SCO!#REF!</definedName>
    <definedName name="Lakainzlintpts">[1]NZL!$F$20</definedName>
    <definedName name="Lakainzlinttries">[1]NZL!$B$20</definedName>
    <definedName name="Lakewal6npts">WAL!$G$23</definedName>
    <definedName name="Lakewal6ntries">WAL!$B$23</definedName>
    <definedName name="lakewalintpts">[1]WAL!$G$23</definedName>
    <definedName name="lakewalinttries">[1]WAL!$C$23</definedName>
    <definedName name="lamaroitaintpts">[1]ITA!$G$22</definedName>
    <definedName name="lamaroitainttries">[1]ITA!$C$22</definedName>
    <definedName name="lambatt">#REF!</definedName>
    <definedName name="Lambertharpts">ENG!#REF!</definedName>
    <definedName name="Lamberthartries">ENG!#REF!</definedName>
    <definedName name="lambgoals">#REF!</definedName>
    <definedName name="Lambpts">#REF!</definedName>
    <definedName name="Lambptscorrect">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nebatpts">#REF!</definedName>
    <definedName name="Lanebattris">#REF!</definedName>
    <definedName name="Laneire6npts">IRE!$G$25</definedName>
    <definedName name="Laneire6ntries">IRE!$B$25</definedName>
    <definedName name="Lanerichardpts">#REF!</definedName>
    <definedName name="Lanerichardtries">#REF!</definedName>
    <definedName name="Lanerichardtriescorrect">#REF!</definedName>
    <definedName name="Langdonengintpts">[1]ENG!$F$23</definedName>
    <definedName name="Langdonenginttries">[1]ENG!$B$23</definedName>
    <definedName name="LATSHARSAWXVPTS">RSA!$H$19</definedName>
    <definedName name="LATSHARSAWXVTRIES">RSA!$C$19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wesnorpts">ITA!#REF!</definedName>
    <definedName name="Lawesnortries">ITA!#REF!</definedName>
    <definedName name="Lawrenceeng6npts">[1]ENG!$G$24</definedName>
    <definedName name="Lawrenceeng6ntries">[1]ENG!$C$24</definedName>
    <definedName name="Lawrenceengintcorrect">[1]ENG!$B$24</definedName>
    <definedName name="Lawrenceengintptscorrect">[1]ENG!$F$24</definedName>
    <definedName name="Lawrencewaspts">#REF!</definedName>
    <definedName name="Lawrencewastries">#REF!</definedName>
    <definedName name="lawscointpts">SCO!$I$15</definedName>
    <definedName name="Lawscoyrgls">SCO!#REF!</definedName>
    <definedName name="lawsocyrAtt">SCO!#REF!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_Garrecfrayratt">[1]FRA!$K$10</definedName>
    <definedName name="Le_Garrecfrayrgls">[1]FRA!$J$10</definedName>
    <definedName name="ledingtonausintpts">AUS!$I$18</definedName>
    <definedName name="ledingtonausinttries">AUS!$D$18</definedName>
    <definedName name="Leesexepts">#REF!</definedName>
    <definedName name="Leesexetries">#REF!</definedName>
    <definedName name="legarrcefra6npts">[1]FRA!$F$37</definedName>
    <definedName name="legarrecfra6ntries">[1]FRA!$B$37</definedName>
    <definedName name="legarrecfraintpts">[1]FRA!$G$37</definedName>
    <definedName name="legarrecfrainttries">[1]FRA!$C$37</definedName>
    <definedName name="leicspentriespts">#REF!</definedName>
    <definedName name="leicspentriestries">#REF!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FRA!#REF!</definedName>
    <definedName name="Leolitries">FRA!#REF!</definedName>
    <definedName name="Leotajohnnypts">#REF!</definedName>
    <definedName name="Leotajohnnytries">#REF!</definedName>
    <definedName name="Leti_l_iganzlp4pts">NZL!$G$18</definedName>
    <definedName name="Leti_l_iganzlp4tries">NZL!$B$18</definedName>
    <definedName name="letiiiganzlwxvpts">NZL!$H$18</definedName>
    <definedName name="letiiiganzlwxvtries">NZL!$C$18</definedName>
    <definedName name="Lewingtonalextries">FRA!#REF!</definedName>
    <definedName name="Lewingtonpts">FRA!#REF!</definedName>
    <definedName name="Lewingtontries">FRA!#REF!</definedName>
    <definedName name="Lewis_">#REF!</definedName>
    <definedName name="Lewis_Bwal6npts">WAL!$G$24</definedName>
    <definedName name="Lewis_Bwal6ntries">WAL!$B$24</definedName>
    <definedName name="Lewis_Fwal6npts">WAL!$G$26</definedName>
    <definedName name="Lewis_Fwal6ntries">WAL!$B$26</definedName>
    <definedName name="Lewis_Robertssalpts">#REF!</definedName>
    <definedName name="Lewis_Robertssaltries">#REF!</definedName>
    <definedName name="Lewisdavepts">#REF!</definedName>
    <definedName name="Lewisdavetries">#REF!</definedName>
    <definedName name="Lewisjamespts">#REF!</definedName>
    <definedName name="Lewisjamestries">#REF!</definedName>
    <definedName name="Lewisrobpts">#REF!</definedName>
    <definedName name="Lewisrobtries">#REF!</definedName>
    <definedName name="Libbok_Mrsayrgls">[1]RSA!$J$9</definedName>
    <definedName name="libbokjrsayratt">[1]RSA!$K$9</definedName>
    <definedName name="Libbokrsaintptscorrect">[1]RSA!$F$26</definedName>
    <definedName name="Libbokrsainttries">[1]RSA!$B$26</definedName>
    <definedName name="Lienert_Brownnzlinttries">[1]NZL!$B$21</definedName>
    <definedName name="lienertbrownnzlintpts">[1]NZL!$F$21</definedName>
    <definedName name="Lindsay_Hagueolliepts">ENG!#REF!</definedName>
    <definedName name="Lindsay_Hagueollietries">ENG!#REF!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lewellynwalintpts">[1]WAL!$G$24</definedName>
    <definedName name="llewellynwalinttries">[1]WAL!$C$24</definedName>
    <definedName name="Llewellynwalpts">[1]WAL!$F$24</definedName>
    <definedName name="Llewellynwaltries">[1]WAL!$B$24</definedName>
    <definedName name="Llorensfra6npts">FRA!$G$33</definedName>
    <definedName name="Llorensfra6ntries">FRA!$B$33</definedName>
    <definedName name="Lloydsco6npts">SCO!$G$16</definedName>
    <definedName name="Lloydscointpts">SCO!$G$16</definedName>
    <definedName name="lloydscointptscorrect">SCO!$I$16</definedName>
    <definedName name="lloydscointtries">SCO!$D$16</definedName>
    <definedName name="lloydscowxvpts">SCO!$H$16</definedName>
    <definedName name="lloydscowxvtries">SCO!$C$16</definedName>
    <definedName name="Lloydscpo6ntries">SCO!$B$16</definedName>
    <definedName name="lloydwal6npts">[1]WAL!$F$25</definedName>
    <definedName name="lloydwal6ntries">[1]WAL!$B$25</definedName>
    <definedName name="Loamanuleipts">#REF!</definedName>
    <definedName name="Loamanuleitries">#REF!</definedName>
    <definedName name="Lokotuiglopts">#REF!</definedName>
    <definedName name="Lokotuiglotries">#REF!</definedName>
    <definedName name="lolesioausintptsscorrect">[1]AUS!$G$26</definedName>
    <definedName name="lolesioausinttries">[1]AUS!$C$26</definedName>
    <definedName name="lolesioausyratt">[1]AUS!$K$9</definedName>
    <definedName name="Lolesioausyrgls">[1]AUS!$J$9</definedName>
    <definedName name="lomanifijwvpts">FIJ!$I$12</definedName>
    <definedName name="lomanifijwvtries">FIJ!$D$12</definedName>
    <definedName name="londonirishpentriespts">FRA!#REF!</definedName>
    <definedName name="londonirishpentriestries">FRA!#REF!</definedName>
    <definedName name="Longbottomsarpts">#REF!</definedName>
    <definedName name="Longbottomsartries">#REF!</definedName>
    <definedName name="Louw_Ersaintpts">[1]RSA!$F$27</definedName>
    <definedName name="Louw_Ersainttries">[1]RSA!$B$27</definedName>
    <definedName name="Louw_Wrsainttries">[1]RSA!$B$28</definedName>
    <definedName name="Louwfrancoispts">#REF!</definedName>
    <definedName name="Louwfrancoistris">#REF!</definedName>
    <definedName name="louwwrsaintpts">[1]RSA!$G$28</definedName>
    <definedName name="Lovenzlintpts">[1]NZL!$F$23</definedName>
    <definedName name="lovenzlinttries">[1]NZL!$B$23</definedName>
    <definedName name="Lovenzlp4pts">NZL!$G$20</definedName>
    <definedName name="Lovenzlp4tries">NZL!$B$20</definedName>
    <definedName name="Loweharpts">ENG!#REF!</definedName>
    <definedName name="Lowehartries">ENG!#REF!</definedName>
    <definedName name="Loweire6npts">IRE!$G$32</definedName>
    <definedName name="Loweire6ntries">IRE!$B$32</definedName>
    <definedName name="loweireintpts">[1]IRE!$G$29</definedName>
    <definedName name="loweireinttries">[1]IRE!$C$29</definedName>
    <definedName name="Lowkierantries">FRA!#REF!</definedName>
    <definedName name="Lowlipts">FRA!#REF!</definedName>
    <definedName name="Lowmoraypts">#REF!</definedName>
    <definedName name="Lowmoraytries">#REF!</definedName>
    <definedName name="Lowpts">FRA!#REF!</definedName>
    <definedName name="Lowptscorrect">FRA!#REF!</definedName>
    <definedName name="Lowryire6npts">IRE!$G$33</definedName>
    <definedName name="Lowryire6ntries">IRE!$B$33</definedName>
    <definedName name="lowtries">FRA!#REF!</definedName>
    <definedName name="Lowtriescorrect">FRA!#REF!</definedName>
    <definedName name="Lozadawaspts">#REF!</definedName>
    <definedName name="Lozadawastries">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chesiitaintpts">[1]ITA!$G$23</definedName>
    <definedName name="lucchesiitainttries">[1]ITA!$C$23</definedName>
    <definedName name="lucufra6npts">[1]FRA!$F$38</definedName>
    <definedName name="lucufra6ntries">[1]FRA!$B$38</definedName>
    <definedName name="LUCUFRAINTPTS">[1]FRA!$G$38</definedName>
    <definedName name="lucufrainttries">[1]FRA!$C$38</definedName>
    <definedName name="lucufrayratt">[1]FRA!$K$11</definedName>
    <definedName name="Lucufrayrgls">[1]FRA!$J$11</definedName>
    <definedName name="Lundsalpts">#REF!</definedName>
    <definedName name="Lundsaltries">#REF!</definedName>
    <definedName name="Lutuieng6npts">ENG!$G$31</definedName>
    <definedName name="Lutuieng6ntries">ENG!$B$31</definedName>
    <definedName name="Lutuiglopts">#REF!</definedName>
    <definedName name="Lutuiglotries">#REF!</definedName>
    <definedName name="lynaghausintpts">[1]AUS!$G$27</definedName>
    <definedName name="lynaghausinttries">[1]AUS!$C$27</definedName>
    <definedName name="Lynaghausyratt">[1]AUS!$K$10</definedName>
    <definedName name="Lynaghausyrgls">[1]AUS!$J$10</definedName>
    <definedName name="lynaghita6npts">[1]ITA!$F$24</definedName>
    <definedName name="lynaghita6ntries">[1]ITA!$B$24</definedName>
    <definedName name="lynaghitapts">[1]ITA!$G$24</definedName>
    <definedName name="lynaghitatries">[1]ITA!$C$24</definedName>
    <definedName name="Ma_afusalesipts">ITA!#REF!</definedName>
    <definedName name="Ma_afusalesitries">ITA!#REF!</definedName>
    <definedName name="macaloufraintpts">[1]FRA!$G$39</definedName>
    <definedName name="macaloufrainttries">[1]FRA!$C$39</definedName>
    <definedName name="MacDonaldeng6npts">ENG!$G$32</definedName>
    <definedName name="MacDonaldeng6ntries">ENG!$B$32</definedName>
    <definedName name="macdonaldengwxvpts">ENG!$H$32</definedName>
    <definedName name="macdonaldengwxvtries">ENG!$C$32</definedName>
    <definedName name="MacKenziephilpts">#REF!</definedName>
    <definedName name="MacKenziephiltries">#REF!</definedName>
    <definedName name="MacLeodnewpts">IRE!#REF!</definedName>
    <definedName name="MacLeodnewtries">IRE!#REF!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diaita6npts">ITA!$G$19</definedName>
    <definedName name="Madiaita6ntries">ITA!$B$19</definedName>
    <definedName name="Mafipts">#REF!</definedName>
    <definedName name="Mafistevepts">#REF!</definedName>
    <definedName name="Mafistevetriescorrect">#REF!</definedName>
    <definedName name="mafitries">#REF!</definedName>
    <definedName name="makuarsawxvpts">RSA!$H$22</definedName>
    <definedName name="makuarsawxvtries">RSA!$C$22</definedName>
    <definedName name="Malcolmsco6npts">SCO!$G$17</definedName>
    <definedName name="Malcolmsco6ntries">SCO!$B$17</definedName>
    <definedName name="Malieponzlp4pts">NZL!$G$21</definedName>
    <definedName name="Malieponzlp4tries">NZL!$B$21</definedName>
    <definedName name="malingarsawxvpts">RSA!$H$23</definedName>
    <definedName name="malingarsawxvtries">RSA!$C$23</definedName>
    <definedName name="Malinseng6npts">[1]ENG!$G$25</definedName>
    <definedName name="Malinseng6ntries">[1]ENG!$C$25</definedName>
    <definedName name="malliaargintpts">[1]ARG!$G$27</definedName>
    <definedName name="malliaarginttries">[1]ARG!$C$27</definedName>
    <definedName name="malliaargyratt">[1]ARG!$K$7</definedName>
    <definedName name="Malliaargyrgls">[1]ARG!$J$7</definedName>
    <definedName name="Mamukashvilisalpts">#REF!</definedName>
    <definedName name="Mamukashvilisaltries">#REF!</definedName>
    <definedName name="mannianiitawxvpts">ITA!$H$20</definedName>
    <definedName name="mannianiitawxvtries">ITA!$C$20</definedName>
    <definedName name="mannwal6npts">[1]WAL!$F$26</definedName>
    <definedName name="mannwal6ntriws">[1]WAL!$B$26</definedName>
    <definedName name="Manoanorpts">ITA!#REF!</definedName>
    <definedName name="Manoanortries">ITA!#REF!</definedName>
    <definedName name="Manoapts">ITA!#REF!</definedName>
    <definedName name="manoatries">ITA!#REF!</definedName>
    <definedName name="Mapimpirsaintptscorrect">[1]RSA!$F$29</definedName>
    <definedName name="Mapimpirsainttriescorrect">[1]RSA!$B$29</definedName>
    <definedName name="Marchandfra6npts">[1]FRA!$F$40</definedName>
    <definedName name="Marchandfra6ntries">[1]FRA!$B$40</definedName>
    <definedName name="marchandfraintpts">[1]FRA!$G$40</definedName>
    <definedName name="marchandfrainttries">[1]FRA!$C$40</definedName>
    <definedName name="Marfoharpts">ENG!#REF!</definedName>
    <definedName name="Marfohartries">ENG!#REF!</definedName>
    <definedName name="Marinita6npts">[1]ITA!$F$25</definedName>
    <definedName name="Marinita6ntries">[1]ITA!$B$25</definedName>
    <definedName name="marinitaintptscorrect">[1]ITA!$G$25</definedName>
    <definedName name="marinitainttriescorrect">[1]ITA!$C$25</definedName>
    <definedName name="Marino_Tauhinunzlp4pts">NZL!$G$22</definedName>
    <definedName name="Marino_Tauhinunzlp4tries">NZL!$B$22</definedName>
    <definedName name="Marlerharpts">ENG!#REF!</definedName>
    <definedName name="Marlerpts">ENG!#REF!</definedName>
    <definedName name="marlertries">ENG!#REF!</definedName>
    <definedName name="Marstersausp4pts">AUS!$G$20</definedName>
    <definedName name="Marstersausp4tries">AUS!$B$20</definedName>
    <definedName name="marstersauswxvpts">AUS!$H$20</definedName>
    <definedName name="marstersauswxvtries">AUS!$C$20</definedName>
    <definedName name="Martinsco6npts">SCO!$G$18</definedName>
    <definedName name="Martinsco6ntries">SCO!$B$18</definedName>
    <definedName name="Marxrsaintptscorrect">[1]RSA!$F$30</definedName>
    <definedName name="Marxrsainttriescorrect">[1]RSA!$B$30</definedName>
    <definedName name="Masiwaspts">#REF!</definedName>
    <definedName name="Masiwastries">#REF!</definedName>
    <definedName name="Matavesipts">#REF!</definedName>
    <definedName name="matavesitries">#REF!</definedName>
    <definedName name="materaargintpts">[1]ARG!$G$28</definedName>
    <definedName name="materaarginttries">[1]ARG!$C$28</definedName>
    <definedName name="Materapablopts">#REF!</definedName>
    <definedName name="Materapablotries">#REF!</definedName>
    <definedName name="matsumurajpnwxvpts">JPN!$H$21</definedName>
    <definedName name="matsumurajpnwxvtries">JPN!$C$21</definedName>
    <definedName name="matthewsengwxvpts">ENG!$H$33</definedName>
    <definedName name="matthewsengwxvtries">ENG!$C$33</definedName>
    <definedName name="Matthewsharpts">ENG!#REF!</definedName>
    <definedName name="Matthewshartries">ENG!#REF!</definedName>
    <definedName name="mauvacafraintpts">[1]FRA!$G$41</definedName>
    <definedName name="mauvacafrainttries">[1]FRA!$C$41</definedName>
    <definedName name="MauvakaFRA6NPTS">[1]FRA!$F$41</definedName>
    <definedName name="MauvakaFRA6NTRIES">[1]FRA!$B$41</definedName>
    <definedName name="Mayglopts">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#REF!</definedName>
    <definedName name="Maytompts">#REF!</definedName>
    <definedName name="Maytomtries">#REF!</definedName>
    <definedName name="Maytris">#REF!</definedName>
    <definedName name="Mbonambirsaintptscorrect">[1]RSA!$F$31</definedName>
    <definedName name="Mbonambirsainttriescorrect">[1]RSA!$B$31</definedName>
    <definedName name="McAlisternzlintpts">[1]NZL!$F$24</definedName>
    <definedName name="McAlisternzlinttries">[1]NZL!$B$24</definedName>
    <definedName name="mcatshulwarsawxvpts">RSA!$H$26</definedName>
    <definedName name="mcatshulwarsawxvtries">RSA!$C$26</definedName>
    <definedName name="McCaffreywelshpts">#REF!</definedName>
    <definedName name="McCaffreywelshtries">#REF!</definedName>
    <definedName name="McCarthy_Gire6npts">[1]IRE!$F$30</definedName>
    <definedName name="McCarthy_Gire6ntries">[1]IRE!$B$30</definedName>
    <definedName name="McCarthy_Pire6npts">[1]IRE!$F$32</definedName>
    <definedName name="McCarthy_Pire6ntries">[1]IRE!$B$32</definedName>
    <definedName name="McCarthy_Pireintpts">[1]IRE!$G$32</definedName>
    <definedName name="McCarthy_Pireinttries">[1]IRE!$C$32</definedName>
    <definedName name="mccarthygireintpts">[1]IRE!$G$30</definedName>
    <definedName name="mccarthygireinttries">[1]IRE!$C$30</definedName>
    <definedName name="mccarthyireintpts">[1]IRE!$G$31</definedName>
    <definedName name="mccarthyireinttries">[1]IRE!$C$31</definedName>
    <definedName name="mccloskeyireintpts">[1]IRE!$G$33</definedName>
    <definedName name="mccloskeyireinttries">[1]IRE!$C$33</definedName>
    <definedName name="McCollgloptsd">#REF!</definedName>
    <definedName name="McCollglotries">#REF!</definedName>
    <definedName name="mcdermottausintpts">[1]AUS!$G$28</definedName>
    <definedName name="mcdermottausinttries">[1]AUS!$C$28</definedName>
    <definedName name="mcdowallscointpts">[1]SCO!$G$29</definedName>
    <definedName name="mcdowallscointtries">[1]SCO!$C$29</definedName>
    <definedName name="McGannire6npts">IRE!$G$26</definedName>
    <definedName name="McGannire6ntries">IRE!$B$26</definedName>
    <definedName name="mcgannirewxpts">IRE!$H$26</definedName>
    <definedName name="mcgannirewxtries">IRE!$C$26</definedName>
    <definedName name="McGhiesco6npts">SCO!$G$22</definedName>
    <definedName name="McGhiesco6ntries">SCO!$B$22</definedName>
    <definedName name="mcghiescowxvpts">SCO!$H$22</definedName>
    <definedName name="mcghiescowxvtries">SCO!$C$22</definedName>
    <definedName name="McGuiganexepts">#REF!</definedName>
    <definedName name="McGuiganexetries">#REF!</definedName>
    <definedName name="McGuiganpts">IRE!#REF!</definedName>
    <definedName name="McGuigantries">IRE!#REF!</definedName>
    <definedName name="McIntyresimonpts">#REF!</definedName>
    <definedName name="McIntyresimontries">#REF!</definedName>
    <definedName name="McIntyrewastries">#REF!</definedName>
    <definedName name="McKennaeng6npts">ENG!$G$34</definedName>
    <definedName name="McKennaeng6ntries">ENG!$B$34</definedName>
    <definedName name="McKenzie_Dnzlyrgls">[1]NZL!$J$6</definedName>
    <definedName name="mckenzieausP4att">AUS!$M$16</definedName>
    <definedName name="McKenzieausP4gls">AUS!$L$16</definedName>
    <definedName name="McKenzieausP4pts">AUS!$G$21</definedName>
    <definedName name="McKenzieausp4tries">AUS!$B$21</definedName>
    <definedName name="McKenzieauswxvatt">AUS!$P$33</definedName>
    <definedName name="McKenzieauswxvgls">AUS!$O$33</definedName>
    <definedName name="mckenzieauswxvpts">AUS!$H$21</definedName>
    <definedName name="mckenzieauswxvtries">AUS!$C$21</definedName>
    <definedName name="McKenziefraserpts">IRE!#REF!</definedName>
    <definedName name="McKenziefrasertries">IRE!#REF!</definedName>
    <definedName name="McKenzienzlintptscorrect">[1]NZL!$F$25</definedName>
    <definedName name="McKenzienzlinttriescorrect">[1]NZL!$B$25</definedName>
    <definedName name="mckenzienzlyratt">[1]NZL!$K$6</definedName>
    <definedName name="McLachlansco6npts">SCO!$G$23</definedName>
    <definedName name="McLachlansco6ntries">SCO!$B$23</definedName>
    <definedName name="mcleansalatt">#REF!</definedName>
    <definedName name="mcleansalgoals">#REF!</definedName>
    <definedName name="McLeansalpts">#REF!</definedName>
    <definedName name="McLeansaltries">#REF!</definedName>
    <definedName name="McMillannorpts">ITA!#REF!</definedName>
    <definedName name="McMillannortries">ITA!#REF!</definedName>
    <definedName name="McNallyjoshpts">#REF!</definedName>
    <definedName name="McNallyjoshtries">#REF!</definedName>
    <definedName name="mcreightausintpts">[1]AUS!$G$29</definedName>
    <definedName name="mcreightausinttries">[1]AUS!$C$29</definedName>
    <definedName name="Meafoufra6npts">[1]FRA!$F$42</definedName>
    <definedName name="Meafoufra6ntries">[1]FRA!$B$42</definedName>
    <definedName name="Meafoufraintpts">[1]FRA!$G$42</definedName>
    <definedName name="Meafoufrainttries">[1]FRA!$C$42</definedName>
    <definedName name="Meakesglopts">#REF!</definedName>
    <definedName name="Meakesglo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moncelloitainttries">[1]ITA!$C$26</definedName>
    <definedName name="Menager_Mfra6npts">FRA!$G$35</definedName>
    <definedName name="Menager_Mfra6ntries">FRA!$B$35</definedName>
    <definedName name="menagerfrawxvpts">FRA!$H$35</definedName>
    <definedName name="menagerfrawxvtries">FRA!$C$35</definedName>
    <definedName name="mendyargintpts">[1]ARG!$G$29</definedName>
    <definedName name="mendyarginttries">[1]ARG!$C$29</definedName>
    <definedName name="Menincanp4pts">CAN!$G$23</definedName>
    <definedName name="Menincanp4tries">CAN!$B$23</definedName>
    <definedName name="Menoncelloita6npts">ITA!$G$15</definedName>
    <definedName name="Menoncelloita6ntries">ITA!$B$15</definedName>
    <definedName name="menoncelloitaintpts">[1]ITA!$G$26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#REF!</definedName>
    <definedName name="mieresgoals">#REF!</definedName>
    <definedName name="Mierespts">#REF!</definedName>
    <definedName name="mierestries">#REF!</definedName>
    <definedName name="Mikaele_Tu_unzlp4pts">NZL!$G$24</definedName>
    <definedName name="Mikaele_Tu_unzlp4tries">NZL!$B$24</definedName>
    <definedName name="MikaeleTuunzlwxvpts">NZL!$H$24</definedName>
    <definedName name="MikaeleTuunzlwxvtries">NZL!$C$24</definedName>
    <definedName name="mikepts">ENG!#REF!</definedName>
    <definedName name="millerasusintpts">AUS!$I$22</definedName>
    <definedName name="millerasusinttries">AUS!$D$22</definedName>
    <definedName name="Millerausp4pts">AUS!$G$22</definedName>
    <definedName name="Millerausp4tries">AUS!$B$22</definedName>
    <definedName name="millerauswxvpts">AUS!$H$22</definedName>
    <definedName name="millerauswxvtries">AUS!$C$22</definedName>
    <definedName name="millerausyratt">AUS!$M$7</definedName>
    <definedName name="millerausyrgls">AUS!$L$7</definedName>
    <definedName name="millernzlwxvpts">NZL!$H$25</definedName>
    <definedName name="millernzlwxvtries">NZL!$C$25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sjonathanpts">#REF!</definedName>
    <definedName name="Millsjonathantries">#REF!</definedName>
    <definedName name="Milneire6npts">[1]IRE!$F$34</definedName>
    <definedName name="Milneire6ntries">[1]IRE!$B$34</definedName>
    <definedName name="Milneireintpts">[1]IRE!$G$34</definedName>
    <definedName name="Milneireinttries">[1]IRE!$C$34</definedName>
    <definedName name="Minuzziita6npts">ITA!$G$24</definedName>
    <definedName name="Minuzziita6ntries">ITA!$B$24</definedName>
    <definedName name="minuzziitawxvpts">ITA!$H$24</definedName>
    <definedName name="minuzziitawxvtries">ITA!$C$24</definedName>
    <definedName name="mitchelleng6npts">[1]ENG!$G$27</definedName>
    <definedName name="mitchelleng6ntries">[1]ENG!$C$27</definedName>
    <definedName name="Mitchellengintpts">[1]ENG!$F$27</definedName>
    <definedName name="Mitchellenginttries">[1]ENG!$B$27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efana6npts">FRA!$G$21</definedName>
    <definedName name="Moefanafra6ntries">FRA!$B$21</definedName>
    <definedName name="moefanafraintpts">[1]FRA!$G$43</definedName>
    <definedName name="moefanafrainttries">[1]FRA!$C$43</definedName>
    <definedName name="Molekaausp4att">AUS!$M$17</definedName>
    <definedName name="Molekaausp4gls">AUS!$L$17</definedName>
    <definedName name="Molekaausp4pts">AUS!$G$23</definedName>
    <definedName name="Molekaausp4tries">AUS!$B$23</definedName>
    <definedName name="Molenaartimpts">ENG!#REF!</definedName>
    <definedName name="Molenaartimtries">ENG!#REF!</definedName>
    <definedName name="Molenaarwelpts">#REF!</definedName>
    <definedName name="Molenaarweltries">#REF!</definedName>
    <definedName name="Molinaargintpts">[1]ARG!$G$30</definedName>
    <definedName name="Molinaarginttries">[1]ARG!$C$30</definedName>
    <definedName name="Moloneyire6npts">IRE!$G$29</definedName>
    <definedName name="Moloneyire6ntries">IRE!$B$29</definedName>
    <definedName name="Monahanshanepts">#REF!</definedName>
    <definedName name="Monahanshanetries">#REF!</definedName>
    <definedName name="montoyaargintpts">[1]ARG!$G$31</definedName>
    <definedName name="montoyaarginttries">[1]ARG!$C$31</definedName>
    <definedName name="Monyeugopts">ENG!#REF!</definedName>
    <definedName name="Monyeugotries">ENG!#REF!</definedName>
    <definedName name="Moodiersaintptscorrect">[1]RSA!$F$32</definedName>
    <definedName name="Moodiersainttriescorrect">[1]RSA!$B$32</definedName>
    <definedName name="mooreirewxvpts">IRE!$H$31</definedName>
    <definedName name="mooreirewxvtries">IRE!$C$31</definedName>
    <definedName name="Mordtnilspts">#REF!</definedName>
    <definedName name="mordtsaratt">#REF!</definedName>
    <definedName name="mordtsargoals">#REF!</definedName>
    <definedName name="Mordtsartries">#REF!</definedName>
    <definedName name="Morganbenpts">#REF!</definedName>
    <definedName name="Morganbentries">#REF!</definedName>
    <definedName name="morganjacwalintpts">[1]WAL!$G$27</definedName>
    <definedName name="Morganwal6npts">[1]WAL!$F$27</definedName>
    <definedName name="Morganwal6ntries">[1]WAL!$B$27</definedName>
    <definedName name="morgnjacwalinttries">[1]WAL!$C$27</definedName>
    <definedName name="Moriartyglopts">#REF!</definedName>
    <definedName name="Moriartyglotries">#REF!</definedName>
    <definedName name="morlandfrawxvpts">FRA!$H$37</definedName>
    <definedName name="morlandfrawxvtries">FRA!$C$37</definedName>
    <definedName name="moroargintpts">[1]ARG!$G$32</definedName>
    <definedName name="moroarginttries">[1]ARG!$C$32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waspts">#REF!</definedName>
    <definedName name="Morriswastries">#REF!</definedName>
    <definedName name="Mostertrsaintptscorrect">[1]RSA!$F$33</definedName>
    <definedName name="Mostertrsainttriescorrecyt">[1]RSA!$B$33</definedName>
    <definedName name="moyanoargintpts">[1]ARG!$G$34</definedName>
    <definedName name="moyanoarginttries">[1]ARG!$C$34</definedName>
    <definedName name="Muireng6npts">ENG!$G$36</definedName>
    <definedName name="Muireng6ntries">ENG!$B$36</definedName>
    <definedName name="muirengwxvpts">ENG!$H$36</definedName>
    <definedName name="muirengwxvtries">ENG!$C$36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#REF!</definedName>
    <definedName name="Mulipolalei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mmpts">#REF!</definedName>
    <definedName name="mummtries">#REF!</definedName>
    <definedName name="murleyeng6npts">[1]ENG!$G$28</definedName>
    <definedName name="murleyeng6ntries">[1]ENG!$C$28</definedName>
    <definedName name="MurleyENGINTPTS">[1]ENG!$F$28</definedName>
    <definedName name="MurleyENGINTTRIES">[1]ENG!$B$28</definedName>
    <definedName name="murphybenireintpts">[1]IRE!$G$35</definedName>
    <definedName name="murphybenireinttries">[1]IRE!$C$35</definedName>
    <definedName name="Murphydanpts">#REF!</definedName>
    <definedName name="Murphydantries">#REF!</definedName>
    <definedName name="Muzzoita6npts">ITA!$G$25</definedName>
    <definedName name="Muzzoita6ntries">ITA!$B$25</definedName>
    <definedName name="muzzoitawxvpts">ITA!$H$25</definedName>
    <definedName name="muzzoitawxvtries">ITA!$C$25</definedName>
    <definedName name="Myallpts">#REF!</definedName>
    <definedName name="Myalltries">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denausp4pts">AUS!$G$26</definedName>
    <definedName name="Nadenausp4tries">AUS!$B$26</definedName>
    <definedName name="nagataijpnwxvpts">JPN!$H$23</definedName>
    <definedName name="nagataijpnwxvtries">JPN!$C$23</definedName>
    <definedName name="naisewafijwxvpts">FIJ!$I$20</definedName>
    <definedName name="naisewafijwxvtries">FIJ!$D$20</definedName>
    <definedName name="Naqelevukisirelipts">#REF!</definedName>
    <definedName name="Naqelevukisirelitries">#REF!</definedName>
    <definedName name="Narrawaylipts">FRA!#REF!</definedName>
    <definedName name="Narrawaylitries">FRA!#REF!</definedName>
    <definedName name="nashire6npts">[1]IRE!$F$36</definedName>
    <definedName name="nashire6ntries">[1]IRE!$B$36</definedName>
    <definedName name="nasserausintpts">[1]AUS!$G$30</definedName>
    <definedName name="Nasserausinttries">[1]AUS!$C$30</definedName>
    <definedName name="ndukajpnwxvpts">JPN!$H$25</definedName>
    <definedName name="ndukajpnwxvptscorrect">JPN!$H$26</definedName>
    <definedName name="ndukajpnwxvtries">JPN!$C$25</definedName>
    <definedName name="ndukajpnwxvtriescorrect">JPN!$C$26</definedName>
    <definedName name="Negri6nitstries">[1]ITA!$B$28</definedName>
    <definedName name="Negriita6npts">[1]ITA!$F$28</definedName>
    <definedName name="NEGRIITAINTPTS">[1]ITA!$G$28</definedName>
    <definedName name="NEGRIITAINTTRIES">[1]ITA!$C$28</definedName>
    <definedName name="neihamufijwxots">FIJ!$I$23</definedName>
    <definedName name="neihamufijwxvtries">FIJ!$D$23</definedName>
    <definedName name="Nelsonnewpts">IRE!#REF!</definedName>
    <definedName name="Nelsonnewtries">IRE!#REF!</definedName>
    <definedName name="nelsonsco6nAtt">SCO!$M$11</definedName>
    <definedName name="Nelsonsco6ngls">SCO!$L$11</definedName>
    <definedName name="Nelsonsco6npts">SCO!$G$27</definedName>
    <definedName name="Nelsonsco6ntries">SCO!$B$27</definedName>
    <definedName name="nelsonscointpts">SCO!$I$27</definedName>
    <definedName name="nelsonscointtries">SCO!$D$27</definedName>
    <definedName name="Nelsonscowxvatt">SCO!$M$22</definedName>
    <definedName name="Nelsonscowxvgls">SCO!$L$22</definedName>
    <definedName name="nelsonscowxvpts">SCO!$H$27</definedName>
    <definedName name="nelsonscowxvtries">SCO!$C$27</definedName>
    <definedName name="nelsonscoyratt">SCO!$M$4</definedName>
    <definedName name="Nelsonscoyrgls">SCO!$L$4</definedName>
    <definedName name="neumannwalwxvpts">WAL!$H$28</definedName>
    <definedName name="neumannwalwxvtries">WAL!$C$28</definedName>
    <definedName name="newcastlepenaltytriespts">IRE!#REF!</definedName>
    <definedName name="newcastlepenaltytriestries">IRE!#REF!</definedName>
    <definedName name="Newellnzlintpts">[1]NZL!$F$28</definedName>
    <definedName name="Newellnzlinttries">[1]NZL!$B$28</definedName>
    <definedName name="ngwevursawxvpts">RSA!$H$32</definedName>
    <definedName name="ngwevursawxvtries">RSA!$C$32</definedName>
    <definedName name="Nicoteraita6npts">[1]ITA!$F$30</definedName>
    <definedName name="Nicoteraita6ntries">[1]ITA!$B$30</definedName>
    <definedName name="nicoteraitaintpts">[1]ITA!$G$30</definedName>
    <definedName name="nicoteraitainttries">[1]ITA!$C$30</definedName>
    <definedName name="nishimurajpnwxvpts">JPN!$H$29</definedName>
    <definedName name="nishimurajpnwxvtries">JPN!$C$29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#REF!</definedName>
    <definedName name="Noonemichaeltries">#REF!</definedName>
    <definedName name="Northcote_Greenbthpts">#REF!</definedName>
    <definedName name="Northcote_Greenbthtries">#REF!</definedName>
    <definedName name="Northmoreengintpts">[1]ENG!$F$29</definedName>
    <definedName name="Northmoreenginttries">[1]ENG!$B$29</definedName>
    <definedName name="Northnorpts">ITA!#REF!</definedName>
    <definedName name="Northnortries">ITA!#REF!</definedName>
    <definedName name="Northpts">ITA!#REF!</definedName>
    <definedName name="Northtries">ITA!#REF!</definedName>
    <definedName name="nortjeRSAintpts">[1]RSA!$F$35</definedName>
    <definedName name="NortjeRSAinttries">[1]RSA!$B$35</definedName>
    <definedName name="Nowellexepts">#REF!</definedName>
    <definedName name="Nowellexetries">#REF!</definedName>
    <definedName name="ntamackfra6natt">FRA!#REF!</definedName>
    <definedName name="Ntamackfra6ngls">FRA!#REF!</definedName>
    <definedName name="Ntamackfra6npts">FRA!$G$22</definedName>
    <definedName name="Ntamackfra6ntries">[1]FRA!$B$44</definedName>
    <definedName name="NTAMACKFRAINTPTS">[1]FRA!$G$44</definedName>
    <definedName name="NTAMACKFRAINTTRIES">[1]FRA!$C$44</definedName>
    <definedName name="ntamackfrayearatt">FRA!#REF!</definedName>
    <definedName name="Ntamackfrayeargls">FRA!#REF!</definedName>
    <definedName name="Nutleybenpts">ITA!#REF!</definedName>
    <definedName name="Nutleybentries">ITA!#REF!</definedName>
    <definedName name="O_Brienire6natt">IRE!$M$17</definedName>
    <definedName name="O_Brienire6ngls">IRE!$L$17</definedName>
    <definedName name="O_Brienire6npts">IRE!$G$34</definedName>
    <definedName name="O_Brienire6ntries">IRE!$B$34</definedName>
    <definedName name="O_Brieniregls">IRE!$L$14</definedName>
    <definedName name="O_Brienireyratt">IRE!$M$8</definedName>
    <definedName name="O_Brienireyrgls">IRE!$L$8</definedName>
    <definedName name="O_Connorire6natt">IRE!$M$15</definedName>
    <definedName name="O_Connorire6ngls">IRE!$L$15</definedName>
    <definedName name="O_Connorjamespts">FRA!#REF!</definedName>
    <definedName name="O_Donnellcanp4pts">CAN!$G$26</definedName>
    <definedName name="O_Donnellcanp4triees">CAN!$B$26</definedName>
    <definedName name="O_Donnellrobpts">#REF!</definedName>
    <definedName name="O_Donnellrobptscorrect">#REF!</definedName>
    <definedName name="O_Donnellrobtries">#REF!</definedName>
    <definedName name="O_Learylipts">FRA!#REF!</definedName>
    <definedName name="O_Learylitries">FRA!#REF!</definedName>
    <definedName name="O_Mahonyire6npts">IRE!$G$37</definedName>
    <definedName name="O_Mahonyire6ntries">IRE!$B$37</definedName>
    <definedName name="O’Connorire6npts">IRE!$G$35</definedName>
    <definedName name="O’Connorire6ntries">IRE!$B$35</definedName>
    <definedName name="obrienire6natt">IRE!$M$14</definedName>
    <definedName name="obrienireintpts">[1]IRE!$G$36</definedName>
    <definedName name="obrienireinttries">[1]IRE!$C$36</definedName>
    <definedName name="obrienirewxvpts">IRE!$H$34</definedName>
    <definedName name="obrienirewxvtries">IRE!$C$34</definedName>
    <definedName name="obrientireintpts">[1]IRE!$G$37</definedName>
    <definedName name="obrientireinttries">[1]IRE!$C$37</definedName>
    <definedName name="oconnoratt">FRA!#REF!</definedName>
    <definedName name="oconnorgoals">FRA!#REF!</definedName>
    <definedName name="OConnorjamestries">FRA!#REF!</definedName>
    <definedName name="odogwuitaintpts">[1]ITA!$G$31</definedName>
    <definedName name="odogwuitainttries">[1]ITA!$C$31</definedName>
    <definedName name="Oghreengintpts">[1]ENG!$F$30</definedName>
    <definedName name="Oghreenginttries">[1]ENG!$B$30</definedName>
    <definedName name="ogormanausintpts">AUS!$I$28</definedName>
    <definedName name="ogormanausinttries">AUS!$D$28</definedName>
    <definedName name="Ojomoheng6npts">[1]ENG!$G$31</definedName>
    <definedName name="Ojomoheng6ntriescorrect">[1]ENG!$C$31</definedName>
    <definedName name="Ojomohengintpts">[1]ENG!$F$31</definedName>
    <definedName name="Ojomohenginttries">[1]ENG!$B$31</definedName>
    <definedName name="Ojotopsypts">FRA!#REF!</definedName>
    <definedName name="Ojotopsytries">FRA!#REF!</definedName>
    <definedName name="Okembafra6Npts">FRA!$G$38</definedName>
    <definedName name="OkembaFra6Ntries">FRA!$B$38</definedName>
    <definedName name="okembafrawxvpts">FRA!$H$38</definedName>
    <definedName name="okembafrawxvtries">FRA!$C$38</definedName>
    <definedName name="Ollivonfra6npts">[1]FRA!$F$45</definedName>
    <definedName name="Ollivonfra6Ntries">[1]FRA!$B$45</definedName>
    <definedName name="ollivonfraintpts">[1]FRA!$G$45</definedName>
    <definedName name="ollivonfrainttries">[1]FRA!$C$45</definedName>
    <definedName name="Olsen_Bakernzlp4tries">NZL!$B$26</definedName>
    <definedName name="Olsen_Bakerp4pts">NZL!$G$26</definedName>
    <definedName name="olsenbakernzlwxvpts">NZL!$H$26</definedName>
    <definedName name="olsenbakernzlwxvtries">NZL!$C$26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mokhualecanp4pts">CAN!$G$27</definedName>
    <definedName name="Omokhualecanp4tries">CAN!$B$27</definedName>
    <definedName name="Orlandibatpts">#REF!</definedName>
    <definedName name="Orlandibattries">#REF!</definedName>
    <definedName name="orlandoargintpts">[1]ARG!$G$33</definedName>
    <definedName name="orlandoarginttries">[1]ARG!$C$33</definedName>
    <definedName name="Orrsco6npts">SCO!$G$29</definedName>
    <definedName name="Orrsco6ntries">SCO!$B$29</definedName>
    <definedName name="orrscowxvpts">SCO!$H$29</definedName>
    <definedName name="orrscowxvtries">SCO!$C$29</definedName>
    <definedName name="ortizusawxvpts">USA!$H$31</definedName>
    <definedName name="ortizusawxvtries">USA!$C$31</definedName>
    <definedName name="Osborneire6npts">[1]IRE!$F$39</definedName>
    <definedName name="Osborneire6ntries">[1]IRE!$B$39</definedName>
    <definedName name="osborneireintpts">[1]IRE!$G$39</definedName>
    <definedName name="osborneireinttries">[1]IRE!$C$39</definedName>
    <definedName name="Ostrikovandreipts">#REF!</definedName>
    <definedName name="Ostrikovandreitries">#REF!</definedName>
    <definedName name="OStrikovsalpts">#REF!</definedName>
    <definedName name="ostuniminuzziitawxvpts">ITA!#REF!</definedName>
    <definedName name="ostuniminuzziitawxvtries">ITA!#REF!</definedName>
    <definedName name="Otsukajpnwxvatt">JPN!$M$27</definedName>
    <definedName name="Otsukajpnwxvgls">JPN!$L$27</definedName>
    <definedName name="otsukajpnwxvtries">JPN!$C$30</definedName>
    <definedName name="otsukapnwxvpts">JPN!$H$30</definedName>
    <definedName name="otsukapnwxvtries">JPN!$C$30</definedName>
    <definedName name="Ovensjoshpts">#REF!</definedName>
    <definedName name="Ovensjoshtries">#REF!</definedName>
    <definedName name="oviedoargintpts">[1]ARG!$G$35</definedName>
    <definedName name="oviedoarginttries">[1]ARG!$C$35</definedName>
    <definedName name="OwensWAL6NPTS">[1]WAL!$F$28</definedName>
    <definedName name="OwensWAL6NTRIES">[1]WAL!$B$28</definedName>
    <definedName name="owenswalinttries">[1]WAL!$C$28</definedName>
    <definedName name="owesnwalintpts">[1]WAL!$G$28</definedName>
    <definedName name="Packer_Mengpts">ENG!$G$38</definedName>
    <definedName name="Packer_Mengtries">ENG!$B$38</definedName>
    <definedName name="packerlengwxvpts">ENG!$H$37</definedName>
    <definedName name="packerlengwxvtries">ENG!$C$37</definedName>
    <definedName name="packermengwxvpts">ENG!$H$38</definedName>
    <definedName name="packermengwxvtries">ENG!$C$38</definedName>
    <definedName name="Packmanhowardpts">ITA!#REF!</definedName>
    <definedName name="Packmanhowardtries">ITA!#REF!</definedName>
    <definedName name="PADOVANIITA6NATT">ITA!#REF!</definedName>
    <definedName name="PadovaniITA6NGLS">ITA!#REF!</definedName>
    <definedName name="PadovaniITA6NPTS">ITA!$G$20</definedName>
    <definedName name="PadovaniITA6NTRIES">ITA!$B$20</definedName>
    <definedName name="padovaniitaatt">ITA!#REF!</definedName>
    <definedName name="Padovaniitagoals">ITA!#REF!</definedName>
    <definedName name="padovaniitaintpts">[1]ITA!$G$32</definedName>
    <definedName name="padovaniitainttries">[1]ITA!$C$32</definedName>
    <definedName name="padovaniitayratt">ITA!#REF!</definedName>
    <definedName name="Padovaniitayrgls">ITA!#REF!</definedName>
    <definedName name="Paenga_Amosaausintpts">[1]AUS!$G$32</definedName>
    <definedName name="Paenga_Amosaausinttries">[1]AUS!$C$32</definedName>
    <definedName name="Page_Reloitayrgls">[1]ITA!$J$10</definedName>
    <definedName name="pagereloitsyratt">[1]ITA!$K$10</definedName>
    <definedName name="Paicedavidpts">FRA!#REF!</definedName>
    <definedName name="Paicedavidtries">FRA!#REF!</definedName>
    <definedName name="paisamiausintpts">[1]AUS!$G$33</definedName>
    <definedName name="paisamiausinttries">[1]AUS!$C$33</definedName>
    <definedName name="Palma_Newportpts">#REF!</definedName>
    <definedName name="palmanewporttries">#REF!</definedName>
    <definedName name="Palmerglopts">#REF!</definedName>
    <definedName name="Palmerglotries">#REF!</definedName>
    <definedName name="Palmerpts">#REF!</definedName>
    <definedName name="palmertomtries">#REF!</definedName>
    <definedName name="paluausintpts">AUS!$I$29</definedName>
    <definedName name="paluausinttries">AUS!$D$29</definedName>
    <definedName name="Paluausp4pts">AUS!$G$29</definedName>
    <definedName name="Paluausp4tries">AUS!$B$29</definedName>
    <definedName name="paniita6npts">[1]ITA!$F$33</definedName>
    <definedName name="paniita6ntries">[1]ITA!$B$33</definedName>
    <definedName name="paniitaintpts">[1]ITA!$G$33</definedName>
    <definedName name="paniitainttries">[1]ITA!$C$33</definedName>
    <definedName name="Paquincanp4pts">CAN!$G$28</definedName>
    <definedName name="Paquincanp4tries">CAN!$B$28</definedName>
    <definedName name="paqyuincanwxvpts">CAN!$H$28</definedName>
    <definedName name="paqyuincanwxvtries">CAN!$C$28</definedName>
    <definedName name="Parlingleipts">#REF!</definedName>
    <definedName name="Parlingleitries">#REF!</definedName>
    <definedName name="Parrmattpts">FRA!#REF!</definedName>
    <definedName name="Parrmatttries">FRA!#REF!</definedName>
    <definedName name="parrywalintpts">[1]WAL!$G$29</definedName>
    <definedName name="parrywalinttries">[1]WAL!$C$29</definedName>
    <definedName name="Parsonsire6npts">IRE!$G$38</definedName>
    <definedName name="Parsonsire6ntries">IRE!$B$38</definedName>
    <definedName name="parsonsirewxvpts">IRE!$H$38</definedName>
    <definedName name="parsonsirewxvtries">IRE!$C$38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scointpts">[1]SCO!$G$30</definedName>
    <definedName name="patersonscointtries">[1]SCO!$C$30</definedName>
    <definedName name="PaulnzlP4pts">NZL!$G$27</definedName>
    <definedName name="PaulnzlP4tries">NZL!$B$27</definedName>
    <definedName name="paulnzlwxvpts">NZL!$H$27</definedName>
    <definedName name="paulnzlwxvtries">NZL!$C$27</definedName>
    <definedName name="Pearceleipts">#REF!</definedName>
    <definedName name="Pearceleitries">#REF!</definedName>
    <definedName name="Peeldwaynepts">#REF!</definedName>
    <definedName name="Peeldwaynetries">#REF!</definedName>
    <definedName name="Peeldwaynetriescorrect">#REF!</definedName>
    <definedName name="Pelletiercanp4pts">CAN!$G$29</definedName>
    <definedName name="pelletiercanwxvpts">CAN!$H$29</definedName>
    <definedName name="pelletiercanwxvtries">CAN!$C$29</definedName>
    <definedName name="Pelletiercsanp4tries">CAN!$B$29</definedName>
    <definedName name="penaespwxvpts">ESP!$H$18</definedName>
    <definedName name="penaespwxvtries">ESP!$C$18</definedName>
    <definedName name="Penalty_Triesausp4pts">AUS!$G$32</definedName>
    <definedName name="Penalty_Triesausp4tries">AUS!$B$32</definedName>
    <definedName name="Penalty_Triesbath">#REF!</definedName>
    <definedName name="Penalty_Triescanpts">CAN!$G$30</definedName>
    <definedName name="Penalty_Triescantries">CAN!$B$30</definedName>
    <definedName name="Penalty_Trieseng6npts">ENG!$G$39</definedName>
    <definedName name="Penalty_Trieseng6ntries">ENG!$B$39</definedName>
    <definedName name="Penalty_Triesengintpts">[1]ENG!$F$32</definedName>
    <definedName name="Penalty_Triesenginttries">[1]ENG!$B$32</definedName>
    <definedName name="Penalty_Triesexepts">#REF!</definedName>
    <definedName name="Penalty_Triesexetries">#REF!</definedName>
    <definedName name="Penalty_Triesfra6npts">FRA!$G$39</definedName>
    <definedName name="Penalty_Triesfra6ntries">FRA!$B$39</definedName>
    <definedName name="Penalty_Triesglopts">#REF!</definedName>
    <definedName name="Penalty_Triesglotries">#REF!</definedName>
    <definedName name="Penalty_Triesharpts">ENG!#REF!</definedName>
    <definedName name="Penalty_Trieshartries">ENG!#REF!</definedName>
    <definedName name="Penalty_Triesire6npts">IRE!$G$40</definedName>
    <definedName name="Penalty_Triesire6ntries">IRE!$B$40</definedName>
    <definedName name="Penalty_Triesita6npts">[1]ITA!$F$34</definedName>
    <definedName name="Penalty_Triesita6ntries">[1]ITA!$B$34</definedName>
    <definedName name="Penalty_Trieslwelshpts">#REF!</definedName>
    <definedName name="Penalty_Trieslwelshtries">#REF!</definedName>
    <definedName name="Penalty_Triesnewpts">IRE!#REF!</definedName>
    <definedName name="Penalty_Triesnewtries">IRE!#REF!</definedName>
    <definedName name="Penalty_Triesrsaintpts">[1]RSA!$F$37</definedName>
    <definedName name="Penalty_Triesrsainttries">[1]RSA!$B$37</definedName>
    <definedName name="Penalty_Triessaintspts">ITA!#REF!</definedName>
    <definedName name="Penalty_Triessaintstries">ITA!#REF!</definedName>
    <definedName name="Penalty_Triessarpts">#REF!</definedName>
    <definedName name="Penalty_Triessartries">#REF!</definedName>
    <definedName name="Penalty_Triessco6npts">SCO!$G$32</definedName>
    <definedName name="Penalty_Triessco6ntries">SCO!$B$32</definedName>
    <definedName name="Penalty_Triesusap4pts">USA!$G$32</definedName>
    <definedName name="Penalty_Triesusap4tries">USA!$B$32</definedName>
    <definedName name="Penalty_trieswal6npts">[1]WAL!$F$30</definedName>
    <definedName name="Penalty_Trieswal6ntries">[1]WAL!$B$30</definedName>
    <definedName name="Penalty_Trieswaspts">#REF!</definedName>
    <definedName name="Penalty_Trieswastries">#REF!</definedName>
    <definedName name="penaltytriesargintpts">[1]ARG!$G$36</definedName>
    <definedName name="penaltytriesarginttries">[1]ARG!$C$36</definedName>
    <definedName name="penaltytriescanwxvpts">CAN!$H$30</definedName>
    <definedName name="penaltytriescanwxvtries">CAN!$C$30</definedName>
    <definedName name="penaltytriesireintpts">[1]IRE!$G$40</definedName>
    <definedName name="penaltytriesireinttries">[1]IRE!$C$40</definedName>
    <definedName name="penaltytriesitaintpts">[1]ITA!$G$34</definedName>
    <definedName name="penaltytriesitainttries">[1]ITA!$C$34</definedName>
    <definedName name="penaltytriesjpnwxpts">JPN!$H$32</definedName>
    <definedName name="penaltytriesjpnwxtries">JPN!$C$32</definedName>
    <definedName name="penaltytriesscointpts">[1]SCO!$G$31</definedName>
    <definedName name="penaltytriesscointtries">[1]SCO!$C$31</definedName>
    <definedName name="penaltytrieswal6nptscorrect">WAL!$G$29</definedName>
    <definedName name="Penaltytrieswal6ntriescorrect">WAL!$B$29</definedName>
    <definedName name="PENALTYTRIESWALINTPTS">[1]WAL!$G$30</definedName>
    <definedName name="PENALTYTRIESWALINTTRIES">[1]WAL!$C$30</definedName>
    <definedName name="Penaudfra6npts">FRA!$G$27</definedName>
    <definedName name="Penaudfra6ntries">FRA!$B$27</definedName>
    <definedName name="penaudfraintpts">[1]FRA!$G$47</definedName>
    <definedName name="penaudfrainttries">[1]FRA!$C$47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ynewpts">IRE!#REF!</definedName>
    <definedName name="Pennynewtries">IRE!#REF!</definedName>
    <definedName name="pentriesscowxscopts">SCO!$H$30</definedName>
    <definedName name="pentriesscowxvtries">SCO!$C$30</definedName>
    <definedName name="pentrieswalwxvpts">WAL!$H$29</definedName>
    <definedName name="pentrieswalwxvtries">WAL!$C$29</definedName>
    <definedName name="Pereniseanthonypt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ezcespwxvpts">ESP!$H$21</definedName>
    <definedName name="perezcespwxvtries">ESP!$C$21</definedName>
    <definedName name="Perris_Reddingusap4pts">USA!$G$33</definedName>
    <definedName name="Perris_Reddingusap4tries">USA!$B$33</definedName>
    <definedName name="perrycanwxvpts">CAN!$H$31</definedName>
    <definedName name="perrycanwxvtries">CAN!$C$31</definedName>
    <definedName name="petaiaausintpts">[1]AUS!$G$36</definedName>
    <definedName name="petaiaausinttries">[1]AUS!$C$36</definedName>
    <definedName name="Phibbslipts">FRA!#REF!</definedName>
    <definedName name="Phibbslitries">FRA!#REF!</definedName>
    <definedName name="Phillipsjamespts">#REF!</definedName>
    <definedName name="Phillipsjamestries">#REF!</definedName>
    <definedName name="Phillipswal6npts">WAL!$G$30</definedName>
    <definedName name="Phillipswal6ntries">WAL!$B$30</definedName>
    <definedName name="phillipswalwxvpts">WAL!$H$30</definedName>
    <definedName name="phillipswalwxvtries">WAL!$C$30</definedName>
    <definedName name="piccardoargintpts">[1]ARG!$G$38</definedName>
    <definedName name="piccardoarginttries">[1]ARG!$C$38</definedName>
    <definedName name="Pienaarbenpts">#REF!</definedName>
    <definedName name="Pienaarbentries">#REF!</definedName>
    <definedName name="pietschausintpts">[1]AUS!$G$37</definedName>
    <definedName name="pietschausinttries">[1]AUS!$C$37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llardausintpts">[1]AUS!$G$38</definedName>
    <definedName name="Pollardausinttries">[1]AUS!$C$38</definedName>
    <definedName name="pollardrsaintptscorrect">[1]RSA!$F$38</definedName>
    <definedName name="Pollardrsainttriescorrect">[1]RSA!$B$38</definedName>
    <definedName name="pollardrsayratt">[1]RSA!$K$10</definedName>
    <definedName name="Pollardrsayrgls">[1]RSA!$J$10</definedName>
    <definedName name="pollockeng6npts">[1]ENG!$G$33</definedName>
    <definedName name="pollockeng6ntries">[1]ENG!$C$33</definedName>
    <definedName name="Pollockengintpts">[1]ENG!$F$33</definedName>
    <definedName name="Pollockenginttries">[1]ENG!$B$33</definedName>
    <definedName name="Ponsonbynzlp4pts">NZL!$G$29</definedName>
    <definedName name="Ponsonbynzlp4tries">NZL!$B$29</definedName>
    <definedName name="ponsonbynzlwxvpts">NZL!$H$29</definedName>
    <definedName name="ponsonbynzlwxvtries">NZL!$C$29</definedName>
    <definedName name="Porterire6npts">[1]IRE!$F$41</definedName>
    <definedName name="Porterire6ntries">[1]IRE!$B$41</definedName>
    <definedName name="PORTERIREINTPTS">[1]IRE!$G$41</definedName>
    <definedName name="PORTERIREINTTRIES">[1]IRE!$C$41</definedName>
    <definedName name="potterausintpts">[1]AUS!$G$40</definedName>
    <definedName name="potterausinttries">[1]AUS!$C$40</definedName>
    <definedName name="Poulincanp4pts">CAN!$G$32</definedName>
    <definedName name="Poulincanp4tries">CAN!$B$32</definedName>
    <definedName name="pourilanenzlwxvpts">NZL!$H$30</definedName>
    <definedName name="pourilanenzlwxvtries">NZL!$C$30</definedName>
    <definedName name="Powell">WAL!$L$14</definedName>
    <definedName name="Powelladampts">IRE!#REF!</definedName>
    <definedName name="Powelladamtries">IRE!#REF!</definedName>
    <definedName name="Powellengpts">ENG!$G$40</definedName>
    <definedName name="Powellengtries">ENG!$B$40</definedName>
    <definedName name="Powellwal6natt">WAL!$M$6</definedName>
    <definedName name="powellwal6nattcorrect">WAL!$M$14</definedName>
    <definedName name="Powellwal6ngls">WAL!$L$6</definedName>
    <definedName name="powellwal6nglscorrect">WAL!$L$14</definedName>
    <definedName name="Powellwal6ntries">WAL!$L$6</definedName>
    <definedName name="powellwalwxvpts">WAL!$H$32</definedName>
    <definedName name="powellwalwxvtries">WAL!$C$32</definedName>
    <definedName name="powellwalyratt">WAL!$M$6</definedName>
    <definedName name="powellwalyrgls">WAL!$L$6</definedName>
    <definedName name="prendergastcianireintpts">[1]IRE!$G$42</definedName>
    <definedName name="prendergastcianireinttries">[1]IRE!$C$42</definedName>
    <definedName name="Prendergastire6npts">[1]IRE!$F$43</definedName>
    <definedName name="Prendergastire6ntries">[1]IRE!$B$43</definedName>
    <definedName name="prendergastireintpts">[1]IRE!$G$43</definedName>
    <definedName name="prendergastireinttries">[1]IRE!$C$43</definedName>
    <definedName name="prendergastireyratt">[1]IRE!$K$10</definedName>
    <definedName name="Prendergastireyrgls">[1]IRE!$J$10</definedName>
    <definedName name="Priestlandwal6natt">WAL!#REF!</definedName>
    <definedName name="Priestlandwal6ngoals">WAL!#REF!</definedName>
    <definedName name="Prisciantelliargintpts">[1]ARG!$G$39</definedName>
    <definedName name="Prisciantelliarginttries">[1]ARG!$C$39</definedName>
    <definedName name="Proctornzlintpts">[1]NZL!$F$31</definedName>
    <definedName name="proctornzlinttries">[1]NZL!$B$31</definedName>
    <definedName name="pts">ENG!#REF!</definedName>
    <definedName name="Puafisiglopts">#REF!</definedName>
    <definedName name="Puafisiglotries">#REF!</definedName>
    <definedName name="Purdyglospts">#REF!</definedName>
    <definedName name="Purdyglotries">#REF!</definedName>
    <definedName name="Pyrswal6npts">WAL!$G$33</definedName>
    <definedName name="Pyrswal6ntries">WAL!$B$33</definedName>
    <definedName name="Queyroifra6natt">FRA!$M$19</definedName>
    <definedName name="Queyroifra6ngls">FRA!$L$19</definedName>
    <definedName name="Queyroifra6npts">FRA!$G$41</definedName>
    <definedName name="Queyroifra6ntries">FRA!$B$41</definedName>
    <definedName name="queyroifrawxvpts">FRA!$H$41</definedName>
    <definedName name="queyroifrawxvtries">FRA!$C$41</definedName>
    <definedName name="Queyroifrayratt">FRA!$M$9</definedName>
    <definedName name="Queyroifrayrgls">FRA!$L$9</definedName>
    <definedName name="quinspentriespts">ENG!#REF!</definedName>
    <definedName name="quinspentriestries">ENG!#REF!</definedName>
    <definedName name="railumufijwxvpts">FIJ!$I$24</definedName>
    <definedName name="railumufijwxvtries">FIJ!$D$24</definedName>
    <definedName name="Ramosfra6npts">[1]FRA!$F$48</definedName>
    <definedName name="Ramosfra6ntries">[1]FRA!$B$48</definedName>
    <definedName name="Ramosfrainttries">[1]FRA!$C$48</definedName>
    <definedName name="ramosfrayratt">[1]FRA!$K$13</definedName>
    <definedName name="Ramosfrayrgls">[1]FRA!$J$13</definedName>
    <definedName name="ramsfrainytpts">[1]FRA!$G$48</definedName>
    <definedName name="Randallengintpts">[1]ENG!$F$34</definedName>
    <definedName name="Randallenginttries">[1]ENG!$B$34</definedName>
    <definedName name="Ransombenpts">#REF!</definedName>
    <definedName name="Ransombentries">#REF!</definedName>
    <definedName name="ranucciniitawxvpts">ITA!$H$26</definedName>
    <definedName name="ranucciniitawxvtries">ITA!$C$26</definedName>
    <definedName name="Ratimanzlintpts">[1]NZL!$F$32</definedName>
    <definedName name="Ratimanzlinttries">[1]NZL!$B$32</definedName>
    <definedName name="redpathscointpts">[1]SCO!$G$33</definedName>
    <definedName name="redpathscointtries">[1]SCO!$C$33</definedName>
    <definedName name="Reecenzlpts">[1]NZL!$F$33</definedName>
    <definedName name="Reecenzltries">[1]NZL!$B$33</definedName>
    <definedName name="reedscointpts">[1]SCO!$G$34</definedName>
    <definedName name="reedscointtries">[1]SCO!$C$34</definedName>
    <definedName name="Rees_Zammitwal6nptscorrect">[1]WAL!$F$31</definedName>
    <definedName name="Rees_Zammitwal6ntriescorrect">[1]WAL!$B$31</definedName>
    <definedName name="Rees_Zammitwalintptscorrect">[1]WAL!$G$31</definedName>
    <definedName name="Rees_Zammitwalinttriescorrect">[1]WAL!$C$31</definedName>
    <definedName name="Reevesrickypts">#REF!</definedName>
    <definedName name="Reevesrickytries">#REF!</definedName>
    <definedName name="reffellwalintpts">[1]WAL!$G$32</definedName>
    <definedName name="reffellwalinttries">[1]WAL!$C$32</definedName>
    <definedName name="Reinachrsaintptscorrect">[1]RSA!$F$39</definedName>
    <definedName name="Reinachrsainttriescorrrect">[1]RSA!$B$39</definedName>
    <definedName name="Reynoldsnicpts">#REF!</definedName>
    <definedName name="Reynoldsnictries">#REF!</definedName>
    <definedName name="Reynoldsstefpts">#REF!</definedName>
    <definedName name="Reynoldssteftries">#REF!</definedName>
    <definedName name="Riccioniita6npts">[1]ITA!$F$36</definedName>
    <definedName name="Riccioniita6ntries">[1]ITA!$B$36</definedName>
    <definedName name="riccioniitaintpts">[1]ITA!$G$36</definedName>
    <definedName name="riccioniitainttries">[1]ITA!$C$36</definedName>
    <definedName name="richardsonscointpts">[1]SCO!$G$35</definedName>
    <definedName name="richardsonscointtries">[1]SCO!$C$35</definedName>
    <definedName name="riffoneaufrawxvpts">FRA!$H$42</definedName>
    <definedName name="riffoneaufrawxvtries">FRA!$C$42</definedName>
    <definedName name="rigoniia6natt">ITA!$M$19</definedName>
    <definedName name="Rigoniita6ngls">ITA!$L$19</definedName>
    <definedName name="Rigoniita6npts">ITA!$G$27</definedName>
    <definedName name="Rigoniita6ntries">ITA!$B$27</definedName>
    <definedName name="Rigoniitawxvatt">ITA!$M$34</definedName>
    <definedName name="Rigoniitawxvgls">ITA!$L$34</definedName>
    <definedName name="rigoniitawxvpts">ITA!$H$27</definedName>
    <definedName name="rigoniitawxvtries">ITA!$C$27</definedName>
    <definedName name="Rimmercarlpts">#REF!</definedName>
    <definedName name="Rimmercarltries">#REF!</definedName>
    <definedName name="ringroseiireintpts">[1]IRE!$G$44</definedName>
    <definedName name="Ringroseire6npts">IRE!$G$41</definedName>
    <definedName name="Ringroseire6ntries">IRE!$B$41</definedName>
    <definedName name="ringroseireinttries">[1]IRE!$C$44</definedName>
    <definedName name="Ritchiesco6npts">[1]SCO!$F$36</definedName>
    <definedName name="Ritchiesco6ntries">[1]SCO!$B$36</definedName>
    <definedName name="Ritchiescointpts">[1]SCO!$G$36</definedName>
    <definedName name="Ritchiescointtries">[1]SCO!$C$36</definedName>
    <definedName name="Rizzoleipts">#REF!</definedName>
    <definedName name="Rizzoleitries">#REF!</definedName>
    <definedName name="Robertsmartinpts">#REF!</definedName>
    <definedName name="Robertsmartintruies">#REF!</definedName>
    <definedName name="robertsonausintpts">[1]AUS!$G$39</definedName>
    <definedName name="robertsonausinttries">[1]AUS!$C$39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IRE!#REF!</definedName>
    <definedName name="Robinsonnewtries">IRE!#REF!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ENG!#REF!</definedName>
    <definedName name="Robshawhartries">ENG!#REF!</definedName>
    <definedName name="Robsonglopts">#REF!</definedName>
    <definedName name="Robsonglotries">#REF!</definedName>
    <definedName name="Robsonharpts">ENG!#REF!</definedName>
    <definedName name="Robsonhartries">ENG!#REF!</definedName>
    <definedName name="roebuckeng6npts">[1]ENG!$G$36</definedName>
    <definedName name="roebuckeng6ntries">[1]ENG!$C$36</definedName>
    <definedName name="Roebuckengintpts">[1]ENG!$F$36</definedName>
    <definedName name="Roebuckenginttries">[1]ENG!$B$36</definedName>
    <definedName name="rogerargintpts">[1]ARG!$G$40</definedName>
    <definedName name="rogerarginttries">[1]ARG!$C$40</definedName>
    <definedName name="Rogersnewpts">IRE!#REF!</definedName>
    <definedName name="Rogersnewtries">IRE!#REF!</definedName>
    <definedName name="RogersUSAP4pts">USA!$G$34</definedName>
    <definedName name="RogersUSAp4tries">USA!$B$34</definedName>
    <definedName name="rogersusawxvpts">USA!$H$34</definedName>
    <definedName name="rogersusawxvtries">USA!$C$34</definedName>
    <definedName name="Rogerswal6npts">[1]WAL!$F$33</definedName>
    <definedName name="Rogerswal6ntries">[1]WAL!$B$33</definedName>
    <definedName name="rogerswalintpts">[1]WAL!$G$33</definedName>
    <definedName name="rogerswalinttries">[1]WAL!$C$33</definedName>
    <definedName name="Roigardnzlintptscorrect">[1]NZL!$F$34</definedName>
    <definedName name="Roigardnzlinttriescorrect">[1]NZL!$B$34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sco6npts">SCO!$G$32</definedName>
    <definedName name="Rolliesco6nptscorrect">SCO!$G$32</definedName>
    <definedName name="Rolliesco6nptsthisone">SCO!$G$32</definedName>
    <definedName name="Rolliesco6ntries">SCO!$B$32</definedName>
    <definedName name="Rolliesco6ntriescorrect">SCO!$B$32</definedName>
    <definedName name="Rolliesco6ntriesthisone">SCO!$B$32</definedName>
    <definedName name="rolliescointpts">SCO!$I$32</definedName>
    <definedName name="rolliescointtries">SCO!$D$32</definedName>
    <definedName name="rolliescowxvpts">SCO!$H$32</definedName>
    <definedName name="rolliescowxvtries">SCO!$C$32</definedName>
    <definedName name="romanespwxvpts">ESP!$H$26</definedName>
    <definedName name="romanespwxvtries">ESP!$C$26</definedName>
    <definedName name="roosrsawxvpts">RSA!$H$39</definedName>
    <definedName name="roosrsawxvtries">RSA!$C$39</definedName>
    <definedName name="Rose6nwaltries">WAL!$B$35</definedName>
    <definedName name="rosellespwxvpts">ESP!$H$27</definedName>
    <definedName name="rosellespwxvtries">ESP!$C$27</definedName>
    <definedName name="Rosewal6npts">WAL!$G$35</definedName>
    <definedName name="Rossgordonpts">#REF!</definedName>
    <definedName name="Rossgordontries">#REF!</definedName>
    <definedName name="rosswelatt">#REF!</definedName>
    <definedName name="rosswelgoals">#REF!</definedName>
    <definedName name="roumatfraintpts">[1]FRA!$G$49</definedName>
    <definedName name="roumatfrainttries">[1]FRA!$C$49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#REF!</definedName>
    <definedName name="Rowanglotries">#REF!</definedName>
    <definedName name="Rowesco6npts">[1]SCO!$F$37</definedName>
    <definedName name="Rowesco6ntries">[1]SCO!$B$37</definedName>
    <definedName name="rowescointpts">[1]SCO!$G$37</definedName>
    <definedName name="rowescointtries">[1]SCO!$C$37</definedName>
    <definedName name="rowlandeng6natt">ENG!$M$20</definedName>
    <definedName name="Rowlandeng6ngls">ENG!$L$20</definedName>
    <definedName name="Rowlandengpts">ENG!$G$42</definedName>
    <definedName name="Rowlandengtries">ENG!$B$42</definedName>
    <definedName name="Rowlandengwxvatt">ENG!$M$39</definedName>
    <definedName name="Rowlandengwxvgls">ENG!$L$39</definedName>
    <definedName name="rowlandengwxvpts">ENG!$H$42</definedName>
    <definedName name="rowlandengwxvtries">ENG!$C$42</definedName>
    <definedName name="Rowlandengyratt">ENG!$M$8</definedName>
    <definedName name="Rowlandengyrgls">ENG!$L$8</definedName>
    <definedName name="rowlandswal6npts">[1]WAL!$F$34</definedName>
    <definedName name="rowlandswal6ntries">[1]WAL!$B$34</definedName>
    <definedName name="Rowlandswaspts">#REF!</definedName>
    <definedName name="Rowlandswastries">#REF!</definedName>
    <definedName name="Rowleypaulpts">#REF!</definedName>
    <definedName name="Rowleypaultries">#REF!</definedName>
    <definedName name="Royercanp4pts">CAN!$G$33</definedName>
    <definedName name="Royercanp4tries">CAN!$B$33</definedName>
    <definedName name="rubioloargintpts">[1]ARG!$G$41</definedName>
    <definedName name="rubioloarginttries">[1]ARG!$C$41</definedName>
    <definedName name="ruizargintpts">[1]ARG!$G$42</definedName>
    <definedName name="ruizarginttries">[1]ARG!$C$42</definedName>
    <definedName name="russellsco6natt">SCO!#REF!</definedName>
    <definedName name="Russellsco6ngls">SCO!#REF!</definedName>
    <definedName name="Russellsco6npts">SCO!$G$35</definedName>
    <definedName name="RussellSCO6NTRIES">[1]SCO!$B$38</definedName>
    <definedName name="russellscointpts">[1]SCO!$G$38</definedName>
    <definedName name="RUSSELLSCOINTTRIES">[1]SCO!$C$38</definedName>
    <definedName name="Russellscoyearatt">SCO!#REF!</definedName>
    <definedName name="russellscoyearattcorrect">SCO!#REF!</definedName>
    <definedName name="Russellscoyeargls">SCO!#REF!</definedName>
    <definedName name="RyanIRE6NPTS">[1]IRE!$F$45</definedName>
    <definedName name="RyanIRE6NTRIES">[1]IRE!$B$45</definedName>
    <definedName name="ryanireintpts">[1]IRE!$G$45</definedName>
    <definedName name="ryanireinttries">[1]IRE!$C$45</definedName>
    <definedName name="Sackeypaulpts">ENG!#REF!</definedName>
    <definedName name="Sackeypaultries">ENG!#REF!</definedName>
    <definedName name="Saenzlp4pts">NZL!$G$33</definedName>
    <definedName name="Saenzlp4tries">NZL!$B$33</definedName>
    <definedName name="sagapoluusawxvpts">USA!$H$35</definedName>
    <definedName name="sagapoluusawxvtries">USA!$C$35</definedName>
    <definedName name="Salepenaltytriespts">#REF!</definedName>
    <definedName name="SalePenaltyTriestries">#REF!</definedName>
    <definedName name="Salvijulianpts">#REF!</definedName>
    <definedName name="Salvijuliantries">#REF!</definedName>
    <definedName name="sanchexzargyratt">[1]ARG!$K$8</definedName>
    <definedName name="Sanchezargyrgls">[1]ARG!$J$8</definedName>
    <definedName name="Sandfordjamespts">#REF!</definedName>
    <definedName name="Sandfordjamestries">#REF!</definedName>
    <definedName name="Sansusfra6npts">FRA!$G$42</definedName>
    <definedName name="Sansusfra6ntries">FRA!$B$42</definedName>
    <definedName name="saracenspenaltytriespts">#REF!</definedName>
    <definedName name="saracenspenaltytriestries">#REF!</definedName>
    <definedName name="Saullandypts">IRE!#REF!</definedName>
    <definedName name="Saullandytries">IRE!#REF!</definedName>
    <definedName name="Saundersjaredsarpts">#REF!</definedName>
    <definedName name="Saundersjaredsartries">#REF!</definedName>
    <definedName name="Saunderssarpts">#REF!</definedName>
    <definedName name="Saunderssartries">#REF!</definedName>
    <definedName name="Savageglopts">#REF!</definedName>
    <definedName name="Savageglotries">#REF!</definedName>
    <definedName name="Saveaardienzlpts">[1]NZL!$F$35</definedName>
    <definedName name="Saveaardienzltries">[1]NZL!$B$35</definedName>
    <definedName name="scarratteng6natt">ENG!$M$21</definedName>
    <definedName name="Scarratteng6ngls">ENG!$L$21</definedName>
    <definedName name="Scarrattengpts">ENG!$G$43</definedName>
    <definedName name="Scarrattengtries">ENG!$B$43</definedName>
    <definedName name="Scaysbrookpts">#REF!</definedName>
    <definedName name="scaysbrooktries">#REF!</definedName>
    <definedName name="schellcanp4att">CAN!$M$16</definedName>
    <definedName name="Schellcanp4gls">CAN!$L$16</definedName>
    <definedName name="Schellcanp4pts">CAN!$G$34</definedName>
    <definedName name="Schellcanp4tries">CAN!$B$34</definedName>
    <definedName name="schellcanwxvpts">CAN!$H$34</definedName>
    <definedName name="schellcanwxvtries">CAN!$C$34</definedName>
    <definedName name="SchoemanSCO6NPTS">[1]SCO!$F$39</definedName>
    <definedName name="SchoemanSCO6NTRIES">[1]SCO!$B$39</definedName>
    <definedName name="schoemanscointpts">[1]SCO!$G$39</definedName>
    <definedName name="schoemanscointtries">[1]SCO!$C$39</definedName>
    <definedName name="Schofieldwelpts">#REF!</definedName>
    <definedName name="Schofieldweltries">#REF!</definedName>
    <definedName name="sclaviargintpts">[1]ARG!$G$44</definedName>
    <definedName name="sclaviarginttriescorrect">[1]ARG!$C$44</definedName>
    <definedName name="Scoblewal6npts">WAL!$G$37</definedName>
    <definedName name="Scoblewal6ntries">WAL!$B$37</definedName>
    <definedName name="ScotlandWilliamsonchristianpts">#REF!</definedName>
    <definedName name="ScotlandWilliamsonchristiantries">#REF!</definedName>
    <definedName name="Scottnickpts">#REF!</definedName>
    <definedName name="Scottnicktries">#REF!</definedName>
    <definedName name="Scottsco6npts">SCO!$G$33</definedName>
    <definedName name="Scottsco6ntries">SCO!$B$33</definedName>
    <definedName name="Scullyblainepts">#REF!</definedName>
    <definedName name="Scullyblainetries">#REF!</definedName>
    <definedName name="Scullypts">#REF!</definedName>
    <definedName name="scullytries">#REF!</definedName>
    <definedName name="Scurfieldcanp4pts">CAN!$G$35</definedName>
    <definedName name="Scurfieldcanp4tries">CAN!$B$35</definedName>
    <definedName name="scurfieldcanwxvpts">CAN!$H$35</definedName>
    <definedName name="scurfieldcanwxvtries">CAN!$C$35</definedName>
    <definedName name="segondsfraintpts">[1]FRA!$G$50</definedName>
    <definedName name="segondsfrainttries">[1]FRA!$C$50</definedName>
    <definedName name="segondsfrayratt">[1]FRA!$K$14</definedName>
    <definedName name="segondsfrayrgls">[1]FRA!$J$14</definedName>
    <definedName name="senivutufijwxvpts">FIJ!$I$30</definedName>
    <definedName name="senivutufijwxvtries">FIJ!$D$30</definedName>
    <definedName name="serinfraintpts">[1]FRA!$G$51</definedName>
    <definedName name="serinfrainttries">[1]FRA!$C$51</definedName>
    <definedName name="setefanonzlwxvpts">NZL!$H$34</definedName>
    <definedName name="setefanonzlwxvtries">NZL!$C$34</definedName>
    <definedName name="Seumanutafacanp4pts">CAN!$G$37</definedName>
    <definedName name="Seumanutafacanp4tries">CAN!$B$37</definedName>
    <definedName name="Sextonexepoints">#REF!</definedName>
    <definedName name="Sextonexetries">#REF!</definedName>
    <definedName name="Sextonire6natt">IRE!$S$33</definedName>
    <definedName name="sextonire6nattcorrect">IRE!#REF!</definedName>
    <definedName name="Sextonire6ngls">IRE!#REF!</definedName>
    <definedName name="Sextonire6ngoals">IRE!$R$26</definedName>
    <definedName name="Sextonire6npts">IRE!#REF!</definedName>
    <definedName name="Sextonire6ntries">IRE!#REF!</definedName>
    <definedName name="sextonireyearatt">IRE!#REF!</definedName>
    <definedName name="Sextonireyeargls">IRE!#REF!</definedName>
    <definedName name="seyeitawxvpts">ITA!$H$29</definedName>
    <definedName name="seyeitawxvtries">ITA!$C$29</definedName>
    <definedName name="Seymourdavidpts">#REF!</definedName>
    <definedName name="seymourdavidtries">#REF!</definedName>
    <definedName name="Seymourdavidtriescorrect">#REF!</definedName>
    <definedName name="Sgorbiniita6ntries">ITA!$B$30</definedName>
    <definedName name="sgorbiniitawxvpts">ITA!$H$30</definedName>
    <definedName name="sgorbiniitawxvtries">ITA!$C$30</definedName>
    <definedName name="Sgorbiniits6npts">ITA!$G$30</definedName>
    <definedName name="Sharplesglopts">#REF!</definedName>
    <definedName name="Sharplesglotries">#REF!</definedName>
    <definedName name="Sharplespts">#REF!</definedName>
    <definedName name="Sharplestries">#REF!</definedName>
    <definedName name="sheedywal6natt">WAL!#REF!</definedName>
    <definedName name="Sheedywal6ngls">WAL!#REF!</definedName>
    <definedName name="Sheedywal6npts">WAL!$G$36</definedName>
    <definedName name="sheedywalyearatt">WAL!#REF!</definedName>
    <definedName name="Sheedywalyeargls">WAL!#REF!</definedName>
    <definedName name="Sheehanire6npts">[1]IRE!$F$46</definedName>
    <definedName name="Sheehanire6ntries">[1]IRE!$B$46</definedName>
    <definedName name="SHEEHANIREINTPTS">[1]IRE!$G$46</definedName>
    <definedName name="SHEEHANIREINTTRIES">[1]IRE!$C$46</definedName>
    <definedName name="Sheridaneamonnpts">FRA!#REF!</definedName>
    <definedName name="Sheridaneamonntries">FRA!#REF!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lsgrahambatpts">#REF!</definedName>
    <definedName name="Shiellsgrahambattries">#REF!</definedName>
    <definedName name="Short_Alirpts">FRA!#REF!</definedName>
    <definedName name="Short_Alirtries">FRA!#REF!</definedName>
    <definedName name="Shortjamespts">#REF!</definedName>
    <definedName name="Shortjamestries">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llariita6ngls">ITA!$L$20</definedName>
    <definedName name="Sillariita6npts">ITA!$G$31</definedName>
    <definedName name="Sillariita6ntries">ITA!$B$31</definedName>
    <definedName name="sillariitawxvatt">ITA!$M$35</definedName>
    <definedName name="Sillariitawxvgls">ITA!$L$35</definedName>
    <definedName name="sillariitawxvpts">ITA!$H$31</definedName>
    <definedName name="sillariitawxvtries">ITA!$C$31</definedName>
    <definedName name="Sillariitayratt">ITA!$M$11</definedName>
    <definedName name="Sillariitayrgls">ITA!$L$11</definedName>
    <definedName name="sillarita6natt">ITA!$M$20</definedName>
    <definedName name="Silvabrawxvpts">BRA!$F$25</definedName>
    <definedName name="Silvabrawxvtries">BRA!$B$25</definedName>
    <definedName name="Simmondsexepts">#REF!</definedName>
    <definedName name="Simmondsexetries">#REF!</definedName>
    <definedName name="Simonnzlp4pts">NZL!$G$35</definedName>
    <definedName name="Simonnzlp4tries">NZL!$B$35</definedName>
    <definedName name="simonnzlwxvpts">NZL!$H$35</definedName>
    <definedName name="simonnzlwxvtries">NZL!$C$35</definedName>
    <definedName name="Simpson_Danieljamespts">#REF!</definedName>
    <definedName name="Simpson_Danieljamestries">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eng6npts">ENG!$G$33</definedName>
    <definedName name="Sincklereng6ntries">ENG!$B$33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geng6natt">ENG!$M$22</definedName>
    <definedName name="Singeng6ngls">ENG!$L$22</definedName>
    <definedName name="Singeng6npts">ENG!$G$45</definedName>
    <definedName name="Singeng6ntries">ENG!$B$45</definedName>
    <definedName name="singengwxvpts">ENG!$H$45</definedName>
    <definedName name="singengwxvtries">ENG!$C$45</definedName>
    <definedName name="Sinotisinotipts">IRE!#REF!</definedName>
    <definedName name="Sinotisinotitries">IRE!#REF!</definedName>
    <definedName name="Sioleipts">#REF!</definedName>
    <definedName name="Sioleitries">#REF!</definedName>
    <definedName name="Sisidavidpts">#REF!</definedName>
    <definedName name="Sisidavidtries">#REF!</definedName>
    <definedName name="Sititinzlintpts">[1]NZL!$F$36</definedName>
    <definedName name="Sititinzlinttries">[1]NZL!$B$36</definedName>
    <definedName name="skeldonscointpts">SCO!$I$34</definedName>
    <definedName name="skeldonscointtries">SCO!$D$34</definedName>
    <definedName name="Skeldonscopts">SCO!$G$34</definedName>
    <definedName name="Skeldonscotries">SCO!$B$34</definedName>
    <definedName name="skeldonscowxvpts">SCO!$H$34</definedName>
    <definedName name="skeldonscowxvtries">SCO!$C$34</definedName>
    <definedName name="Skinnerexepts">#REF!</definedName>
    <definedName name="Skinnerexetries">#REF!</definedName>
    <definedName name="skinnersco6npts">[1]SCO!$F$41</definedName>
    <definedName name="Skinnersco6ntfries">[1]SCO!$B$41</definedName>
    <definedName name="Skivingtongeorgeli">FRA!#REF!</definedName>
    <definedName name="Skivingtongeorgepts">FRA!#REF!</definedName>
    <definedName name="Skivingtongeorgetries">FRA!#REF!</definedName>
    <definedName name="Skusebatpts">#REF!</definedName>
    <definedName name="Skusebattries">#REF!</definedName>
    <definedName name="sladeatt">#REF!</definedName>
    <definedName name="Sladeengintpts">[1]ENG!$F$37</definedName>
    <definedName name="Sladeenginttries">[1]ENG!$B$37</definedName>
    <definedName name="Sladeexepts">#REF!</definedName>
    <definedName name="Sladeexetries">#REF!</definedName>
    <definedName name="sladegoals">#REF!</definedName>
    <definedName name="Sladehenrypts">#REF!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engintpts">[1]ENG!$F$38</definedName>
    <definedName name="Sleightholmeenginttries">[1]ENG!$B$38</definedName>
    <definedName name="slieghtholmeeng6npts">[1]ENG!$G$38</definedName>
    <definedName name="slieghtholmeeng6ntries">[1]ENG!$C$38</definedName>
    <definedName name="slipperausintpts">[1]AUS!$G$45</definedName>
    <definedName name="slipperausintptscorrect">[1]AUS!$G$43</definedName>
    <definedName name="slipperausinttries">[1]AUS!$C$45</definedName>
    <definedName name="slipperausinttriescorrect">[1]AUS!$C$43</definedName>
    <definedName name="Sloanharrypts">ENG!#REF!</definedName>
    <definedName name="Sloanharrytries">ENG!#REF!</definedName>
    <definedName name="Smith_Feng6npts">[1]ENG!$G$39</definedName>
    <definedName name="Smith_Feng6ntries">[1]ENG!$C$39</definedName>
    <definedName name="Smith_Fengintpts">[1]ENG!$F$39</definedName>
    <definedName name="Smith_Fenginttries">[1]ENG!$B$39</definedName>
    <definedName name="Smith_Fengyrgls">[1]ENG!$J$8</definedName>
    <definedName name="Smith_Msco6npts">SCO!$G$36</definedName>
    <definedName name="Smith_Msco6ntries">SCO!$B$36</definedName>
    <definedName name="Smith_Mscowxvatt">SCO!$M$23</definedName>
    <definedName name="Smith_Mscowxvgls">SCO!$L$23</definedName>
    <definedName name="smithausP4att">AUS!$M$19</definedName>
    <definedName name="smithausp4attcorrect">AUS!$M$18</definedName>
    <definedName name="SmithausP4gls">AUS!$L$19</definedName>
    <definedName name="smithausp4glscorrect">AUS!$L$18</definedName>
    <definedName name="SmithausP4pts">AUS!$G$36</definedName>
    <definedName name="Smithausp4tries">AUS!$B$36</definedName>
    <definedName name="smithauswxvpts">AUS!$H$36</definedName>
    <definedName name="smithauswxvtries">AUS!$C$36</definedName>
    <definedName name="smitheng6natt">ENG!#REF!</definedName>
    <definedName name="Smitheng6ngls">ENG!#REF!</definedName>
    <definedName name="Smitheng6npts">ENG!$G$35</definedName>
    <definedName name="Smitheng6ntries">ENG!$B$35</definedName>
    <definedName name="smithengyearatt">ENG!#REF!</definedName>
    <definedName name="Smithengyeargls">ENG!#REF!</definedName>
    <definedName name="smithfengyratt">[1]ENG!$K$8</definedName>
    <definedName name="smithleeatt">IRE!#REF!</definedName>
    <definedName name="Smithleegoals">IRE!#REF!</definedName>
    <definedName name="Smithleepts">IRE!#REF!</definedName>
    <definedName name="Smithleipts">#REF!</definedName>
    <definedName name="Smithleitries">#REF!</definedName>
    <definedName name="Smithmarchusengintpts">[1]ENG!$F$40</definedName>
    <definedName name="Smithmarcusrnginttries">[1]ENG!$B$40</definedName>
    <definedName name="smithmscowxvpts">SCO!$H$36</definedName>
    <definedName name="smithmscowxvtries">SCO!$C$36</definedName>
    <definedName name="Smithnewtries">IRE!#REF!</definedName>
    <definedName name="Smithsampts">ENG!#REF!</definedName>
    <definedName name="Smithsamtries">ENG!#REF!</definedName>
    <definedName name="Smithsarpts">#REF!</definedName>
    <definedName name="Smithsartries">#REF!</definedName>
    <definedName name="smithscointpts">[1]SCO!$G$42</definedName>
    <definedName name="smithscointtries">[1]SCO!$C$42</definedName>
    <definedName name="snowillwal6natt">WAL!#REF!</definedName>
    <definedName name="Snowsillwal6ngls">WAL!#REF!</definedName>
    <definedName name="Snowsillwal6npts">WAL!$G$38</definedName>
    <definedName name="Sochatfra6n">FRA!#REF!</definedName>
    <definedName name="Sochatfra6npts">FRA!#REF!</definedName>
    <definedName name="Sochatfra6ntries">FRA!#REF!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olontsirsawxvpts">RSA!$H$41</definedName>
    <definedName name="solontsirsawxvtries">RSA!$C$41</definedName>
    <definedName name="Sorensen_McGeenzlp4pts">NZL!$G$36</definedName>
    <definedName name="Sorensen_McGeenzlp4tries">NZL!$B$36</definedName>
    <definedName name="sorensenmcgeenzlwxvpts">NZL!$H$36</definedName>
    <definedName name="sorensenmcgeenzlwxvtries">NZL!$C$36</definedName>
    <definedName name="Spagnoloita6npts">[1]ITA!$F$38</definedName>
    <definedName name="Spagnoloita6ntries">[1]ITA!$B$38</definedName>
    <definedName name="spagnoloitaintpts">[1]ITA!$G$38</definedName>
    <definedName name="spagnoloitainttries">[1]ITA!$C$38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tathopoulosusawxvpts">USA!$H$36</definedName>
    <definedName name="Stathopoulosusawxvtries">USA!$C$36</definedName>
    <definedName name="Stedmanolliepts">#REF!</definedName>
    <definedName name="Stedmanollietrie">#REF!</definedName>
    <definedName name="Steelelipts">FRA!#REF!</definedName>
    <definedName name="Steelelitries">FRA!#REF!</definedName>
    <definedName name="Steenekamprsaintpts">[1]RSA!$F$42</definedName>
    <definedName name="Steenekamprsainttries">[1]RSA!$B$42</definedName>
    <definedName name="Steenson">#REF!</definedName>
    <definedName name="steensonatt">#REF!</definedName>
    <definedName name="steensonexepts">#REF!</definedName>
    <definedName name="steensongarethtries">#REF!</definedName>
    <definedName name="Steensongoals">#REF!</definedName>
    <definedName name="Steensonpts">#REF!</definedName>
    <definedName name="Stefanita6npts">ITA!$G$33</definedName>
    <definedName name="Stefanita6ntries">ITA!$B$33</definedName>
    <definedName name="stefanutawxvpts">ITA!$H$33</definedName>
    <definedName name="stefanutawxvtries">ITA!$C$33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phensonjamespts">#REF!</definedName>
    <definedName name="Stephensonjamestries">#REF!</definedName>
    <definedName name="Stephensontompts">ITA!#REF!</definedName>
    <definedName name="Stephensontomtries">ITA!#REF!</definedName>
    <definedName name="Stevaninita6npts">ITA!$G$34</definedName>
    <definedName name="Stevaninita6ntries">ITA!$B$34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#REF!</definedName>
    <definedName name="stevenstries">#REF!</definedName>
    <definedName name="StewardENG6NPTS">[1]ENG!$G$41</definedName>
    <definedName name="StewardENG6NTRIES">[1]ENG!$C$41</definedName>
    <definedName name="StewardENGINTPTSCORRECT">[1]ENG!$F$41</definedName>
    <definedName name="StewardENGINTTRIESCORRECT">[1]ENG!$B$41</definedName>
    <definedName name="stewartausintpts">AUS!$I$37</definedName>
    <definedName name="stewartausinttries">AUS!$D$37</definedName>
    <definedName name="StewartausP4pts">AUS!$G$37</definedName>
    <definedName name="StewartausP4tries">AUS!$B$37</definedName>
    <definedName name="stewartauswxvpts">AUS!$H$37</definedName>
    <definedName name="stewartauswxvtries">AUS!$C$37</definedName>
    <definedName name="Steynsco6npts">[1]SCO!$F$43</definedName>
    <definedName name="Steynsco6ntries">[1]SCO!$B$43</definedName>
    <definedName name="steynscointpts">[1]SCO!$G$43</definedName>
    <definedName name="steynscointtries">[1]SCO!$C$43</definedName>
    <definedName name="Stockdaleire6npts">[1]IRE!$F$47</definedName>
    <definedName name="Stockdaleire6ntries">[1]IRE!$B$47</definedName>
    <definedName name="stockdaleireintpts">[1]IRE!$G$47</definedName>
    <definedName name="stockdaleireinttries">[1]IRE!$C$47</definedName>
    <definedName name="Stookeglotres">#REF!</definedName>
    <definedName name="Stookeglptd">#REF!</definedName>
    <definedName name="Stookepts">#REF!</definedName>
    <definedName name="Stooketries">#REF!</definedName>
    <definedName name="Strainnewpts">IRE!#REF!</definedName>
    <definedName name="Strainnewtries">IRE!#REF!</definedName>
    <definedName name="Streathertimpts">#REF!</definedName>
    <definedName name="Streathertimtries">#REF!</definedName>
    <definedName name="Strettlepts">#REF!</definedName>
    <definedName name="Strettlesarpts">#REF!</definedName>
    <definedName name="Strettlesartries">#REF!</definedName>
    <definedName name="strettletries">#REF!</definedName>
    <definedName name="Stringerpeterpts">#REF!</definedName>
    <definedName name="Stringerpetertries">#REF!</definedName>
    <definedName name="stuarteng6npts">[1]ENG!$G$42</definedName>
    <definedName name="stuarteng6ntries">[1]ENG!$C$42</definedName>
    <definedName name="Stuartengintptscorrect">[1]ENG!$F$42</definedName>
    <definedName name="Stuartenginttriescorrect">[1]ENG!$B$42</definedName>
    <definedName name="Stuartharpts">ENG!#REF!</definedName>
    <definedName name="Stuarthartries">ENG!#REF!</definedName>
    <definedName name="Sturgessexepts">#REF!</definedName>
    <definedName name="Sturgessexetries">#REF!</definedName>
    <definedName name="suajeremypts">#REF!</definedName>
    <definedName name="suajeremytries">#REF!</definedName>
    <definedName name="Suniulawaspts">#REF!</definedName>
    <definedName name="Suniulawastries">#REF!</definedName>
    <definedName name="svobodacanwxvpts">CAN!$H$38</definedName>
    <definedName name="svobodacanwxvtries">CAN!$C$38</definedName>
    <definedName name="Swainstonwapts">#REF!</definedName>
    <definedName name="Swainstonwastries">#REF!</definedName>
    <definedName name="Sweeneyceripts">#REF!</definedName>
    <definedName name="Sweeneyceritries">#REF!</definedName>
    <definedName name="sweeneyexeatt">#REF!</definedName>
    <definedName name="sweeneyexegoals">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dscanwxvpts">CAN!$H$39</definedName>
    <definedName name="symondscanwxvtries">CAN!$C$39</definedName>
    <definedName name="Symonsandypts">#REF!</definedName>
    <definedName name="Symonsandytries">#REF!</definedName>
    <definedName name="Tafunacanp4pts">CAN!#REF!</definedName>
    <definedName name="Tafunacanp4tries">CAN!#REF!</definedName>
    <definedName name="Tafunausap4pts">USA!$G$37</definedName>
    <definedName name="Tafunausap4tries">USA!$B$37</definedName>
    <definedName name="tafunausawxvpts">USA!$H$37</definedName>
    <definedName name="tafunausawxvtries">USA!$C$37</definedName>
    <definedName name="Tagicakibausailosipts">FRA!#REF!</definedName>
    <definedName name="Tagicakibausailositries">FRA!#REF!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#REF!</definedName>
    <definedName name="Taioneexetries">#REF!</definedName>
    <definedName name="Taitalexpts">IRE!#REF!</definedName>
    <definedName name="Taitalextries">IRE!#REF!</definedName>
    <definedName name="Taitmathewpts">#REF!</definedName>
    <definedName name="Taitmathewtries">#REF!</definedName>
    <definedName name="Taitnewpts">IRE!#REF!</definedName>
    <definedName name="Taitnewtris">IRE!#REF!</definedName>
    <definedName name="TalakaiausP4pts">AUS!$G$39</definedName>
    <definedName name="TalakaiausP4tries">AUS!$B$39</definedName>
    <definedName name="talakaiauswxvpts">AUS!$H$38</definedName>
    <definedName name="talakaiauswxvtries">AUS!$C$38</definedName>
    <definedName name="Tallingeng6npts">ENG!$G$46</definedName>
    <definedName name="Tallingeng6ntries">ENG!$B$46</definedName>
    <definedName name="tallingengwxvpts">ENG!$H$46</definedName>
    <definedName name="tallingengwxvtries">ENG!$C$46</definedName>
    <definedName name="taofifenuafra6npts">[1]FRA!$F$52</definedName>
    <definedName name="taofifenuafra6ntries">[1]FRA!$B$52</definedName>
    <definedName name="Taufoouusap4pts">USA!$G$39</definedName>
    <definedName name="Taufoouusap4tries">USA!$B$39</definedName>
    <definedName name="taufoouusawxvpts">USA!$H$39</definedName>
    <definedName name="taufoouusawxvtries">USA!$C$39</definedName>
    <definedName name="Taulavasemisipts">#REF!</definedName>
    <definedName name="Taulavasemisitries">#REF!</definedName>
    <definedName name="Taylorcanp4pts">CAN!$G$40</definedName>
    <definedName name="Taylorcanp4tries">CAN!$B$40</definedName>
    <definedName name="Taylorduncanpts">#REF!</definedName>
    <definedName name="Taylorduncantries">#REF!</definedName>
    <definedName name="Taylornathanpts">#REF!</definedName>
    <definedName name="Taylornathantries">#REF!</definedName>
    <definedName name="Taylornzlintptscorrect">[1]NZL!$F$38</definedName>
    <definedName name="Taylornzlinttries">[1]NZL!$B$38</definedName>
    <definedName name="Taylorsalpts">#REF!</definedName>
    <definedName name="Taylorsaltries">#REF!</definedName>
    <definedName name="Taylorsarpts">#REF!</definedName>
    <definedName name="Taylorsartries">#REF!</definedName>
    <definedName name="Taylorwaspts">#REF!</definedName>
    <definedName name="Taylorwastries">#REF!</definedName>
    <definedName name="Tele_anzlintpts">[1]NZL!$F$39</definedName>
    <definedName name="Tele_anzlinttries">[1]NZL!$B$39</definedName>
    <definedName name="TenetinzlP4pts">NZL!$G$39</definedName>
    <definedName name="TenetinzlP4tries">NZL!$B$39</definedName>
    <definedName name="Tessiercanp4att">CAN!$M$17</definedName>
    <definedName name="Tessiercanp4gls">CAN!$L$17</definedName>
    <definedName name="Tessiercanp4pts">CAN!$G$41</definedName>
    <definedName name="Tessiercanp4tries">CAN!$B$41</definedName>
    <definedName name="tessiercanwxvpts">CAN!$H$41</definedName>
    <definedName name="tessiercanwxvtries">CAN!$C$41</definedName>
    <definedName name="test">#REF!</definedName>
    <definedName name="tetazchaparroargintpts">[1]ARG!$G$46</definedName>
    <definedName name="tetazchaparroarginttries">[1]ARG!$C$46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Bwalpts">[1]WAL!$F$35</definedName>
    <definedName name="Thomas_Bwaltries">[1]WAL!$B$35</definedName>
    <definedName name="Thomas_Bwalyratt">[1]WAL!$K$10</definedName>
    <definedName name="Thomas_Bwalyrgls">[1]WAL!$J$10</definedName>
    <definedName name="Thomas_Dglopts">#REF!</definedName>
    <definedName name="Thomas_Dglotriews">#REF!</definedName>
    <definedName name="Thomas_Yglopts">#REF!</definedName>
    <definedName name="Thomas_Yglotries">#REF!</definedName>
    <definedName name="thomasagloatt">#REF!</definedName>
    <definedName name="thomasaglogoals">#REF!</definedName>
    <definedName name="Thomasaledglopts">#REF!</definedName>
    <definedName name="Thomasaledglotries">#REF!</definedName>
    <definedName name="thomasbwalintpts">[1]WAL!$G$35</definedName>
    <definedName name="thomasbwalinttries">[1]WAL!$C$35</definedName>
    <definedName name="Thomasexepts">#REF!</definedName>
    <definedName name="Thomasexetries">#REF!</definedName>
    <definedName name="Thomashaydnpts">#REF!</definedName>
    <definedName name="Thomashaydntries">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#REF!</definedName>
    <definedName name="Thomasmartyntries">#REF!</definedName>
    <definedName name="Thompsoneng6npts">ENG!$G$47</definedName>
    <definedName name="Thompsoneng6ntries">ENG!$B$47</definedName>
    <definedName name="Thompsonnewpts">IRE!#REF!</definedName>
    <definedName name="Thompsonnewtries">IRE!#REF!</definedName>
    <definedName name="Thompsonpts">#REF!</definedName>
    <definedName name="thompsonscointptsscorrect">[1]SCO!$G$45</definedName>
    <definedName name="thompsonscointtries">[1]SCO!$C$45</definedName>
    <definedName name="Thompsonscoyratt">[1]SCO!$K$11</definedName>
    <definedName name="Thompsonscoyrgls">[1]SCO!$J$11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sco6npts">SCO!$G$38</definedName>
    <definedName name="Thomsonsco6ntries">SCO!$B$38</definedName>
    <definedName name="Thomsonscointpts">SCO!$I$38</definedName>
    <definedName name="Thomsonscointtries">SCO!$D$38</definedName>
    <definedName name="thomsonscowxvpts">SCO!$H$38</definedName>
    <definedName name="thomsonscowxvtries">SCO!$C$38</definedName>
    <definedName name="Thorleyglopts">#REF!</definedName>
    <definedName name="Thorleyglotries">#REF!</definedName>
    <definedName name="Thornleipts">#REF!</definedName>
    <definedName name="Thornleitries">#REF!</definedName>
    <definedName name="Thorperichardpts">#REF!</definedName>
    <definedName name="Thorperichardtries">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moneyire6npts">[1]IRE!$F$48</definedName>
    <definedName name="Timoneyire6ntries">[1]IRE!$B$48</definedName>
    <definedName name="timoneyireintptscorrect">[1]IRE!$G$48</definedName>
    <definedName name="timoneyireinttriescorrect">[1]IRE!$C$48</definedName>
    <definedName name="Tincknelljamespts">#REF!</definedName>
    <definedName name="Tincknelljamestries">#REF!</definedName>
    <definedName name="tindallgloatt">#REF!</definedName>
    <definedName name="tindallglogoals">#REF!</definedName>
    <definedName name="Tindallmikepts">#REF!</definedName>
    <definedName name="Tindallmiketries">#REF!</definedName>
    <definedName name="Tipunanewpts">IRE!#REF!</definedName>
    <definedName name="Tipunanewtries">IRE!#REF!</definedName>
    <definedName name="tipuricwalintpts">[1]WAL!$G$36</definedName>
    <definedName name="tipuricwalinttries">[1]WAL!$C$36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WAL6NPTS">WAL!$G$39</definedName>
    <definedName name="TompkinsWAL6NTRIES">WAL!$B$39</definedName>
    <definedName name="tompkinswalintpts">[1]WAL!$G$38</definedName>
    <definedName name="tompkinswalinttries">[1]WAL!$C$38</definedName>
    <definedName name="Tooleausintpts">[1]AUS!$G$46</definedName>
    <definedName name="Tooleausinttries">[1]AUS!$C$46</definedName>
    <definedName name="Tosinzlintpts">[1]NZL!$F$40</definedName>
    <definedName name="Tosinzlinttries">[1]NZL!$B$40</definedName>
    <definedName name="tovefijwxvpts">FIJ!$I$35</definedName>
    <definedName name="tovefijwxvtries">FIJ!$D$35</definedName>
    <definedName name="Townsendexepts">#REF!</definedName>
    <definedName name="Townsendexetries">#REF!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derusap4pts">USA!$G$40</definedName>
    <definedName name="Trederusap4tries">USA!$B$40</definedName>
    <definedName name="tremoulierefra6natt">FRA!#REF!</definedName>
    <definedName name="Tremoulierefra6ngls">FRA!#REF!</definedName>
    <definedName name="Tremoulierefra6npts">FRA!$G$45</definedName>
    <definedName name="Tremoulierefra6ntries">FRA!$B$45</definedName>
    <definedName name="Trevettnathanpts">#REF!</definedName>
    <definedName name="Trevettnathantries">#REF!</definedName>
    <definedName name="Treviranuspts">FRA!#REF!</definedName>
    <definedName name="Treviranustries">FRA!#REF!</definedName>
    <definedName name="Trinderglopts">#REF!</definedName>
    <definedName name="Trinderhenrypts">#REF!</definedName>
    <definedName name="Trinderpts">#REF!</definedName>
    <definedName name="trindertries">#REF!</definedName>
    <definedName name="Trindertriestries">#REF!</definedName>
    <definedName name="Trullaita6npts">[1]ITA!$F$39</definedName>
    <definedName name="Trullaita6ntries">[1]ITA!$B$39</definedName>
    <definedName name="trullaitaintpts">[1]ITA!$G$39</definedName>
    <definedName name="trullaitainttries">[1]ITA!$C$39</definedName>
    <definedName name="tsukuijpnwxvpts">JPN!$H$40</definedName>
    <definedName name="tsukuijpnwxvtries">JPN!$C$40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fraintpts">[1]FRA!$G$53</definedName>
    <definedName name="tuilagifrainttries">[1]FRA!$C$53</definedName>
    <definedName name="Tuilagimanupts">#REF!</definedName>
    <definedName name="Tuilagimanutries">#REF!</definedName>
    <definedName name="Tuinzlp4pts">NZL!$G$40</definedName>
    <definedName name="Tuinzlp4tries">NZL!$B$40</definedName>
    <definedName name="tuinzlwxvpts">NZL!$H$40</definedName>
    <definedName name="tuinzlwxvtries">NZL!$C$40</definedName>
    <definedName name="Tuipulotunzlintpts">[1]NZL!$F$41</definedName>
    <definedName name="Tuipulotunzlinttries">[1]NZL!$B$41</definedName>
    <definedName name="tuipulotuscointpts">[1]SCO!$G$46</definedName>
    <definedName name="tuipulotuscointtries">[1]SCO!$C$46</definedName>
    <definedName name="Tuipulotuwal6npts">WAL!$G$42</definedName>
    <definedName name="Tuipulotuwal6ntries">WAL!$B$42</definedName>
    <definedName name="tuipulotuwalwxvpts">WAL!$H$42</definedName>
    <definedName name="tuipulotuwalwxvtries">WAL!$C$42</definedName>
    <definedName name="tuiteirewxvpts">IRE!$H$43</definedName>
    <definedName name="tuiteirewxvtries">IRE!$C$43</definedName>
    <definedName name="Tuitupousampts">#REF!</definedName>
    <definedName name="Tuitupousamtries">#REF!</definedName>
    <definedName name="Tukuafunzlp4pts">NZL!$G$41</definedName>
    <definedName name="Tukuafunzlp4tries">NZL!$B$41</definedName>
    <definedName name="tukuafunzlwxvpts">NZL!$H$41</definedName>
    <definedName name="tukuafunzlwxvtries">NZL!$C$41</definedName>
    <definedName name="Tupaeaintptscorrect">[1]NZL!$F$42</definedName>
    <definedName name="Tupaeanzlinttriescorrect">[1]NZL!$B$42</definedName>
    <definedName name="tupouausintpts">[1]AUS!$G$47</definedName>
    <definedName name="tupouausinttries">[1]AUS!$C$47</definedName>
    <definedName name="Turaniita6npts">ITA!$G$36</definedName>
    <definedName name="Turaniita6ntries">ITA!$B$36</definedName>
    <definedName name="turaniitawxvpts">ITA!$H$36</definedName>
    <definedName name="turaniitawxvtries">ITA!$C$36</definedName>
    <definedName name="Turner_Hallharpts">ENG!#REF!</definedName>
    <definedName name="Turner_Hallhartries">ENG!#REF!</definedName>
    <definedName name="Turnersco6npts">[1]SCO!$F$47</definedName>
    <definedName name="Turnersco6ntries">[1]SCO!$B$47</definedName>
    <definedName name="turnerscointpts">[1]SCO!$G$47</definedName>
    <definedName name="turnerscointtries">[1]SCO!$C$47</definedName>
    <definedName name="Tuttosicanp4pts">CAN!$G$43</definedName>
    <definedName name="Tuttosicanp4tries">CAN!$B$43</definedName>
    <definedName name="tuttosicanwxvpts">CAN!$H$43</definedName>
    <definedName name="tuttosicanwxvtries">CAN!$C$43</definedName>
    <definedName name="tuyfrawxvpts">FRA!$H$46</definedName>
    <definedName name="tuyfrawxvtries">FRA!$C$46</definedName>
    <definedName name="twelvetreesatt">#REF!</definedName>
    <definedName name="Twelvetreesglopts">#REF!</definedName>
    <definedName name="Twelvetreesglotries">#REF!</definedName>
    <definedName name="twelvetreesgoals">#REF!</definedName>
    <definedName name="Twelvetreespts">#REF!</definedName>
    <definedName name="Twelvetreestries">#REF!</definedName>
    <definedName name="Twomeyharpts">ENG!#REF!</definedName>
    <definedName name="Twomeyhartries">ENG!#REF!</definedName>
    <definedName name="underhilleng6npts">[1]ENG!$G$43</definedName>
    <definedName name="underhilleng6ntries">[1]ENG!$C$43</definedName>
    <definedName name="Underhillengintpts">[1]ENG!$F$43</definedName>
    <definedName name="Underhillenginttries">[1]ENG!$B$43</definedName>
    <definedName name="Vaa_Inzlintpts">[1]NZL!$F$44</definedName>
    <definedName name="Vaa_Inzlinttries">[1]NZL!$B$44</definedName>
    <definedName name="Vaha_akolonzlp4pts">NZL!$G$42</definedName>
    <definedName name="Vaha_akolonzlp4tries">NZL!$B$42</definedName>
    <definedName name="Vahaakolonzlwxvpts">NZL!$H$42</definedName>
    <definedName name="Vahaakolonzlwxvtries">NZL!$C$42</definedName>
    <definedName name="Vainikoloexepts">#REF!</definedName>
    <definedName name="Vainikoloexetries">#REF!</definedName>
    <definedName name="Vainikolopts">#REF!</definedName>
    <definedName name="Vainikolotries">#REF!</definedName>
    <definedName name="Vaipulunzlp4pts">NZL!$G$43</definedName>
    <definedName name="Vaipulunzlp4tries">NZL!$B$43</definedName>
    <definedName name="valetiniausintpts">[1]AUS!$G$49</definedName>
    <definedName name="valetiniausinttries">[1]AUS!$C$49</definedName>
    <definedName name="van_den_Bergrsaintpts">[1]RSA!$F$43</definedName>
    <definedName name="van_den_Bergrsainttries">[1]RSA!$B$43</definedName>
    <definedName name="van_der_Flierire6npts">IRE!#REF!</definedName>
    <definedName name="van_der_Flierire6ntries">IRE!#REF!</definedName>
    <definedName name="van_der_Merwe_Mrsaintpts">[1]RSA!$F$45</definedName>
    <definedName name="van_der_Merwe_Mrsainttries">[1]RSA!$B$45</definedName>
    <definedName name="van_der_Merwe6nscopts">SCO!$G$40</definedName>
    <definedName name="van_der_Merwersaintpts">[1]RSA!$F$44</definedName>
    <definedName name="van_der_Merwersainttries">[1]RSA!$B$44</definedName>
    <definedName name="van_der_Merwesco6ntries">SCO!$B$40</definedName>
    <definedName name="van_Poortvlietengintpts">[1]ENG!$F$44</definedName>
    <definedName name="van_Poortvlietenginttries">[1]ENG!$B$44</definedName>
    <definedName name="van_Stadenrsaintpts">[1]RSA!$F$46</definedName>
    <definedName name="van_Stadenrsainttries">[1]RSA!$B$46</definedName>
    <definedName name="van_Velzegjpts">ITA!#REF!</definedName>
    <definedName name="van_Velzegjtries">ITA!#REF!</definedName>
    <definedName name="VANDERFLIERIREINTPTS">[1]IRE!$G$49</definedName>
    <definedName name="VANDERFLIERIREINTTRIES">[1]IRE!$C$49</definedName>
    <definedName name="vandermerwescointpts">[1]SCO!$G$48</definedName>
    <definedName name="vandermerwescointtries">[1]SCO!$C$48</definedName>
    <definedName name="Varndelltompts">#REF!</definedName>
    <definedName name="Varndelltomtries">#REF!</definedName>
    <definedName name="Varneyita6npts">[1]ITA!$F$40</definedName>
    <definedName name="Varneyita6ntries">[1]ITA!$B$40</definedName>
    <definedName name="VARNEYITAINTPTS">[1]ITA!$G$40</definedName>
    <definedName name="VARNEYITAINTTRIES">[1]ITA!$C$40</definedName>
    <definedName name="Varneyitayratt">[1]ITA!$K$11</definedName>
    <definedName name="Varneyitayrgls">[1]ITA!$J$11</definedName>
    <definedName name="vatausamwxvpts">SAM!$H$27</definedName>
    <definedName name="vatausamwxvtries">SAM!$C$27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cchiniita6npts">ITA!$G$37</definedName>
    <definedName name="Vecchiniita6ntries">ITA!$B$37</definedName>
    <definedName name="vecchiniitawxvpts">ITA!$H$37</definedName>
    <definedName name="vecchiniitawxvtries">ITA!$C$37</definedName>
    <definedName name="Vellanathanpts">#REF!</definedName>
    <definedName name="Vellanathantries">#REF!</definedName>
    <definedName name="Vennereng6npts">ENG!$G$49</definedName>
    <definedName name="Vennereng6ntries">ENG!$B$49</definedName>
    <definedName name="Venter_Brsaintpts">[1]RSA!$F$48</definedName>
    <definedName name="Venter_Brsainttries">[1]RSA!$B$48</definedName>
    <definedName name="Venterrsaintpts">[1]RSA!$F$47</definedName>
    <definedName name="Venterrsainttries">[1]RSA!$B$47</definedName>
    <definedName name="Verbakelnorpts">ITA!#REF!</definedName>
    <definedName name="Verbakelnortries">ITA!#REF!</definedName>
    <definedName name="VernierFRA6NPTS">FRA!$G$47</definedName>
    <definedName name="VernierFRA6NTRIES">FRA!$B$47</definedName>
    <definedName name="vernierfrawxvpts">FRA!$H$47</definedName>
    <definedName name="vernierfrawxvtries">FRA!$C$47</definedName>
    <definedName name="Vickersnewpts">IRE!#REF!</definedName>
    <definedName name="Vickersnewtries">IRE!#REF!</definedName>
    <definedName name="Vilikonzlp4pts">NZL!$G$44</definedName>
    <definedName name="Vilikonzlp4tries">NZL!$B$44</definedName>
    <definedName name="vilikonzlwxvpts">NZL!$H$44</definedName>
    <definedName name="vilikonzlwxvtries">NZL!$C$44</definedName>
    <definedName name="Villierefra6npts">FRA!$G$36</definedName>
    <definedName name="Villierefra6ntries">FRA!$B$36</definedName>
    <definedName name="villierefraintpts">[1]FRA!$G$54</definedName>
    <definedName name="villierefrainttries">[1]FRA!$C$54</definedName>
    <definedName name="Vintcentita6npts">[1]ITA!$F$41</definedName>
    <definedName name="Vintcentita6ntries">[1]ITA!$B$41</definedName>
    <definedName name="vintcentitaintpts">[1]ITA!$G$41</definedName>
    <definedName name="vintcentitainttries">[1]ITA!$C$41</definedName>
    <definedName name="Vogelusap4att">USA!$M$19</definedName>
    <definedName name="Vogelusap4gls">USA!$L$19</definedName>
    <definedName name="Vogelusap4pts">USA!$G$41</definedName>
    <definedName name="Vogelusap4tries">USA!$B$41</definedName>
    <definedName name="Vogelusayratt">USA!$M$10</definedName>
    <definedName name="Vogelusayrgls">USA!$L$10</definedName>
    <definedName name="vuetifijwvpts">FIJ!$I$38</definedName>
    <definedName name="vuetifijwvtries">FIJ!$D$38</definedName>
    <definedName name="Vunipola_Bsarpts">#REF!</definedName>
    <definedName name="Vunipola_Bsartrie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valuausintpts">[1]AUS!$G$51</definedName>
    <definedName name="vunivaluausinttries">[1]AUS!$C$51</definedName>
    <definedName name="Waakanzlp4pts">NZL!$G$45</definedName>
    <definedName name="Waakanzlp4tries">NZL!$B$45</definedName>
    <definedName name="waakanzlwxvpts">NZL!$H$45</definedName>
    <definedName name="waakanzlwxvtries">NZL!$C$45</definedName>
    <definedName name="Wadepts">#REF!</definedName>
    <definedName name="wadetries">#REF!</definedName>
    <definedName name="Wadewaspts">#REF!</definedName>
    <definedName name="Wadewastries">#REF!</definedName>
    <definedName name="Waferire6npts">IRE!$G$44</definedName>
    <definedName name="Waferire6ntries">IRE!$B$44</definedName>
    <definedName name="wainwrightwal6npts">[1]WAL!$F$40</definedName>
    <definedName name="wainwrightwal6ntries">[1]WAL!$B$40</definedName>
    <definedName name="wainwrightwalintpts">[1]WAL!$G$40</definedName>
    <definedName name="wainwrightwalinttries">[1]WAL!$C$40</definedName>
    <definedName name="Waldoucknorpts">ITA!#REF!</definedName>
    <definedName name="Waldoucknortries">ITA!#REF!</definedName>
    <definedName name="Waldromexepts">#REF!</definedName>
    <definedName name="Waldromexetries">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llire6npts">IRE!$G$45</definedName>
    <definedName name="Wallire6ntries">IRE!$B$45</definedName>
    <definedName name="Warddavepts">ENG!#REF!</definedName>
    <definedName name="warddavetries">ENG!#REF!</definedName>
    <definedName name="Wardeng6npts">ENG!$G$50</definedName>
    <definedName name="Wardeng6ntries">ENG!$B$50</definedName>
    <definedName name="wardrngwxvpts">ENG!$H$50</definedName>
    <definedName name="wardrngwxvtries">ENG!$C$50</definedName>
    <definedName name="warrscointpts">[1]SCO!$G$49</definedName>
    <definedName name="warrscointtries">[1]SCO!$C$49</definedName>
    <definedName name="warwickatt">#REF!</definedName>
    <definedName name="warwickgoals">#REF!</definedName>
    <definedName name="Warwickpaulpts">#REF!</definedName>
    <definedName name="Warwickpaultries">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sellsco6npts">SCO!$G$39</definedName>
    <definedName name="Wassellsco6ntries">SCO!$B$39</definedName>
    <definedName name="wassellscowxvpts">SCO!$H$39</definedName>
    <definedName name="wassellscowxvtries">SCO!$C$39</definedName>
    <definedName name="Waterswelpts">#REF!</definedName>
    <definedName name="Watersweltries">#REF!</definedName>
    <definedName name="Watkinwal6npts">[1]WAL!$F$41</definedName>
    <definedName name="Watkinwal6ntries">[1]WAL!$B$41</definedName>
    <definedName name="Watsonanthonypts">#REF!</definedName>
    <definedName name="Watsonanthonytries">#REF!</definedName>
    <definedName name="watsonscointpts">[1]SCO!$G$50</definedName>
    <definedName name="watsonscointtries">[1]SCO!$C$50</definedName>
    <definedName name="Webberpts">#REF!</definedName>
    <definedName name="Webberrobtries">#REF!</definedName>
    <definedName name="Webbertries">#REF!</definedName>
    <definedName name="Weepuwelshpts">#REF!</definedName>
    <definedName name="Weepuwelshtries">#REF!</definedName>
    <definedName name="Weirsco6natt">SCO!#REF!</definedName>
    <definedName name="Weirsco6ngoals">SCO!#REF!</definedName>
    <definedName name="Welchdamianpts">#REF!</definedName>
    <definedName name="Welchdamiantries">#REF!</definedName>
    <definedName name="Welchexepts">#REF!</definedName>
    <definedName name="Welchexetries">#REF!</definedName>
    <definedName name="Welchwillpts">IRE!#REF!</definedName>
    <definedName name="Welchwilltries">IRE!#REF!</definedName>
    <definedName name="Wellsharrypts">#REF!</definedName>
    <definedName name="Wellsharrytries">#REF!</definedName>
    <definedName name="Wesselsrsaintpts">[1]RSA!$F$49</definedName>
    <definedName name="Wesselsrsainttries">[1]RSA!$B$49</definedName>
    <definedName name="Westbenpts">#REF!</definedName>
    <definedName name="Westbentries">#REF!</definedName>
    <definedName name="westcombeevansengpts">ENG!$H$51</definedName>
    <definedName name="westcombeevansengtries">ENG!$C$51</definedName>
    <definedName name="whiteausyratt">[1]AUS!$K$11</definedName>
    <definedName name="whiteausyrgls">[1]AUS!$J$11</definedName>
    <definedName name="Whiteexepts">#REF!</definedName>
    <definedName name="Whiteheadchrispts">#REF!</definedName>
    <definedName name="Whiteheadchristries">#REF!</definedName>
    <definedName name="Whitepts">#REF!</definedName>
    <definedName name="Whitesco6npts">SCO!#REF!</definedName>
    <definedName name="Whitesco6ntries">SCO!#REF!</definedName>
    <definedName name="whitescointpts">[1]SCO!$G$51</definedName>
    <definedName name="whitescointtries">[1]SCO!$C$51</definedName>
    <definedName name="whitetrie">#REF!</definedName>
    <definedName name="Whittenpts">#REF!</definedName>
    <definedName name="Whittentrie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inswalwxvpts">WAL!$H$43</definedName>
    <definedName name="wilinswalwxvtries">WAL!$C$43</definedName>
    <definedName name="wilkinswal6natt">WAL!$M$15</definedName>
    <definedName name="Wilkinswal6ngls">WAL!$L$15</definedName>
    <definedName name="Wilkinswal6npts">WAL!$G$43</definedName>
    <definedName name="Wilkinswal6ntries">WAL!$B$43</definedName>
    <definedName name="wilkinswalwxvatt">WAL!$M$28</definedName>
    <definedName name="Wilkinswalwxvgls">WAL!$L$28</definedName>
    <definedName name="Willemsefra6npts">FRA!$G$37</definedName>
    <definedName name="Willemsefra6ntries">FRA!$B$37</definedName>
    <definedName name="Willemsersaintptscorrect">[1]RSA!$F$52</definedName>
    <definedName name="Willemsersainttries">[1]RSA!$B$52</definedName>
    <definedName name="Williams_Lwal6npts">[1]WAL!$F$42</definedName>
    <definedName name="Williams_Lwal6Ntries">[1]WAL!$B$42</definedName>
    <definedName name="Williams_Owal6npts">[1]WAL!$F$43</definedName>
    <definedName name="Williams_Owal6ntries">[1]WAL!$B$43</definedName>
    <definedName name="Williams_Twal6ntries">[1]WAL!$B$44</definedName>
    <definedName name="Williamsbenpts">#REF!</definedName>
    <definedName name="Williamsbentries">#REF!</definedName>
    <definedName name="Williamsleipts">#REF!</definedName>
    <definedName name="Williamsleitries">#REF!</definedName>
    <definedName name="williamslwalintpts">[1]WAL!$G$42</definedName>
    <definedName name="williamslwalinttries">[1]WAL!$C$42</definedName>
    <definedName name="Williamsmikepts">#REF!</definedName>
    <definedName name="Williamsmiketries">#REF!</definedName>
    <definedName name="Williamsmiketriescorrect">#REF!</definedName>
    <definedName name="Williamsonsco6npts">[1]SCO!$F$52</definedName>
    <definedName name="Williamsonsco6ntries">[1]SCO!$B$52</definedName>
    <definedName name="Williamsonscointpts">[1]SCO!$G$52</definedName>
    <definedName name="Williamsonscointtries">[1]SCO!$C$52</definedName>
    <definedName name="williamsowalintpts">[1]WAL!$G$43</definedName>
    <definedName name="williamsowalinttries">[1]WAL!$C$43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rsaintpts">[1]RSA!$F$51</definedName>
    <definedName name="Williamsrsainttries">[1]RSA!$B$51</definedName>
    <definedName name="Williamstnzlintpts">[1]NZL!$F$45</definedName>
    <definedName name="Williamstnzlinttries">[1]NZL!$B$45</definedName>
    <definedName name="Williamstompts">ENG!#REF!</definedName>
    <definedName name="Williamstomtries">ENG!#REF!</definedName>
    <definedName name="Williamstomtriescorrect">ENG!#REF!</definedName>
    <definedName name="williamstwal6npts">[1]WAL!$F$44</definedName>
    <definedName name="williamstwalintpts">[1]WAL!$G$44</definedName>
    <definedName name="williamstwalinttries">[1]WAL!$C$44</definedName>
    <definedName name="Williamswal6npts">WAL!$G$44</definedName>
    <definedName name="Williamswal6ntries">WAL!$B$44</definedName>
    <definedName name="WillisonnzlP4att">NZL!$M$19</definedName>
    <definedName name="WillisonnzlP4gls">NZL!$L$19</definedName>
    <definedName name="WillisonnzlP4pts">NZL!$G$42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ausintpts">[1]AUS!$G$52</definedName>
    <definedName name="wilsonausinttries">[1]AUS!$C$52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kifraintpts">[1]FRA!$G$58</definedName>
    <definedName name="wokifrainttries">[1]FRA!$C$58</definedName>
    <definedName name="WongausP4pts">AUS!$G$41</definedName>
    <definedName name="WongausP4tries">AUS!$B$41</definedName>
    <definedName name="wongauswxvpts">AUS!$H$41</definedName>
    <definedName name="wongauswxvtries">AUS!$C$41</definedName>
    <definedName name="woodausintpts">AUS!$I$41</definedName>
    <definedName name="woodausinttries">AUS!$D$41</definedName>
    <definedName name="Woodausp4att">AUS!$M$19</definedName>
    <definedName name="Woodausp4gls">AUS!$L$19</definedName>
    <definedName name="Woodausyratt">AUS!$M$10</definedName>
    <definedName name="Woodausyrgls">AUS!$L$10</definedName>
    <definedName name="Woodburnollypts">#REF!</definedName>
    <definedName name="woodburnollytries">#REF!</definedName>
    <definedName name="Woodglopts">#REF!</definedName>
    <definedName name="Woodglotries">#REF!</definedName>
    <definedName name="Woodman_Wickliffenzlp4pts">NZL!$G$46</definedName>
    <definedName name="Woodman_Wickliffenzlp4tries">NZL!$B$46</definedName>
    <definedName name="woodmanwickliffenzlwxvpts">NZL!$H$46</definedName>
    <definedName name="woodmanwickliffenzlwxvtries">NZL!$C$46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#REF!</definedName>
    <definedName name="worcesterpentriespts">#REF!</definedName>
    <definedName name="Wrayjacksonpts">#REF!</definedName>
    <definedName name="Wrayjacksontries">#REF!</definedName>
    <definedName name="wrightauspts">[1]AUS!$G$53</definedName>
    <definedName name="wrightaustries">[1]AUS!$C$53</definedName>
    <definedName name="Wrightsco6npts">SCO!$G$42</definedName>
    <definedName name="Wrightsco6ntries">SCO!$B$42</definedName>
    <definedName name="wrightscointpts">SCO!$I$42</definedName>
    <definedName name="wrightscointrtries">SCO!$D$42</definedName>
    <definedName name="Wylespts">#REF!</definedName>
    <definedName name="wylestries">#REF!</definedName>
    <definedName name="wyrwasengwxvpts">ENG!$H$52</definedName>
    <definedName name="wyrwasengwxvtries">ENG!$C$52</definedName>
    <definedName name="wywwasengwxvtries" localSheetId="16">ENG!$C$52</definedName>
    <definedName name="yamamotoajpnwxvpts">JPN!$H$41</definedName>
    <definedName name="yamamotoajpnwxvtries">JPN!$C$41</definedName>
    <definedName name="yamamotojpnwxvatt">JPN!$M$29</definedName>
    <definedName name="yamamotojpnwxvgls">JPN!$L$29</definedName>
    <definedName name="Yappwaspts">#REF!</definedName>
    <definedName name="Yappwastries">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#REF!</definedName>
    <definedName name="Yeandlejacktries">#REF!</definedName>
    <definedName name="Yorkchrispts">IRE!#REF!</definedName>
    <definedName name="Yorkchristries">IRE!#REF!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usap4pts">USA!$G$43</definedName>
    <definedName name="Zackaryusap4tries">USA!$B$43</definedName>
    <definedName name="zackaryusawxvpts">USA!$H$43</definedName>
    <definedName name="zackaryusawxvtries">USA!$C$43</definedName>
    <definedName name="zamboninitaintpts">[1]ITA!$G$42</definedName>
    <definedName name="zamboninitainttries">[1]ITA!$C$42</definedName>
    <definedName name="zanonitaintpts">[1]ITA!$G$43</definedName>
    <definedName name="zanonitainttries">[1]ITA!$C$43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35" l="1"/>
  <c r="E78" i="35"/>
  <c r="L21" i="35"/>
  <c r="E16" i="35"/>
  <c r="L18" i="35"/>
  <c r="E13" i="35"/>
  <c r="L41" i="35"/>
  <c r="L68" i="35"/>
  <c r="L62" i="35"/>
  <c r="E32" i="35"/>
  <c r="E61" i="35"/>
  <c r="E55" i="35"/>
  <c r="F19" i="30"/>
  <c r="C16" i="30"/>
  <c r="F21" i="30"/>
  <c r="C18" i="30"/>
  <c r="J7" i="30"/>
  <c r="I7" i="30"/>
  <c r="N19" i="25"/>
  <c r="W18" i="25"/>
  <c r="Q10" i="25"/>
  <c r="I85" i="25"/>
  <c r="H85" i="25"/>
  <c r="G85" i="25"/>
  <c r="D85" i="25"/>
  <c r="C85" i="25"/>
  <c r="B85" i="25"/>
  <c r="J48" i="25"/>
  <c r="E84" i="25"/>
  <c r="J84" i="25"/>
  <c r="E83" i="25"/>
  <c r="J83" i="25"/>
  <c r="E82" i="25"/>
  <c r="J82" i="25"/>
  <c r="E81" i="25"/>
  <c r="J51" i="25"/>
  <c r="E50" i="25"/>
  <c r="J81" i="25"/>
  <c r="E80" i="25"/>
  <c r="J80" i="25"/>
  <c r="E79" i="25"/>
  <c r="J79" i="25"/>
  <c r="E78" i="25"/>
  <c r="J78" i="25"/>
  <c r="E77" i="25"/>
  <c r="J77" i="25"/>
  <c r="E76" i="25"/>
  <c r="J76" i="25"/>
  <c r="E75" i="25"/>
  <c r="J75" i="25"/>
  <c r="E74" i="25"/>
  <c r="J47" i="25"/>
  <c r="E47" i="25"/>
  <c r="J50" i="25"/>
  <c r="E49" i="25"/>
  <c r="J74" i="25"/>
  <c r="E73" i="25"/>
  <c r="J73" i="25"/>
  <c r="E72" i="25"/>
  <c r="J72" i="25"/>
  <c r="E71" i="25"/>
  <c r="J71" i="25"/>
  <c r="E70" i="25"/>
  <c r="J70" i="25"/>
  <c r="E69" i="25"/>
  <c r="J46" i="25"/>
  <c r="E46" i="25"/>
  <c r="J69" i="25"/>
  <c r="E68" i="25"/>
  <c r="J68" i="25"/>
  <c r="E67" i="25"/>
  <c r="J67" i="25"/>
  <c r="E66" i="25"/>
  <c r="J49" i="25"/>
  <c r="E48" i="25"/>
  <c r="J66" i="25"/>
  <c r="E65" i="25"/>
  <c r="J65" i="25"/>
  <c r="E64" i="25"/>
  <c r="J64" i="25"/>
  <c r="E63" i="25"/>
  <c r="J63" i="25"/>
  <c r="E62" i="25"/>
  <c r="J62" i="25"/>
  <c r="E61" i="25"/>
  <c r="J61" i="25"/>
  <c r="E60" i="25"/>
  <c r="J60" i="25"/>
  <c r="E59" i="25"/>
  <c r="J59" i="25"/>
  <c r="E58" i="25"/>
  <c r="J58" i="25"/>
  <c r="E57" i="25"/>
  <c r="J57" i="25"/>
  <c r="E56" i="25"/>
  <c r="J56" i="25"/>
  <c r="E55" i="25"/>
  <c r="J55" i="25"/>
  <c r="E54" i="25"/>
  <c r="J54" i="25"/>
  <c r="E53" i="25"/>
  <c r="J53" i="25"/>
  <c r="E52" i="25"/>
  <c r="J52" i="25"/>
  <c r="E51" i="25"/>
  <c r="N15" i="27"/>
  <c r="N4" i="27"/>
  <c r="Q4" i="27"/>
  <c r="I89" i="27"/>
  <c r="H89" i="27"/>
  <c r="G89" i="27"/>
  <c r="D89" i="27"/>
  <c r="C89" i="27"/>
  <c r="B89" i="27"/>
  <c r="E89" i="27" s="1"/>
  <c r="J88" i="27"/>
  <c r="E88" i="27"/>
  <c r="J87" i="27"/>
  <c r="E87" i="27"/>
  <c r="J49" i="27"/>
  <c r="E86" i="27"/>
  <c r="J86" i="27"/>
  <c r="E85" i="27"/>
  <c r="J85" i="27"/>
  <c r="E84" i="27"/>
  <c r="J84" i="27"/>
  <c r="E83" i="27"/>
  <c r="J53" i="27"/>
  <c r="E52" i="27"/>
  <c r="J83" i="27"/>
  <c r="E82" i="27"/>
  <c r="J82" i="27"/>
  <c r="E81" i="27"/>
  <c r="J48" i="27"/>
  <c r="E48" i="27"/>
  <c r="J52" i="27"/>
  <c r="E51" i="27"/>
  <c r="J81" i="27"/>
  <c r="E80" i="27"/>
  <c r="J80" i="27"/>
  <c r="E79" i="27"/>
  <c r="J79" i="27"/>
  <c r="E78" i="27"/>
  <c r="J78" i="27"/>
  <c r="E77" i="27"/>
  <c r="J77" i="27"/>
  <c r="E76" i="27"/>
  <c r="J76" i="27"/>
  <c r="E75" i="27"/>
  <c r="J75" i="27"/>
  <c r="E74" i="27"/>
  <c r="J74" i="27"/>
  <c r="E73" i="27"/>
  <c r="J73" i="27"/>
  <c r="E72" i="27"/>
  <c r="J72" i="27"/>
  <c r="E71" i="27"/>
  <c r="J71" i="27"/>
  <c r="E70" i="27"/>
  <c r="J70" i="27"/>
  <c r="E69" i="27"/>
  <c r="J69" i="27"/>
  <c r="E68" i="27"/>
  <c r="J68" i="27"/>
  <c r="E67" i="27"/>
  <c r="J67" i="27"/>
  <c r="E66" i="27"/>
  <c r="J51" i="27"/>
  <c r="E50" i="27"/>
  <c r="J66" i="27"/>
  <c r="E65" i="27"/>
  <c r="J65" i="27"/>
  <c r="E64" i="27"/>
  <c r="J64" i="27"/>
  <c r="E63" i="27"/>
  <c r="J63" i="27"/>
  <c r="E62" i="27"/>
  <c r="J62" i="27"/>
  <c r="E61" i="27"/>
  <c r="J61" i="27"/>
  <c r="E60" i="27"/>
  <c r="J60" i="27"/>
  <c r="E59" i="27"/>
  <c r="J50" i="27"/>
  <c r="E49" i="27"/>
  <c r="J59" i="27"/>
  <c r="E58" i="27"/>
  <c r="J58" i="27"/>
  <c r="E57" i="27"/>
  <c r="J57" i="27"/>
  <c r="E56" i="27"/>
  <c r="J56" i="27"/>
  <c r="E55" i="27"/>
  <c r="J55" i="27"/>
  <c r="E54" i="27"/>
  <c r="J54" i="27"/>
  <c r="E53" i="27"/>
  <c r="K7" i="30" l="1"/>
  <c r="J85" i="25"/>
  <c r="E85" i="25"/>
  <c r="J89" i="27"/>
  <c r="L38" i="35" l="1"/>
  <c r="L71" i="35"/>
  <c r="L20" i="35"/>
  <c r="E29" i="35"/>
  <c r="E64" i="35"/>
  <c r="E15" i="35"/>
  <c r="L70" i="35"/>
  <c r="E63" i="35"/>
  <c r="L26" i="35"/>
  <c r="E54" i="35"/>
  <c r="F24" i="30"/>
  <c r="C22" i="30"/>
  <c r="F10" i="30"/>
  <c r="C19" i="30"/>
  <c r="I95" i="28"/>
  <c r="H95" i="28"/>
  <c r="G95" i="28"/>
  <c r="D95" i="28"/>
  <c r="C95" i="28"/>
  <c r="B95" i="28"/>
  <c r="J94" i="28"/>
  <c r="E94" i="28"/>
  <c r="J93" i="28"/>
  <c r="E93" i="28"/>
  <c r="J92" i="28"/>
  <c r="E92" i="28"/>
  <c r="J58" i="28"/>
  <c r="E58" i="28"/>
  <c r="J91" i="28"/>
  <c r="E91" i="28"/>
  <c r="J57" i="28"/>
  <c r="E57" i="28"/>
  <c r="J90" i="28"/>
  <c r="E90" i="28"/>
  <c r="J89" i="28"/>
  <c r="E89" i="28"/>
  <c r="J88" i="28"/>
  <c r="E88" i="28"/>
  <c r="J87" i="28"/>
  <c r="E87" i="28"/>
  <c r="J86" i="28"/>
  <c r="E86" i="28"/>
  <c r="J85" i="28"/>
  <c r="E85" i="28"/>
  <c r="J84" i="28"/>
  <c r="E84" i="28"/>
  <c r="J83" i="28"/>
  <c r="E83" i="28"/>
  <c r="J82" i="28"/>
  <c r="E82" i="28"/>
  <c r="J81" i="28"/>
  <c r="E81" i="28"/>
  <c r="J80" i="28"/>
  <c r="E80" i="28"/>
  <c r="J79" i="28"/>
  <c r="E79" i="28"/>
  <c r="J78" i="28"/>
  <c r="E78" i="28"/>
  <c r="J52" i="28"/>
  <c r="E51" i="28"/>
  <c r="J53" i="28"/>
  <c r="E53" i="28"/>
  <c r="J77" i="28"/>
  <c r="E77" i="28"/>
  <c r="J76" i="28"/>
  <c r="E76" i="28"/>
  <c r="J75" i="28"/>
  <c r="E75" i="28"/>
  <c r="J74" i="28"/>
  <c r="E74" i="28"/>
  <c r="J73" i="28"/>
  <c r="E73" i="28"/>
  <c r="J72" i="28"/>
  <c r="E72" i="28"/>
  <c r="J71" i="28"/>
  <c r="E71" i="28"/>
  <c r="J70" i="28"/>
  <c r="E70" i="28"/>
  <c r="J56" i="28"/>
  <c r="E56" i="28"/>
  <c r="J69" i="28"/>
  <c r="E69" i="28"/>
  <c r="J68" i="28"/>
  <c r="E68" i="28"/>
  <c r="J67" i="28"/>
  <c r="E67" i="28"/>
  <c r="J51" i="28"/>
  <c r="E52" i="28"/>
  <c r="J66" i="28"/>
  <c r="E66" i="28"/>
  <c r="J65" i="28"/>
  <c r="E65" i="28"/>
  <c r="J55" i="28"/>
  <c r="E55" i="28"/>
  <c r="J64" i="28"/>
  <c r="E64" i="28"/>
  <c r="J63" i="28"/>
  <c r="E63" i="28"/>
  <c r="J62" i="28"/>
  <c r="E62" i="28"/>
  <c r="J54" i="28"/>
  <c r="E54" i="28"/>
  <c r="J61" i="28"/>
  <c r="E61" i="28"/>
  <c r="J60" i="28"/>
  <c r="E60" i="28"/>
  <c r="J59" i="28"/>
  <c r="E59" i="28"/>
  <c r="I89" i="26"/>
  <c r="H89" i="26"/>
  <c r="G89" i="26"/>
  <c r="D89" i="26"/>
  <c r="C89" i="26"/>
  <c r="B89" i="26"/>
  <c r="E89" i="26" s="1"/>
  <c r="J88" i="26"/>
  <c r="E88" i="26"/>
  <c r="J87" i="26"/>
  <c r="E87" i="26"/>
  <c r="J86" i="26"/>
  <c r="E86" i="26"/>
  <c r="J85" i="26"/>
  <c r="E85" i="26"/>
  <c r="J84" i="26"/>
  <c r="E84" i="26"/>
  <c r="J83" i="26"/>
  <c r="E83" i="26"/>
  <c r="J82" i="26"/>
  <c r="E82" i="26"/>
  <c r="J81" i="26"/>
  <c r="E81" i="26"/>
  <c r="J80" i="26"/>
  <c r="E80" i="26"/>
  <c r="J79" i="26"/>
  <c r="E79" i="26"/>
  <c r="J78" i="26"/>
  <c r="E78" i="26"/>
  <c r="J77" i="26"/>
  <c r="E77" i="26"/>
  <c r="J76" i="26"/>
  <c r="E76" i="26"/>
  <c r="J49" i="26"/>
  <c r="E52" i="26"/>
  <c r="J75" i="26"/>
  <c r="E75" i="26"/>
  <c r="J74" i="26"/>
  <c r="E74" i="26"/>
  <c r="J53" i="26"/>
  <c r="E51" i="26"/>
  <c r="J73" i="26"/>
  <c r="E73" i="26"/>
  <c r="J72" i="26"/>
  <c r="E72" i="26"/>
  <c r="J71" i="26"/>
  <c r="E71" i="26"/>
  <c r="J70" i="26"/>
  <c r="E70" i="26"/>
  <c r="J69" i="26"/>
  <c r="E69" i="26"/>
  <c r="J68" i="26"/>
  <c r="E68" i="26"/>
  <c r="J52" i="26"/>
  <c r="E50" i="26"/>
  <c r="J48" i="26"/>
  <c r="E48" i="26"/>
  <c r="J67" i="26"/>
  <c r="E67" i="26"/>
  <c r="J66" i="26"/>
  <c r="E66" i="26"/>
  <c r="J50" i="26"/>
  <c r="E65" i="26"/>
  <c r="J65" i="26"/>
  <c r="E64" i="26"/>
  <c r="J64" i="26"/>
  <c r="E63" i="26"/>
  <c r="J63" i="26"/>
  <c r="E62" i="26"/>
  <c r="J62" i="26"/>
  <c r="E61" i="26"/>
  <c r="J61" i="26"/>
  <c r="E60" i="26"/>
  <c r="J60" i="26"/>
  <c r="E59" i="26"/>
  <c r="J59" i="26"/>
  <c r="E58" i="26"/>
  <c r="J58" i="26"/>
  <c r="E57" i="26"/>
  <c r="J57" i="26"/>
  <c r="E56" i="26"/>
  <c r="J51" i="26"/>
  <c r="E49" i="26"/>
  <c r="J56" i="26"/>
  <c r="E55" i="26"/>
  <c r="J55" i="26"/>
  <c r="E54" i="26"/>
  <c r="J54" i="26"/>
  <c r="E53" i="26"/>
  <c r="K54" i="35"/>
  <c r="K60" i="35"/>
  <c r="K72" i="35"/>
  <c r="D45" i="35"/>
  <c r="D51" i="35"/>
  <c r="D65" i="35"/>
  <c r="K42" i="35"/>
  <c r="K56" i="35"/>
  <c r="K63" i="35"/>
  <c r="K57" i="35"/>
  <c r="K11" i="35"/>
  <c r="K74" i="35"/>
  <c r="K50" i="35"/>
  <c r="D33" i="35"/>
  <c r="D47" i="35"/>
  <c r="D56" i="35"/>
  <c r="D48" i="35"/>
  <c r="D8" i="35"/>
  <c r="D67" i="35"/>
  <c r="D41" i="35"/>
  <c r="J13" i="22"/>
  <c r="I13" i="22"/>
  <c r="J12" i="22"/>
  <c r="I12" i="22"/>
  <c r="K12" i="22" s="1"/>
  <c r="F40" i="22"/>
  <c r="C35" i="22"/>
  <c r="F44" i="22"/>
  <c r="C40" i="22"/>
  <c r="F45" i="22"/>
  <c r="C41" i="22"/>
  <c r="F42" i="22"/>
  <c r="C37" i="22"/>
  <c r="N16" i="9"/>
  <c r="N5" i="9"/>
  <c r="Q5" i="9"/>
  <c r="N20" i="9"/>
  <c r="N11" i="9"/>
  <c r="Q11" i="9"/>
  <c r="I79" i="9"/>
  <c r="H79" i="9"/>
  <c r="G79" i="9"/>
  <c r="D79" i="9"/>
  <c r="C79" i="9"/>
  <c r="B79" i="9"/>
  <c r="E79" i="9" s="1"/>
  <c r="J78" i="9"/>
  <c r="E78" i="9"/>
  <c r="J47" i="9"/>
  <c r="E47" i="9"/>
  <c r="J77" i="9"/>
  <c r="E77" i="9"/>
  <c r="J76" i="9"/>
  <c r="E76" i="9"/>
  <c r="J75" i="9"/>
  <c r="E75" i="9"/>
  <c r="J74" i="9"/>
  <c r="E74" i="9"/>
  <c r="J73" i="9"/>
  <c r="E73" i="9"/>
  <c r="J72" i="9"/>
  <c r="E72" i="9"/>
  <c r="J71" i="9"/>
  <c r="E71" i="9"/>
  <c r="J70" i="9"/>
  <c r="E70" i="9"/>
  <c r="J69" i="9"/>
  <c r="E69" i="9"/>
  <c r="J68" i="9"/>
  <c r="E68" i="9"/>
  <c r="J67" i="9"/>
  <c r="E67" i="9"/>
  <c r="J66" i="9"/>
  <c r="E66" i="9"/>
  <c r="J46" i="9"/>
  <c r="E46" i="9"/>
  <c r="J65" i="9"/>
  <c r="E65" i="9"/>
  <c r="J64" i="9"/>
  <c r="E64" i="9"/>
  <c r="J63" i="9"/>
  <c r="E63" i="9"/>
  <c r="J62" i="9"/>
  <c r="E62" i="9"/>
  <c r="J45" i="9"/>
  <c r="E45" i="9"/>
  <c r="J61" i="9"/>
  <c r="E61" i="9"/>
  <c r="J60" i="9"/>
  <c r="E60" i="9"/>
  <c r="J59" i="9"/>
  <c r="E59" i="9"/>
  <c r="J58" i="9"/>
  <c r="E58" i="9"/>
  <c r="J57" i="9"/>
  <c r="E57" i="9"/>
  <c r="J56" i="9"/>
  <c r="E56" i="9"/>
  <c r="J55" i="9"/>
  <c r="E55" i="9"/>
  <c r="J54" i="9"/>
  <c r="E54" i="9"/>
  <c r="J53" i="9"/>
  <c r="E53" i="9"/>
  <c r="J43" i="9"/>
  <c r="E44" i="9"/>
  <c r="J52" i="9"/>
  <c r="E52" i="9"/>
  <c r="J51" i="9"/>
  <c r="E51" i="9"/>
  <c r="J44" i="9"/>
  <c r="E43" i="9"/>
  <c r="J50" i="9"/>
  <c r="E50" i="9"/>
  <c r="J49" i="9"/>
  <c r="E49" i="9"/>
  <c r="J48" i="9"/>
  <c r="E48" i="9"/>
  <c r="I93" i="8"/>
  <c r="H93" i="8"/>
  <c r="G93" i="8"/>
  <c r="D93" i="8"/>
  <c r="C93" i="8"/>
  <c r="B93" i="8"/>
  <c r="J92" i="8"/>
  <c r="E92" i="8"/>
  <c r="J59" i="8"/>
  <c r="E58" i="8"/>
  <c r="J91" i="8"/>
  <c r="E91" i="8"/>
  <c r="J90" i="8"/>
  <c r="E90" i="8"/>
  <c r="J58" i="8"/>
  <c r="E57" i="8"/>
  <c r="J89" i="8"/>
  <c r="E89" i="8"/>
  <c r="J88" i="8"/>
  <c r="E88" i="8"/>
  <c r="J50" i="8"/>
  <c r="E50" i="8"/>
  <c r="J87" i="8"/>
  <c r="E87" i="8"/>
  <c r="J86" i="8"/>
  <c r="E86" i="8"/>
  <c r="J57" i="8"/>
  <c r="E56" i="8"/>
  <c r="J51" i="8"/>
  <c r="E85" i="8"/>
  <c r="J85" i="8"/>
  <c r="E84" i="8"/>
  <c r="J84" i="8"/>
  <c r="E83" i="8"/>
  <c r="J83" i="8"/>
  <c r="E82" i="8"/>
  <c r="J82" i="8"/>
  <c r="E81" i="8"/>
  <c r="J56" i="8"/>
  <c r="E55" i="8"/>
  <c r="J81" i="8"/>
  <c r="E80" i="8"/>
  <c r="J80" i="8"/>
  <c r="E79" i="8"/>
  <c r="J55" i="8"/>
  <c r="E54" i="8"/>
  <c r="J54" i="8"/>
  <c r="E53" i="8"/>
  <c r="J53" i="8"/>
  <c r="E52" i="8"/>
  <c r="J79" i="8"/>
  <c r="E78" i="8"/>
  <c r="J78" i="8"/>
  <c r="E77" i="8"/>
  <c r="J77" i="8"/>
  <c r="E76" i="8"/>
  <c r="J76" i="8"/>
  <c r="E75" i="8"/>
  <c r="J52" i="8"/>
  <c r="E51" i="8"/>
  <c r="J75" i="8"/>
  <c r="E74" i="8"/>
  <c r="J74" i="8"/>
  <c r="E73" i="8"/>
  <c r="J73" i="8"/>
  <c r="E72" i="8"/>
  <c r="J72" i="8"/>
  <c r="E71" i="8"/>
  <c r="J71" i="8"/>
  <c r="E70" i="8"/>
  <c r="J70" i="8"/>
  <c r="E69" i="8"/>
  <c r="J69" i="8"/>
  <c r="E68" i="8"/>
  <c r="J68" i="8"/>
  <c r="E67" i="8"/>
  <c r="J67" i="8"/>
  <c r="E66" i="8"/>
  <c r="J66" i="8"/>
  <c r="E65" i="8"/>
  <c r="J65" i="8"/>
  <c r="E64" i="8"/>
  <c r="J64" i="8"/>
  <c r="E63" i="8"/>
  <c r="J63" i="8"/>
  <c r="E62" i="8"/>
  <c r="J62" i="8"/>
  <c r="E61" i="8"/>
  <c r="J61" i="8"/>
  <c r="E60" i="8"/>
  <c r="J60" i="8"/>
  <c r="E59" i="8"/>
  <c r="R16" i="35"/>
  <c r="S16" i="35" s="1"/>
  <c r="Q16" i="35"/>
  <c r="D53" i="35"/>
  <c r="K25" i="35"/>
  <c r="K78" i="35"/>
  <c r="K39" i="35"/>
  <c r="K40" i="35"/>
  <c r="K29" i="35"/>
  <c r="D75" i="35"/>
  <c r="D30" i="35"/>
  <c r="D31" i="35"/>
  <c r="D19" i="35"/>
  <c r="J11" i="22"/>
  <c r="I11" i="22"/>
  <c r="F16" i="22"/>
  <c r="C39" i="22"/>
  <c r="N19" i="6"/>
  <c r="N9" i="6"/>
  <c r="Q9" i="6"/>
  <c r="I97" i="6"/>
  <c r="H97" i="6"/>
  <c r="G97" i="6"/>
  <c r="J96" i="6"/>
  <c r="E96" i="6"/>
  <c r="J95" i="6"/>
  <c r="E95" i="6"/>
  <c r="J94" i="6"/>
  <c r="E94" i="6"/>
  <c r="J93" i="6"/>
  <c r="E93" i="6"/>
  <c r="J92" i="6"/>
  <c r="E92" i="6"/>
  <c r="J91" i="6"/>
  <c r="E91" i="6"/>
  <c r="J61" i="6"/>
  <c r="E90" i="6"/>
  <c r="J90" i="6"/>
  <c r="E89" i="6"/>
  <c r="J89" i="6"/>
  <c r="E88" i="6"/>
  <c r="J88" i="6"/>
  <c r="E87" i="6"/>
  <c r="J54" i="6"/>
  <c r="E53" i="6"/>
  <c r="J87" i="6"/>
  <c r="E86" i="6"/>
  <c r="J86" i="6"/>
  <c r="E85" i="6"/>
  <c r="J85" i="6"/>
  <c r="E84" i="6"/>
  <c r="J84" i="6"/>
  <c r="E83" i="6"/>
  <c r="J83" i="6"/>
  <c r="E82" i="6"/>
  <c r="J60" i="6"/>
  <c r="E60" i="6"/>
  <c r="J82" i="6"/>
  <c r="E81" i="6"/>
  <c r="J81" i="6"/>
  <c r="E80" i="6"/>
  <c r="J80" i="6"/>
  <c r="E79" i="6"/>
  <c r="J53" i="6"/>
  <c r="E52" i="6"/>
  <c r="J79" i="6"/>
  <c r="E78" i="6"/>
  <c r="J78" i="6"/>
  <c r="E77" i="6"/>
  <c r="J77" i="6"/>
  <c r="E76" i="6"/>
  <c r="J76" i="6"/>
  <c r="E75" i="6"/>
  <c r="J75" i="6"/>
  <c r="E74" i="6"/>
  <c r="J59" i="6"/>
  <c r="E59" i="6"/>
  <c r="J58" i="6"/>
  <c r="E58" i="6"/>
  <c r="J74" i="6"/>
  <c r="E73" i="6"/>
  <c r="J73" i="6"/>
  <c r="E72" i="6"/>
  <c r="J72" i="6"/>
  <c r="E71" i="6"/>
  <c r="J71" i="6"/>
  <c r="E70" i="6"/>
  <c r="J70" i="6"/>
  <c r="E69" i="6"/>
  <c r="J69" i="6"/>
  <c r="E68" i="6"/>
  <c r="J68" i="6"/>
  <c r="E67" i="6"/>
  <c r="J57" i="6"/>
  <c r="E57" i="6"/>
  <c r="J56" i="6"/>
  <c r="E56" i="6"/>
  <c r="J67" i="6"/>
  <c r="E66" i="6"/>
  <c r="J66" i="6"/>
  <c r="E65" i="6"/>
  <c r="J65" i="6"/>
  <c r="E64" i="6"/>
  <c r="J64" i="6"/>
  <c r="E63" i="6"/>
  <c r="J55" i="6"/>
  <c r="E55" i="6"/>
  <c r="J63" i="6"/>
  <c r="E62" i="6"/>
  <c r="J52" i="6"/>
  <c r="E54" i="6"/>
  <c r="J62" i="6"/>
  <c r="E61" i="6"/>
  <c r="I91" i="21"/>
  <c r="H91" i="21"/>
  <c r="G91" i="21"/>
  <c r="D91" i="21"/>
  <c r="C91" i="21"/>
  <c r="B91" i="21"/>
  <c r="E91" i="21" s="1"/>
  <c r="J52" i="21"/>
  <c r="E52" i="21"/>
  <c r="J90" i="21"/>
  <c r="E90" i="21"/>
  <c r="J51" i="21"/>
  <c r="E51" i="21"/>
  <c r="J89" i="21"/>
  <c r="E89" i="21"/>
  <c r="J88" i="21"/>
  <c r="E88" i="21"/>
  <c r="J87" i="21"/>
  <c r="E87" i="21"/>
  <c r="J86" i="21"/>
  <c r="E86" i="21"/>
  <c r="J85" i="21"/>
  <c r="E85" i="21"/>
  <c r="J84" i="21"/>
  <c r="E84" i="21"/>
  <c r="J83" i="21"/>
  <c r="E83" i="21"/>
  <c r="J82" i="21"/>
  <c r="E82" i="21"/>
  <c r="J81" i="21"/>
  <c r="E81" i="21"/>
  <c r="J80" i="21"/>
  <c r="E80" i="21"/>
  <c r="J79" i="21"/>
  <c r="E79" i="21"/>
  <c r="J78" i="21"/>
  <c r="E78" i="21"/>
  <c r="J49" i="21"/>
  <c r="E50" i="21"/>
  <c r="J77" i="21"/>
  <c r="E77" i="21"/>
  <c r="J76" i="21"/>
  <c r="E76" i="21"/>
  <c r="J75" i="21"/>
  <c r="E75" i="21"/>
  <c r="J74" i="21"/>
  <c r="E74" i="21"/>
  <c r="J73" i="21"/>
  <c r="E73" i="21"/>
  <c r="J72" i="21"/>
  <c r="E72" i="21"/>
  <c r="J71" i="21"/>
  <c r="E71" i="21"/>
  <c r="J70" i="21"/>
  <c r="E70" i="21"/>
  <c r="J69" i="21"/>
  <c r="E69" i="21"/>
  <c r="J50" i="21"/>
  <c r="E49" i="21"/>
  <c r="J68" i="21"/>
  <c r="E68" i="21"/>
  <c r="J67" i="21"/>
  <c r="E67" i="21"/>
  <c r="J66" i="21"/>
  <c r="E66" i="21"/>
  <c r="J65" i="21"/>
  <c r="E65" i="21"/>
  <c r="J64" i="21"/>
  <c r="E64" i="21"/>
  <c r="J63" i="21"/>
  <c r="E63" i="21"/>
  <c r="J62" i="21"/>
  <c r="E62" i="21"/>
  <c r="J54" i="21"/>
  <c r="E61" i="21"/>
  <c r="J61" i="21"/>
  <c r="E60" i="21"/>
  <c r="J60" i="21"/>
  <c r="E59" i="21"/>
  <c r="J59" i="21"/>
  <c r="E58" i="21"/>
  <c r="J58" i="21"/>
  <c r="E57" i="21"/>
  <c r="J57" i="21"/>
  <c r="E56" i="21"/>
  <c r="J56" i="21"/>
  <c r="E55" i="21"/>
  <c r="J55" i="21"/>
  <c r="E54" i="21"/>
  <c r="J53" i="21"/>
  <c r="E53" i="21"/>
  <c r="J95" i="28" l="1"/>
  <c r="E95" i="28"/>
  <c r="J89" i="26"/>
  <c r="K13" i="22"/>
  <c r="K11" i="22"/>
  <c r="J79" i="9"/>
  <c r="J93" i="8"/>
  <c r="E93" i="8"/>
  <c r="J97" i="6"/>
  <c r="E97" i="6"/>
  <c r="J91" i="21"/>
  <c r="R4" i="35" l="1"/>
  <c r="Q4" i="35"/>
  <c r="S4" i="35" s="1"/>
  <c r="K5" i="35"/>
  <c r="D72" i="35"/>
  <c r="K53" i="35"/>
  <c r="D44" i="35"/>
  <c r="K73" i="35"/>
  <c r="D66" i="35"/>
  <c r="G66" i="35" s="1"/>
  <c r="K61" i="35"/>
  <c r="D52" i="35"/>
  <c r="G52" i="35" s="1"/>
  <c r="K46" i="35"/>
  <c r="D37" i="35"/>
  <c r="K66" i="35"/>
  <c r="N66" i="35" s="1"/>
  <c r="D59" i="35"/>
  <c r="G59" i="35" s="1"/>
  <c r="K36" i="35"/>
  <c r="N36" i="35" s="1"/>
  <c r="D26" i="35"/>
  <c r="G26" i="35" s="1"/>
  <c r="K45" i="35"/>
  <c r="N45" i="35" s="1"/>
  <c r="D36" i="35"/>
  <c r="G36" i="35" s="1"/>
  <c r="K52" i="35"/>
  <c r="N52" i="35" s="1"/>
  <c r="D43" i="35"/>
  <c r="G43" i="35" s="1"/>
  <c r="F38" i="22"/>
  <c r="C34" i="22"/>
  <c r="N17" i="4"/>
  <c r="Q5" i="4"/>
  <c r="N5" i="4"/>
  <c r="I107" i="4"/>
  <c r="H107" i="4"/>
  <c r="G107" i="4"/>
  <c r="J107" i="4" s="1"/>
  <c r="D107" i="4"/>
  <c r="C107" i="4"/>
  <c r="B107" i="4"/>
  <c r="E107" i="4" s="1"/>
  <c r="J106" i="4"/>
  <c r="E106" i="4"/>
  <c r="J105" i="4"/>
  <c r="E105" i="4"/>
  <c r="J104" i="4"/>
  <c r="E104" i="4"/>
  <c r="J69" i="4"/>
  <c r="E67" i="4"/>
  <c r="J103" i="4"/>
  <c r="E103" i="4"/>
  <c r="J102" i="4"/>
  <c r="E102" i="4"/>
  <c r="J101" i="4"/>
  <c r="E101" i="4"/>
  <c r="J68" i="4"/>
  <c r="E66" i="4"/>
  <c r="J100" i="4"/>
  <c r="E100" i="4"/>
  <c r="J99" i="4"/>
  <c r="E99" i="4"/>
  <c r="J61" i="4"/>
  <c r="E98" i="4"/>
  <c r="J98" i="4"/>
  <c r="E97" i="4"/>
  <c r="J97" i="4"/>
  <c r="E96" i="4"/>
  <c r="J96" i="4"/>
  <c r="E95" i="4"/>
  <c r="J67" i="4"/>
  <c r="E65" i="4"/>
  <c r="J95" i="4"/>
  <c r="E94" i="4"/>
  <c r="J94" i="4"/>
  <c r="E93" i="4"/>
  <c r="J93" i="4"/>
  <c r="E92" i="4"/>
  <c r="J92" i="4"/>
  <c r="E91" i="4"/>
  <c r="J91" i="4"/>
  <c r="E90" i="4"/>
  <c r="J90" i="4"/>
  <c r="E89" i="4"/>
  <c r="J66" i="4"/>
  <c r="E64" i="4"/>
  <c r="J59" i="4"/>
  <c r="E58" i="4"/>
  <c r="J65" i="4"/>
  <c r="E63" i="4"/>
  <c r="J64" i="4"/>
  <c r="E62" i="4"/>
  <c r="J89" i="4"/>
  <c r="E88" i="4"/>
  <c r="J88" i="4"/>
  <c r="E87" i="4"/>
  <c r="J87" i="4"/>
  <c r="E86" i="4"/>
  <c r="J57" i="4"/>
  <c r="E85" i="4"/>
  <c r="J86" i="4"/>
  <c r="E84" i="4"/>
  <c r="J85" i="4"/>
  <c r="E83" i="4"/>
  <c r="J84" i="4"/>
  <c r="E82" i="4"/>
  <c r="J83" i="4"/>
  <c r="E81" i="4"/>
  <c r="J82" i="4"/>
  <c r="E80" i="4"/>
  <c r="J60" i="4"/>
  <c r="E59" i="4"/>
  <c r="J63" i="4"/>
  <c r="E61" i="4"/>
  <c r="J81" i="4"/>
  <c r="E79" i="4"/>
  <c r="J80" i="4"/>
  <c r="E78" i="4"/>
  <c r="J79" i="4"/>
  <c r="E77" i="4"/>
  <c r="J78" i="4"/>
  <c r="E76" i="4"/>
  <c r="J77" i="4"/>
  <c r="E75" i="4"/>
  <c r="J76" i="4"/>
  <c r="E74" i="4"/>
  <c r="J62" i="4"/>
  <c r="E60" i="4"/>
  <c r="J75" i="4"/>
  <c r="E73" i="4"/>
  <c r="J58" i="4"/>
  <c r="E57" i="4"/>
  <c r="J74" i="4"/>
  <c r="E72" i="4"/>
  <c r="J73" i="4"/>
  <c r="E71" i="4"/>
  <c r="J72" i="4"/>
  <c r="E70" i="4"/>
  <c r="J71" i="4"/>
  <c r="E69" i="4"/>
  <c r="J70" i="4"/>
  <c r="E68" i="4"/>
  <c r="J31" i="4"/>
  <c r="E31" i="4"/>
  <c r="I89" i="16"/>
  <c r="H89" i="16"/>
  <c r="G89" i="16"/>
  <c r="J89" i="16" s="1"/>
  <c r="D89" i="16"/>
  <c r="C89" i="16"/>
  <c r="B89" i="16"/>
  <c r="J88" i="16"/>
  <c r="E88" i="16"/>
  <c r="J87" i="16"/>
  <c r="E87" i="16"/>
  <c r="J86" i="16"/>
  <c r="E86" i="16"/>
  <c r="J85" i="16"/>
  <c r="E85" i="16"/>
  <c r="J84" i="16"/>
  <c r="E84" i="16"/>
  <c r="J83" i="16"/>
  <c r="E83" i="16"/>
  <c r="J82" i="16"/>
  <c r="E82" i="16"/>
  <c r="J81" i="16"/>
  <c r="E81" i="16"/>
  <c r="J80" i="16"/>
  <c r="E80" i="16"/>
  <c r="J79" i="16"/>
  <c r="E79" i="16"/>
  <c r="J52" i="16"/>
  <c r="E51" i="16"/>
  <c r="J51" i="16"/>
  <c r="E50" i="16"/>
  <c r="J78" i="16"/>
  <c r="E78" i="16"/>
  <c r="J77" i="16"/>
  <c r="E77" i="16"/>
  <c r="J76" i="16"/>
  <c r="E76" i="16"/>
  <c r="J75" i="16"/>
  <c r="E75" i="16"/>
  <c r="J48" i="16"/>
  <c r="E74" i="16"/>
  <c r="J74" i="16"/>
  <c r="E73" i="16"/>
  <c r="J73" i="16"/>
  <c r="E72" i="16"/>
  <c r="J72" i="16"/>
  <c r="E71" i="16"/>
  <c r="J71" i="16"/>
  <c r="E70" i="16"/>
  <c r="J70" i="16"/>
  <c r="E69" i="16"/>
  <c r="J69" i="16"/>
  <c r="E68" i="16"/>
  <c r="J68" i="16"/>
  <c r="E67" i="16"/>
  <c r="J67" i="16"/>
  <c r="E66" i="16"/>
  <c r="J66" i="16"/>
  <c r="E65" i="16"/>
  <c r="J65" i="16"/>
  <c r="E64" i="16"/>
  <c r="J50" i="16"/>
  <c r="E49" i="16"/>
  <c r="J64" i="16"/>
  <c r="E63" i="16"/>
  <c r="J63" i="16"/>
  <c r="E62" i="16"/>
  <c r="J62" i="16"/>
  <c r="E61" i="16"/>
  <c r="J61" i="16"/>
  <c r="E60" i="16"/>
  <c r="J60" i="16"/>
  <c r="E59" i="16"/>
  <c r="J59" i="16"/>
  <c r="E58" i="16"/>
  <c r="J58" i="16"/>
  <c r="E57" i="16"/>
  <c r="J57" i="16"/>
  <c r="E56" i="16"/>
  <c r="J49" i="16"/>
  <c r="E48" i="16"/>
  <c r="J56" i="16"/>
  <c r="E55" i="16"/>
  <c r="J55" i="16"/>
  <c r="E54" i="16"/>
  <c r="J54" i="16"/>
  <c r="E53" i="16"/>
  <c r="J53" i="16"/>
  <c r="E52" i="16"/>
  <c r="R12" i="35"/>
  <c r="Q12" i="35"/>
  <c r="S12" i="35" s="1"/>
  <c r="L43" i="35"/>
  <c r="N43" i="35" s="1"/>
  <c r="L17" i="35"/>
  <c r="N17" i="35" s="1"/>
  <c r="L33" i="35"/>
  <c r="N33" i="35" s="1"/>
  <c r="L59" i="35"/>
  <c r="N59" i="35" s="1"/>
  <c r="L27" i="35"/>
  <c r="E34" i="35"/>
  <c r="G34" i="35" s="1"/>
  <c r="E11" i="35"/>
  <c r="G11" i="35" s="1"/>
  <c r="E23" i="35"/>
  <c r="G23" i="35" s="1"/>
  <c r="E50" i="35"/>
  <c r="G50" i="35" s="1"/>
  <c r="E70" i="35"/>
  <c r="G70" i="35" s="1"/>
  <c r="J6" i="30"/>
  <c r="I6" i="30"/>
  <c r="Q32" i="26"/>
  <c r="T31" i="26"/>
  <c r="T17" i="26"/>
  <c r="T15" i="26"/>
  <c r="T14" i="26"/>
  <c r="W14" i="26"/>
  <c r="AC14" i="26"/>
  <c r="X9" i="26"/>
  <c r="X5" i="26"/>
  <c r="X4" i="26"/>
  <c r="AC8" i="26"/>
  <c r="AC4" i="26"/>
  <c r="R10" i="35"/>
  <c r="Q10" i="35"/>
  <c r="S10" i="35" s="1"/>
  <c r="L49" i="35"/>
  <c r="N49" i="35" s="1"/>
  <c r="L32" i="35"/>
  <c r="N32" i="35" s="1"/>
  <c r="L8" i="35"/>
  <c r="N8" i="35" s="1"/>
  <c r="L4" i="35"/>
  <c r="N4" i="35" s="1"/>
  <c r="E40" i="35"/>
  <c r="G40" i="35" s="1"/>
  <c r="E22" i="35"/>
  <c r="G22" i="35" s="1"/>
  <c r="E5" i="35"/>
  <c r="G5" i="35" s="1"/>
  <c r="E12" i="35"/>
  <c r="G12" i="35" s="1"/>
  <c r="J5" i="30"/>
  <c r="I5" i="30"/>
  <c r="Q34" i="28"/>
  <c r="Q33" i="28"/>
  <c r="T33" i="28"/>
  <c r="T32" i="28"/>
  <c r="N16" i="28"/>
  <c r="T17" i="28"/>
  <c r="T16" i="28"/>
  <c r="T15" i="28"/>
  <c r="W19" i="28"/>
  <c r="W16" i="28"/>
  <c r="AC18" i="28"/>
  <c r="AC16" i="28"/>
  <c r="AC15" i="28"/>
  <c r="X7" i="28"/>
  <c r="X6" i="28"/>
  <c r="X5" i="28"/>
  <c r="AC10" i="28"/>
  <c r="AC6" i="28"/>
  <c r="AC5" i="28"/>
  <c r="R5" i="35"/>
  <c r="Q5" i="35"/>
  <c r="L14" i="35"/>
  <c r="N14" i="35" s="1"/>
  <c r="L37" i="35"/>
  <c r="L12" i="35"/>
  <c r="N12" i="35" s="1"/>
  <c r="E77" i="35"/>
  <c r="G77" i="35" s="1"/>
  <c r="E27" i="35"/>
  <c r="G27" i="35" s="1"/>
  <c r="E9" i="35"/>
  <c r="J4" i="30"/>
  <c r="I4" i="30"/>
  <c r="F7" i="30"/>
  <c r="C88" i="30"/>
  <c r="Q34" i="27"/>
  <c r="T33" i="27"/>
  <c r="T32" i="27"/>
  <c r="T31" i="27"/>
  <c r="N19" i="27"/>
  <c r="T16" i="27"/>
  <c r="W16" i="27"/>
  <c r="T18" i="27"/>
  <c r="W18" i="27"/>
  <c r="AC18" i="27"/>
  <c r="AC17" i="27"/>
  <c r="AC16" i="27"/>
  <c r="N10" i="27"/>
  <c r="X8" i="27"/>
  <c r="X5" i="27"/>
  <c r="AC8" i="27"/>
  <c r="AC6" i="27"/>
  <c r="AC5" i="27"/>
  <c r="AC4" i="27"/>
  <c r="Q10" i="27"/>
  <c r="R6" i="35"/>
  <c r="Q6" i="35"/>
  <c r="K15" i="35"/>
  <c r="N15" i="35" s="1"/>
  <c r="K35" i="35"/>
  <c r="N35" i="35" s="1"/>
  <c r="K64" i="35"/>
  <c r="N64" i="35" s="1"/>
  <c r="K65" i="35"/>
  <c r="N65" i="35" s="1"/>
  <c r="D73" i="35"/>
  <c r="G73" i="35" s="1"/>
  <c r="D25" i="35"/>
  <c r="G25" i="35" s="1"/>
  <c r="D57" i="35"/>
  <c r="G57" i="35" s="1"/>
  <c r="D58" i="35"/>
  <c r="G58" i="35" s="1"/>
  <c r="F27" i="22"/>
  <c r="C21" i="22"/>
  <c r="F21" i="22"/>
  <c r="C15" i="22"/>
  <c r="N11" i="16"/>
  <c r="N4" i="16"/>
  <c r="J9" i="22"/>
  <c r="I9" i="22"/>
  <c r="K9" i="22" s="1"/>
  <c r="R14" i="35"/>
  <c r="Q14" i="35"/>
  <c r="R15" i="35"/>
  <c r="Q15" i="35"/>
  <c r="K75" i="35"/>
  <c r="N75" i="35" s="1"/>
  <c r="K69" i="35"/>
  <c r="N69" i="35" s="1"/>
  <c r="K44" i="35"/>
  <c r="N44" i="35" s="1"/>
  <c r="K77" i="35"/>
  <c r="N77" i="35" s="1"/>
  <c r="K76" i="35"/>
  <c r="N76" i="35" s="1"/>
  <c r="D68" i="35"/>
  <c r="G68" i="35" s="1"/>
  <c r="D62" i="35"/>
  <c r="G62" i="35" s="1"/>
  <c r="D35" i="35"/>
  <c r="G35" i="35" s="1"/>
  <c r="D71" i="35"/>
  <c r="G71" i="35" s="1"/>
  <c r="D69" i="35"/>
  <c r="G69" i="35" s="1"/>
  <c r="F22" i="22"/>
  <c r="C16" i="22"/>
  <c r="N13" i="21"/>
  <c r="N12" i="21"/>
  <c r="N5" i="21"/>
  <c r="N4" i="21"/>
  <c r="R11" i="35"/>
  <c r="Q11" i="35"/>
  <c r="K13" i="35"/>
  <c r="N13" i="35" s="1"/>
  <c r="K48" i="35"/>
  <c r="N48" i="35" s="1"/>
  <c r="K55" i="35"/>
  <c r="N55" i="35" s="1"/>
  <c r="D74" i="35"/>
  <c r="D39" i="35"/>
  <c r="G39" i="35" s="1"/>
  <c r="D46" i="35"/>
  <c r="G46" i="35" s="1"/>
  <c r="F24" i="22"/>
  <c r="C18" i="22"/>
  <c r="N17" i="8"/>
  <c r="N8" i="8"/>
  <c r="J6" i="22"/>
  <c r="I6" i="22"/>
  <c r="R9" i="35"/>
  <c r="Q9" i="35"/>
  <c r="K23" i="35"/>
  <c r="K10" i="35"/>
  <c r="N10" i="35" s="1"/>
  <c r="K30" i="35"/>
  <c r="N30" i="35" s="1"/>
  <c r="K16" i="35"/>
  <c r="N16" i="35" s="1"/>
  <c r="D76" i="35"/>
  <c r="G76" i="35" s="1"/>
  <c r="D7" i="35"/>
  <c r="G7" i="35" s="1"/>
  <c r="D20" i="35"/>
  <c r="G20" i="35" s="1"/>
  <c r="D10" i="35"/>
  <c r="N20" i="4"/>
  <c r="N8" i="4"/>
  <c r="Q8" i="4"/>
  <c r="K7" i="35"/>
  <c r="N7" i="35" s="1"/>
  <c r="D4" i="35"/>
  <c r="G4" i="35" s="1"/>
  <c r="K34" i="35"/>
  <c r="N34" i="35" s="1"/>
  <c r="D24" i="35"/>
  <c r="G24" i="35" s="1"/>
  <c r="K24" i="35"/>
  <c r="N24" i="35" s="1"/>
  <c r="D28" i="35"/>
  <c r="F20" i="22"/>
  <c r="C14" i="22"/>
  <c r="R13" i="35"/>
  <c r="Q13" i="35"/>
  <c r="S13" i="35" s="1"/>
  <c r="J8" i="22"/>
  <c r="I8" i="22"/>
  <c r="N18" i="9"/>
  <c r="N7" i="9"/>
  <c r="R8" i="35"/>
  <c r="Q8" i="35"/>
  <c r="J5" i="22"/>
  <c r="I5" i="22"/>
  <c r="N15" i="6"/>
  <c r="N4" i="6"/>
  <c r="K28" i="35"/>
  <c r="N28" i="35" s="1"/>
  <c r="D18" i="35"/>
  <c r="G18" i="35" s="1"/>
  <c r="F17" i="22"/>
  <c r="C11" i="22"/>
  <c r="K19" i="35"/>
  <c r="N19" i="35" s="1"/>
  <c r="D14" i="35"/>
  <c r="G14" i="35" s="1"/>
  <c r="F13" i="22"/>
  <c r="C9" i="22"/>
  <c r="K47" i="35"/>
  <c r="D38" i="35"/>
  <c r="G38" i="35" s="1"/>
  <c r="K31" i="35"/>
  <c r="N31" i="35" s="1"/>
  <c r="D21" i="35"/>
  <c r="G21" i="35" s="1"/>
  <c r="K6" i="35"/>
  <c r="N6" i="35" s="1"/>
  <c r="D17" i="35"/>
  <c r="G17" i="35" s="1"/>
  <c r="K9" i="35"/>
  <c r="D6" i="35"/>
  <c r="G6" i="35" s="1"/>
  <c r="R17" i="35"/>
  <c r="Q17" i="35"/>
  <c r="S17" i="35" s="1"/>
  <c r="R7" i="35"/>
  <c r="Q7" i="35"/>
  <c r="S7" i="35" s="1"/>
  <c r="J22" i="35"/>
  <c r="N22" i="35" s="1"/>
  <c r="C78" i="35"/>
  <c r="G78" i="35" s="1"/>
  <c r="J67" i="35"/>
  <c r="N67" i="35" s="1"/>
  <c r="C60" i="35"/>
  <c r="G60" i="35" s="1"/>
  <c r="J21" i="35"/>
  <c r="N21" i="35" s="1"/>
  <c r="C16" i="35"/>
  <c r="G16" i="35" s="1"/>
  <c r="J58" i="35"/>
  <c r="N58" i="35" s="1"/>
  <c r="C49" i="35"/>
  <c r="G49" i="35" s="1"/>
  <c r="J18" i="35"/>
  <c r="N18" i="35" s="1"/>
  <c r="C13" i="35"/>
  <c r="N429" i="35"/>
  <c r="N428" i="35"/>
  <c r="N427" i="35"/>
  <c r="N426" i="35"/>
  <c r="N425" i="35"/>
  <c r="N424" i="35"/>
  <c r="N423" i="35"/>
  <c r="N422" i="35"/>
  <c r="N421" i="35"/>
  <c r="N420" i="35"/>
  <c r="N419" i="35"/>
  <c r="N418" i="35"/>
  <c r="N417" i="35"/>
  <c r="N416" i="35"/>
  <c r="N415" i="35"/>
  <c r="N414" i="35"/>
  <c r="N413" i="35"/>
  <c r="N412" i="35"/>
  <c r="N411" i="35"/>
  <c r="N410" i="35"/>
  <c r="N409" i="35"/>
  <c r="N408" i="35"/>
  <c r="N407" i="35"/>
  <c r="N406" i="35"/>
  <c r="N405" i="35"/>
  <c r="N404" i="35"/>
  <c r="N403" i="35"/>
  <c r="N402" i="35"/>
  <c r="N401" i="35"/>
  <c r="N400" i="35"/>
  <c r="N399" i="35"/>
  <c r="N398" i="35"/>
  <c r="N397" i="35"/>
  <c r="N396" i="35"/>
  <c r="N395" i="35"/>
  <c r="N394" i="35"/>
  <c r="N393" i="35"/>
  <c r="N392" i="35"/>
  <c r="N391" i="35"/>
  <c r="N390" i="35"/>
  <c r="N389" i="35"/>
  <c r="N388" i="35"/>
  <c r="N387" i="35"/>
  <c r="N386" i="35"/>
  <c r="N385" i="35"/>
  <c r="N384" i="35"/>
  <c r="N383" i="35"/>
  <c r="N382" i="35"/>
  <c r="N381" i="35"/>
  <c r="N380" i="35"/>
  <c r="N379" i="35"/>
  <c r="N378" i="35"/>
  <c r="N377" i="35"/>
  <c r="N376" i="35"/>
  <c r="N375" i="35"/>
  <c r="N374" i="35"/>
  <c r="N373" i="35"/>
  <c r="N372" i="35"/>
  <c r="N371" i="35"/>
  <c r="N370" i="35"/>
  <c r="N369" i="35"/>
  <c r="N368" i="35"/>
  <c r="N367" i="35"/>
  <c r="N366" i="35"/>
  <c r="N365" i="35"/>
  <c r="N364" i="35"/>
  <c r="N363" i="35"/>
  <c r="N362" i="35"/>
  <c r="N361" i="35"/>
  <c r="N360" i="35"/>
  <c r="N359" i="35"/>
  <c r="N358" i="35"/>
  <c r="N357" i="35"/>
  <c r="N356" i="35"/>
  <c r="N355" i="35"/>
  <c r="N354" i="35"/>
  <c r="N353" i="35"/>
  <c r="N352" i="35"/>
  <c r="N351" i="35"/>
  <c r="N350" i="35"/>
  <c r="N349" i="35"/>
  <c r="N348" i="35"/>
  <c r="N347" i="35"/>
  <c r="N346" i="35"/>
  <c r="N345" i="35"/>
  <c r="N344" i="35"/>
  <c r="N343" i="35"/>
  <c r="N342" i="35"/>
  <c r="N341" i="35"/>
  <c r="N340" i="35"/>
  <c r="N339" i="35"/>
  <c r="N338" i="35"/>
  <c r="N337" i="35"/>
  <c r="N336" i="35"/>
  <c r="N335" i="35"/>
  <c r="N334" i="35"/>
  <c r="N333" i="35"/>
  <c r="N332" i="35"/>
  <c r="N331" i="35"/>
  <c r="N330" i="35"/>
  <c r="N329" i="35"/>
  <c r="N328" i="35"/>
  <c r="N327" i="35"/>
  <c r="N326" i="35"/>
  <c r="N325" i="35"/>
  <c r="N324" i="35"/>
  <c r="N323" i="35"/>
  <c r="N322" i="35"/>
  <c r="N321" i="35"/>
  <c r="N320" i="35"/>
  <c r="N319" i="35"/>
  <c r="N318" i="35"/>
  <c r="N317" i="35"/>
  <c r="N316" i="35"/>
  <c r="N315" i="35"/>
  <c r="N314" i="35"/>
  <c r="N313" i="35"/>
  <c r="N312" i="35"/>
  <c r="N311" i="35"/>
  <c r="N310" i="35"/>
  <c r="N309" i="35"/>
  <c r="N308" i="35"/>
  <c r="N307" i="35"/>
  <c r="N306" i="35"/>
  <c r="N305" i="35"/>
  <c r="N304" i="35"/>
  <c r="N303" i="35"/>
  <c r="N302" i="35"/>
  <c r="N301" i="35"/>
  <c r="N300" i="35"/>
  <c r="N299" i="35"/>
  <c r="N298" i="35"/>
  <c r="N297" i="35"/>
  <c r="N296" i="35"/>
  <c r="N295" i="35"/>
  <c r="N294" i="35"/>
  <c r="N293" i="35"/>
  <c r="N292" i="35"/>
  <c r="N291" i="35"/>
  <c r="N290" i="35"/>
  <c r="N289" i="35"/>
  <c r="N288" i="35"/>
  <c r="N287" i="35"/>
  <c r="N286" i="35"/>
  <c r="N285" i="35"/>
  <c r="N284" i="35"/>
  <c r="N283" i="35"/>
  <c r="N282" i="35"/>
  <c r="N281" i="35"/>
  <c r="N280" i="35"/>
  <c r="N279" i="35"/>
  <c r="N278" i="35"/>
  <c r="N277" i="35"/>
  <c r="N276" i="35"/>
  <c r="N275" i="35"/>
  <c r="N274" i="35"/>
  <c r="N273" i="35"/>
  <c r="N272" i="35"/>
  <c r="N271" i="35"/>
  <c r="N270" i="35"/>
  <c r="N269" i="35"/>
  <c r="N268" i="35"/>
  <c r="N267" i="35"/>
  <c r="N266" i="35"/>
  <c r="N265" i="35"/>
  <c r="N264" i="35"/>
  <c r="N263" i="35"/>
  <c r="N262" i="35"/>
  <c r="N261" i="35"/>
  <c r="N260" i="35"/>
  <c r="N259" i="35"/>
  <c r="N258" i="35"/>
  <c r="N257" i="35"/>
  <c r="N256" i="35"/>
  <c r="N255" i="35"/>
  <c r="N254" i="35"/>
  <c r="N253" i="35"/>
  <c r="N252" i="35"/>
  <c r="N251" i="35"/>
  <c r="N250" i="35"/>
  <c r="N249" i="35"/>
  <c r="N248" i="35"/>
  <c r="N247" i="35"/>
  <c r="N246" i="35"/>
  <c r="N245" i="35"/>
  <c r="N244" i="35"/>
  <c r="N243" i="35"/>
  <c r="N242" i="35"/>
  <c r="N241" i="35"/>
  <c r="N240" i="35"/>
  <c r="N239" i="35"/>
  <c r="N238" i="35"/>
  <c r="N237" i="35"/>
  <c r="N236" i="35"/>
  <c r="N235" i="35"/>
  <c r="N234" i="35"/>
  <c r="N233" i="35"/>
  <c r="N232" i="35"/>
  <c r="N231" i="35"/>
  <c r="N230" i="35"/>
  <c r="N229" i="35"/>
  <c r="N228" i="35"/>
  <c r="N227" i="35"/>
  <c r="N226" i="35"/>
  <c r="N225" i="35"/>
  <c r="N224" i="35"/>
  <c r="N223" i="35"/>
  <c r="N222" i="35"/>
  <c r="N221" i="35"/>
  <c r="N220" i="35"/>
  <c r="N219" i="35"/>
  <c r="N218" i="35"/>
  <c r="N217" i="35"/>
  <c r="N216" i="35"/>
  <c r="N215" i="35"/>
  <c r="N214" i="35"/>
  <c r="N213" i="35"/>
  <c r="N212" i="35"/>
  <c r="N211" i="35"/>
  <c r="N210" i="35"/>
  <c r="N209" i="35"/>
  <c r="N208" i="35"/>
  <c r="N207" i="35"/>
  <c r="N206" i="35"/>
  <c r="N205" i="35"/>
  <c r="N204" i="35"/>
  <c r="N203" i="35"/>
  <c r="N202" i="35"/>
  <c r="N201" i="35"/>
  <c r="N200" i="35"/>
  <c r="N199" i="35"/>
  <c r="N198" i="35"/>
  <c r="N197" i="35"/>
  <c r="N196" i="35"/>
  <c r="N195" i="35"/>
  <c r="N194" i="35"/>
  <c r="N193" i="35"/>
  <c r="N192" i="35"/>
  <c r="N191" i="35"/>
  <c r="N190" i="35"/>
  <c r="N189" i="35"/>
  <c r="N188" i="35"/>
  <c r="N187" i="35"/>
  <c r="N186" i="35"/>
  <c r="N185" i="35"/>
  <c r="N184" i="35"/>
  <c r="N183" i="35"/>
  <c r="N182" i="35"/>
  <c r="N181" i="35"/>
  <c r="N180" i="35"/>
  <c r="N179" i="35"/>
  <c r="N178" i="35"/>
  <c r="N177" i="35"/>
  <c r="N176" i="35"/>
  <c r="N175" i="35"/>
  <c r="N174" i="35"/>
  <c r="N173" i="35"/>
  <c r="N172" i="35"/>
  <c r="N171" i="35"/>
  <c r="N170" i="35"/>
  <c r="N169" i="35"/>
  <c r="N168" i="35"/>
  <c r="N167" i="35"/>
  <c r="N166" i="35"/>
  <c r="N165" i="35"/>
  <c r="N164" i="35"/>
  <c r="N163" i="35"/>
  <c r="N162" i="35"/>
  <c r="N161" i="35"/>
  <c r="N160" i="35"/>
  <c r="N159" i="35"/>
  <c r="N158" i="35"/>
  <c r="N157" i="35"/>
  <c r="N156" i="35"/>
  <c r="N155" i="35"/>
  <c r="N154" i="35"/>
  <c r="N153" i="35"/>
  <c r="N152" i="35"/>
  <c r="N151" i="35"/>
  <c r="N150" i="35"/>
  <c r="N149" i="35"/>
  <c r="N148" i="35"/>
  <c r="N147" i="35"/>
  <c r="N146" i="35"/>
  <c r="N145" i="35"/>
  <c r="N144" i="35"/>
  <c r="N143" i="35"/>
  <c r="N142" i="35"/>
  <c r="N141" i="35"/>
  <c r="N140" i="35"/>
  <c r="N139" i="35"/>
  <c r="N138" i="35"/>
  <c r="N137" i="35"/>
  <c r="N136" i="35"/>
  <c r="N135" i="35"/>
  <c r="N134" i="35"/>
  <c r="N133" i="35"/>
  <c r="N132" i="35"/>
  <c r="N131" i="35"/>
  <c r="N130" i="35"/>
  <c r="N129" i="35"/>
  <c r="N128" i="35"/>
  <c r="N127" i="35"/>
  <c r="N126" i="35"/>
  <c r="N125" i="35"/>
  <c r="N124" i="35"/>
  <c r="N123" i="35"/>
  <c r="N122" i="35"/>
  <c r="N121" i="35"/>
  <c r="N120" i="35"/>
  <c r="N119" i="35"/>
  <c r="N118" i="35"/>
  <c r="N117" i="35"/>
  <c r="N116" i="35"/>
  <c r="N115" i="35"/>
  <c r="N114" i="35"/>
  <c r="N113" i="35"/>
  <c r="N112" i="35"/>
  <c r="N111" i="35"/>
  <c r="N110" i="35"/>
  <c r="N109" i="35"/>
  <c r="N108" i="35"/>
  <c r="N107" i="35"/>
  <c r="N106" i="35"/>
  <c r="N105" i="35"/>
  <c r="N104" i="35"/>
  <c r="N103" i="35"/>
  <c r="N102" i="35"/>
  <c r="N101" i="35"/>
  <c r="N100" i="35"/>
  <c r="N99" i="35"/>
  <c r="N98" i="35"/>
  <c r="N97" i="35"/>
  <c r="N96" i="35"/>
  <c r="N95" i="35"/>
  <c r="N94" i="35"/>
  <c r="N93" i="35"/>
  <c r="N92" i="35"/>
  <c r="N91" i="35"/>
  <c r="N90" i="35"/>
  <c r="N89" i="35"/>
  <c r="N88" i="35"/>
  <c r="N87" i="35"/>
  <c r="N86" i="35"/>
  <c r="N85" i="35"/>
  <c r="N84" i="35"/>
  <c r="N83" i="35"/>
  <c r="N82" i="35"/>
  <c r="N81" i="35"/>
  <c r="N80" i="35"/>
  <c r="N79" i="35"/>
  <c r="N41" i="35"/>
  <c r="N68" i="35"/>
  <c r="N62" i="35"/>
  <c r="N38" i="35"/>
  <c r="N71" i="35"/>
  <c r="N20" i="35"/>
  <c r="N70" i="35"/>
  <c r="N26" i="35"/>
  <c r="N54" i="35"/>
  <c r="N60" i="35"/>
  <c r="N72" i="35"/>
  <c r="N42" i="35"/>
  <c r="N56" i="35"/>
  <c r="N63" i="35"/>
  <c r="N57" i="35"/>
  <c r="N11" i="35"/>
  <c r="N74" i="35"/>
  <c r="N50" i="35"/>
  <c r="N25" i="35"/>
  <c r="N78" i="35"/>
  <c r="N39" i="35"/>
  <c r="N40" i="35"/>
  <c r="N29" i="35"/>
  <c r="N5" i="35"/>
  <c r="N53" i="35"/>
  <c r="N73" i="35"/>
  <c r="N61" i="35"/>
  <c r="N46" i="35"/>
  <c r="N27" i="35"/>
  <c r="N23" i="35"/>
  <c r="N47" i="35"/>
  <c r="G429" i="35"/>
  <c r="G428" i="35"/>
  <c r="G427" i="35"/>
  <c r="G426" i="35"/>
  <c r="G425" i="35"/>
  <c r="G424" i="35"/>
  <c r="G423" i="35"/>
  <c r="G422" i="35"/>
  <c r="G421" i="35"/>
  <c r="G420" i="35"/>
  <c r="G419" i="35"/>
  <c r="G418" i="35"/>
  <c r="G417" i="35"/>
  <c r="G416" i="35"/>
  <c r="G415" i="35"/>
  <c r="G414" i="35"/>
  <c r="G413" i="35"/>
  <c r="G412" i="35"/>
  <c r="G411" i="35"/>
  <c r="G410" i="35"/>
  <c r="G409" i="35"/>
  <c r="G408" i="35"/>
  <c r="G407" i="35"/>
  <c r="G406" i="35"/>
  <c r="G405" i="35"/>
  <c r="G404" i="35"/>
  <c r="G403" i="35"/>
  <c r="G402" i="35"/>
  <c r="G401" i="35"/>
  <c r="G400" i="35"/>
  <c r="G399" i="35"/>
  <c r="G398" i="35"/>
  <c r="G397" i="35"/>
  <c r="G396" i="35"/>
  <c r="G395" i="35"/>
  <c r="G394" i="35"/>
  <c r="G393" i="35"/>
  <c r="G392" i="35"/>
  <c r="G391" i="35"/>
  <c r="G390" i="35"/>
  <c r="G389" i="35"/>
  <c r="G388" i="35"/>
  <c r="G387" i="35"/>
  <c r="G386" i="35"/>
  <c r="G385" i="35"/>
  <c r="G384" i="35"/>
  <c r="G383" i="35"/>
  <c r="G382" i="35"/>
  <c r="G381" i="35"/>
  <c r="G380" i="35"/>
  <c r="G379" i="35"/>
  <c r="G378" i="35"/>
  <c r="G377" i="35"/>
  <c r="G376" i="35"/>
  <c r="G375" i="35"/>
  <c r="G374" i="35"/>
  <c r="G373" i="35"/>
  <c r="G372" i="35"/>
  <c r="G371" i="35"/>
  <c r="G370" i="35"/>
  <c r="G369" i="35"/>
  <c r="G368" i="35"/>
  <c r="G367" i="35"/>
  <c r="G366" i="35"/>
  <c r="G365" i="35"/>
  <c r="G364" i="35"/>
  <c r="G363" i="35"/>
  <c r="G362" i="35"/>
  <c r="G361" i="35"/>
  <c r="G360" i="35"/>
  <c r="G359" i="35"/>
  <c r="G358" i="35"/>
  <c r="G357" i="35"/>
  <c r="G356" i="35"/>
  <c r="G355" i="35"/>
  <c r="G354" i="35"/>
  <c r="G353" i="35"/>
  <c r="G352" i="35"/>
  <c r="G351" i="35"/>
  <c r="G350" i="35"/>
  <c r="G349" i="35"/>
  <c r="G348" i="35"/>
  <c r="G347" i="35"/>
  <c r="G346" i="35"/>
  <c r="G345" i="35"/>
  <c r="G344" i="35"/>
  <c r="G343" i="35"/>
  <c r="G342" i="35"/>
  <c r="G341" i="35"/>
  <c r="G340" i="35"/>
  <c r="G339" i="35"/>
  <c r="G338" i="35"/>
  <c r="G337" i="35"/>
  <c r="G336" i="35"/>
  <c r="G335" i="35"/>
  <c r="G334" i="35"/>
  <c r="G333" i="35"/>
  <c r="G332" i="35"/>
  <c r="G331" i="35"/>
  <c r="G330" i="35"/>
  <c r="G329" i="35"/>
  <c r="G328" i="35"/>
  <c r="G327" i="35"/>
  <c r="G326" i="35"/>
  <c r="G325" i="35"/>
  <c r="G324" i="35"/>
  <c r="G323" i="35"/>
  <c r="G322" i="35"/>
  <c r="G321" i="35"/>
  <c r="G320" i="35"/>
  <c r="G319" i="35"/>
  <c r="G318" i="35"/>
  <c r="G317" i="35"/>
  <c r="G316" i="35"/>
  <c r="G315" i="35"/>
  <c r="G314" i="35"/>
  <c r="G313" i="35"/>
  <c r="G312" i="35"/>
  <c r="G311" i="35"/>
  <c r="G310" i="35"/>
  <c r="G309" i="35"/>
  <c r="G308" i="35"/>
  <c r="G307" i="35"/>
  <c r="G306" i="35"/>
  <c r="G305" i="35"/>
  <c r="G304" i="35"/>
  <c r="G303" i="35"/>
  <c r="G302" i="35"/>
  <c r="G301" i="35"/>
  <c r="G300" i="35"/>
  <c r="G299" i="35"/>
  <c r="G298" i="35"/>
  <c r="G297" i="35"/>
  <c r="G296" i="35"/>
  <c r="G295" i="35"/>
  <c r="G294" i="35"/>
  <c r="G293" i="35"/>
  <c r="G292" i="35"/>
  <c r="G291" i="35"/>
  <c r="G290" i="35"/>
  <c r="G289" i="35"/>
  <c r="G288" i="35"/>
  <c r="G287" i="35"/>
  <c r="G286" i="35"/>
  <c r="G285" i="35"/>
  <c r="G284" i="35"/>
  <c r="G283" i="35"/>
  <c r="G282" i="35"/>
  <c r="G281" i="35"/>
  <c r="G280" i="35"/>
  <c r="G279" i="35"/>
  <c r="G278" i="35"/>
  <c r="G277" i="35"/>
  <c r="G276" i="35"/>
  <c r="G275" i="35"/>
  <c r="G274" i="35"/>
  <c r="G273" i="35"/>
  <c r="G272" i="35"/>
  <c r="G271" i="35"/>
  <c r="G270" i="35"/>
  <c r="G269" i="35"/>
  <c r="G268" i="35"/>
  <c r="G267" i="35"/>
  <c r="G266" i="35"/>
  <c r="G265" i="35"/>
  <c r="G264" i="35"/>
  <c r="G263" i="35"/>
  <c r="G262" i="35"/>
  <c r="G261" i="35"/>
  <c r="G260" i="35"/>
  <c r="G259" i="35"/>
  <c r="G258" i="35"/>
  <c r="G257" i="35"/>
  <c r="G256" i="35"/>
  <c r="G255" i="35"/>
  <c r="G254" i="35"/>
  <c r="G253" i="35"/>
  <c r="G252" i="35"/>
  <c r="G251" i="35"/>
  <c r="G250" i="35"/>
  <c r="G249" i="35"/>
  <c r="G248" i="35"/>
  <c r="G247" i="35"/>
  <c r="G246" i="35"/>
  <c r="G245" i="35"/>
  <c r="G244" i="35"/>
  <c r="G243" i="35"/>
  <c r="G242" i="35"/>
  <c r="G241" i="35"/>
  <c r="G240" i="35"/>
  <c r="G239" i="35"/>
  <c r="G238" i="35"/>
  <c r="G237" i="35"/>
  <c r="G236" i="35"/>
  <c r="G235" i="35"/>
  <c r="G234" i="35"/>
  <c r="G233" i="35"/>
  <c r="G232" i="35"/>
  <c r="G231" i="35"/>
  <c r="G230" i="35"/>
  <c r="G229" i="35"/>
  <c r="G228" i="35"/>
  <c r="G227" i="35"/>
  <c r="G226" i="35"/>
  <c r="G225" i="35"/>
  <c r="G224" i="35"/>
  <c r="G223" i="35"/>
  <c r="G222" i="35"/>
  <c r="G221" i="35"/>
  <c r="G220" i="35"/>
  <c r="G219" i="35"/>
  <c r="G218" i="35"/>
  <c r="G217" i="35"/>
  <c r="G216" i="35"/>
  <c r="G215" i="35"/>
  <c r="G214" i="35"/>
  <c r="G213" i="35"/>
  <c r="G212" i="35"/>
  <c r="G211" i="35"/>
  <c r="G210" i="35"/>
  <c r="G209" i="35"/>
  <c r="G208" i="35"/>
  <c r="G207" i="35"/>
  <c r="G206" i="35"/>
  <c r="G205" i="35"/>
  <c r="G204" i="35"/>
  <c r="G203" i="35"/>
  <c r="G202" i="35"/>
  <c r="G201" i="35"/>
  <c r="G200" i="35"/>
  <c r="G199" i="35"/>
  <c r="G198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57" i="35"/>
  <c r="G156" i="35"/>
  <c r="G155" i="35"/>
  <c r="G154" i="35"/>
  <c r="G153" i="35"/>
  <c r="G152" i="35"/>
  <c r="G151" i="35"/>
  <c r="G150" i="35"/>
  <c r="G149" i="35"/>
  <c r="G148" i="35"/>
  <c r="G147" i="35"/>
  <c r="G146" i="35"/>
  <c r="G145" i="35"/>
  <c r="G144" i="35"/>
  <c r="G143" i="35"/>
  <c r="G142" i="35"/>
  <c r="G141" i="35"/>
  <c r="G140" i="35"/>
  <c r="G139" i="35"/>
  <c r="G138" i="35"/>
  <c r="G137" i="35"/>
  <c r="G136" i="35"/>
  <c r="G135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108" i="35"/>
  <c r="G107" i="35"/>
  <c r="G106" i="35"/>
  <c r="G105" i="35"/>
  <c r="G104" i="35"/>
  <c r="G103" i="35"/>
  <c r="G102" i="35"/>
  <c r="G101" i="35"/>
  <c r="G100" i="35"/>
  <c r="G99" i="35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32" i="35"/>
  <c r="G61" i="35"/>
  <c r="G55" i="35"/>
  <c r="G29" i="35"/>
  <c r="G64" i="35"/>
  <c r="G15" i="35"/>
  <c r="G63" i="35"/>
  <c r="G54" i="35"/>
  <c r="G45" i="35"/>
  <c r="G51" i="35"/>
  <c r="G65" i="35"/>
  <c r="G33" i="35"/>
  <c r="G47" i="35"/>
  <c r="G56" i="35"/>
  <c r="G48" i="35"/>
  <c r="G8" i="35"/>
  <c r="G67" i="35"/>
  <c r="G41" i="35"/>
  <c r="G53" i="35"/>
  <c r="G75" i="35"/>
  <c r="G30" i="35"/>
  <c r="G31" i="35"/>
  <c r="G19" i="35"/>
  <c r="G72" i="35"/>
  <c r="G44" i="35"/>
  <c r="G37" i="35"/>
  <c r="G74" i="35"/>
  <c r="G10" i="35"/>
  <c r="G28" i="35"/>
  <c r="J51" i="35"/>
  <c r="N51" i="35" s="1"/>
  <c r="C42" i="35"/>
  <c r="G42" i="35" s="1"/>
  <c r="M430" i="35"/>
  <c r="F430" i="35"/>
  <c r="R42" i="35"/>
  <c r="Q42" i="35"/>
  <c r="R45" i="35"/>
  <c r="Q45" i="35"/>
  <c r="R44" i="35"/>
  <c r="Q44" i="35"/>
  <c r="R43" i="35"/>
  <c r="Q43" i="35"/>
  <c r="R41" i="35"/>
  <c r="Q41" i="35"/>
  <c r="R40" i="35"/>
  <c r="Q40" i="35"/>
  <c r="R39" i="35"/>
  <c r="Q39" i="35"/>
  <c r="R38" i="35"/>
  <c r="Q38" i="35"/>
  <c r="R37" i="35"/>
  <c r="Q37" i="35"/>
  <c r="R36" i="35"/>
  <c r="Q36" i="35"/>
  <c r="R35" i="35"/>
  <c r="Q35" i="35"/>
  <c r="R34" i="35"/>
  <c r="Q34" i="35"/>
  <c r="R33" i="35"/>
  <c r="Q33" i="35"/>
  <c r="R32" i="35"/>
  <c r="Q32" i="35"/>
  <c r="R31" i="35"/>
  <c r="Q31" i="35"/>
  <c r="R30" i="35"/>
  <c r="Q30" i="35"/>
  <c r="R29" i="35"/>
  <c r="Q29" i="35"/>
  <c r="R28" i="35"/>
  <c r="Q28" i="35"/>
  <c r="R27" i="35"/>
  <c r="Q27" i="35"/>
  <c r="R26" i="35"/>
  <c r="Q26" i="35"/>
  <c r="R25" i="35"/>
  <c r="Q25" i="35"/>
  <c r="R24" i="35"/>
  <c r="Q24" i="35"/>
  <c r="R23" i="35"/>
  <c r="Q23" i="35"/>
  <c r="R22" i="35"/>
  <c r="Q22" i="35"/>
  <c r="R21" i="35"/>
  <c r="Q21" i="35"/>
  <c r="R20" i="35"/>
  <c r="Q20" i="35"/>
  <c r="R19" i="35"/>
  <c r="Q19" i="35"/>
  <c r="R18" i="35"/>
  <c r="Q18" i="35"/>
  <c r="Q26" i="21"/>
  <c r="T28" i="21"/>
  <c r="T27" i="21"/>
  <c r="T26" i="21"/>
  <c r="T14" i="21"/>
  <c r="T13" i="21"/>
  <c r="T12" i="21"/>
  <c r="W12" i="21"/>
  <c r="AC15" i="21"/>
  <c r="AC12" i="21"/>
  <c r="X6" i="21"/>
  <c r="X5" i="21"/>
  <c r="X4" i="21"/>
  <c r="AC7" i="21"/>
  <c r="AC5" i="21"/>
  <c r="AC4" i="21"/>
  <c r="Q23" i="16"/>
  <c r="Q22" i="16"/>
  <c r="T23" i="16"/>
  <c r="T22" i="16"/>
  <c r="T11" i="16"/>
  <c r="W11" i="16"/>
  <c r="AC11" i="16"/>
  <c r="X5" i="16"/>
  <c r="X4" i="16"/>
  <c r="AC5" i="16"/>
  <c r="AC4" i="16"/>
  <c r="T35" i="9"/>
  <c r="T34" i="9"/>
  <c r="T33" i="9"/>
  <c r="T19" i="9"/>
  <c r="T17" i="9"/>
  <c r="AC20" i="9"/>
  <c r="AC19" i="9"/>
  <c r="X11" i="9"/>
  <c r="X10" i="9"/>
  <c r="X6" i="9"/>
  <c r="AC11" i="9"/>
  <c r="AC8" i="9"/>
  <c r="AC6" i="9"/>
  <c r="Q31" i="8"/>
  <c r="Q30" i="8"/>
  <c r="T31" i="8"/>
  <c r="T30" i="8"/>
  <c r="T29" i="8"/>
  <c r="T17" i="8"/>
  <c r="T16" i="8"/>
  <c r="W17" i="8"/>
  <c r="AD18" i="8"/>
  <c r="AD15" i="8"/>
  <c r="AD14" i="8"/>
  <c r="X8" i="8"/>
  <c r="X7" i="8"/>
  <c r="X4" i="8"/>
  <c r="AD8" i="8"/>
  <c r="AD7" i="8"/>
  <c r="AD6" i="8"/>
  <c r="Q36" i="6"/>
  <c r="Q35" i="6"/>
  <c r="T34" i="6"/>
  <c r="T19" i="6"/>
  <c r="T17" i="6"/>
  <c r="W17" i="6"/>
  <c r="W16" i="6"/>
  <c r="W15" i="6"/>
  <c r="AC18" i="6"/>
  <c r="X10" i="6"/>
  <c r="X9" i="6"/>
  <c r="X8" i="6"/>
  <c r="X6" i="6"/>
  <c r="AC6" i="6"/>
  <c r="AC5" i="6"/>
  <c r="AC4" i="6"/>
  <c r="Q39" i="4"/>
  <c r="Q38" i="4"/>
  <c r="T39" i="4"/>
  <c r="T37" i="4"/>
  <c r="T18" i="4"/>
  <c r="T17" i="4"/>
  <c r="T16" i="4"/>
  <c r="W23" i="4"/>
  <c r="W22" i="4"/>
  <c r="W20" i="4"/>
  <c r="W19" i="4"/>
  <c r="W16" i="4"/>
  <c r="AC21" i="4"/>
  <c r="AC20" i="4"/>
  <c r="AC17" i="4"/>
  <c r="X8" i="4"/>
  <c r="X6" i="4"/>
  <c r="X5" i="4"/>
  <c r="X4" i="4"/>
  <c r="AC11" i="4"/>
  <c r="AC10" i="4"/>
  <c r="AC8" i="4"/>
  <c r="AC7" i="4"/>
  <c r="AC6" i="4"/>
  <c r="AC4" i="4"/>
  <c r="X11" i="23"/>
  <c r="X5" i="23"/>
  <c r="AC11" i="23"/>
  <c r="J18" i="25"/>
  <c r="E18" i="25"/>
  <c r="T16" i="25"/>
  <c r="W19" i="25"/>
  <c r="W17" i="25"/>
  <c r="W16" i="25"/>
  <c r="W15" i="25"/>
  <c r="AC15" i="25"/>
  <c r="N10" i="25"/>
  <c r="N7" i="25"/>
  <c r="X8" i="25"/>
  <c r="X6" i="25"/>
  <c r="X4" i="25"/>
  <c r="AC9" i="25"/>
  <c r="AC6" i="25"/>
  <c r="AC5" i="25"/>
  <c r="AC4" i="25"/>
  <c r="F12" i="31"/>
  <c r="C12" i="31"/>
  <c r="N29" i="6"/>
  <c r="N24" i="6"/>
  <c r="Q4" i="6"/>
  <c r="F48" i="31"/>
  <c r="C48" i="31"/>
  <c r="F17" i="31"/>
  <c r="C17" i="31"/>
  <c r="F38" i="31"/>
  <c r="C38" i="31"/>
  <c r="F64" i="31"/>
  <c r="C64" i="31"/>
  <c r="S8" i="35" l="1"/>
  <c r="S15" i="35"/>
  <c r="S5" i="35"/>
  <c r="K8" i="22"/>
  <c r="K5" i="22"/>
  <c r="S9" i="35"/>
  <c r="S11" i="35"/>
  <c r="K6" i="22"/>
  <c r="S6" i="35"/>
  <c r="E89" i="16"/>
  <c r="N37" i="35"/>
  <c r="L430" i="35"/>
  <c r="G9" i="35"/>
  <c r="E430" i="35"/>
  <c r="S14" i="35"/>
  <c r="N9" i="35"/>
  <c r="K430" i="35"/>
  <c r="J430" i="35"/>
  <c r="G13" i="35"/>
  <c r="C430" i="35"/>
  <c r="D430" i="35"/>
  <c r="F244" i="31"/>
  <c r="C244" i="31"/>
  <c r="F192" i="31"/>
  <c r="C192" i="31"/>
  <c r="F123" i="31"/>
  <c r="C123" i="31"/>
  <c r="F5" i="31"/>
  <c r="C5" i="31"/>
  <c r="N28" i="4"/>
  <c r="Q8" i="8"/>
  <c r="F85" i="31"/>
  <c r="C85" i="31"/>
  <c r="F68" i="31"/>
  <c r="C68" i="31"/>
  <c r="F86" i="31"/>
  <c r="C86" i="31"/>
  <c r="G430" i="35" l="1"/>
  <c r="N430" i="35"/>
  <c r="F137" i="31" l="1"/>
  <c r="C137" i="31"/>
  <c r="I93" i="29"/>
  <c r="H93" i="29"/>
  <c r="G93" i="29"/>
  <c r="D93" i="29"/>
  <c r="C93" i="29"/>
  <c r="B93" i="29"/>
  <c r="J53" i="29"/>
  <c r="E92" i="29"/>
  <c r="J92" i="29"/>
  <c r="E91" i="29"/>
  <c r="J60" i="29"/>
  <c r="E58" i="29"/>
  <c r="J70" i="29"/>
  <c r="E69" i="29"/>
  <c r="J59" i="29"/>
  <c r="E57" i="29"/>
  <c r="J91" i="29"/>
  <c r="E90" i="29"/>
  <c r="J58" i="29"/>
  <c r="E56" i="29"/>
  <c r="J90" i="29"/>
  <c r="E89" i="29"/>
  <c r="J71" i="29"/>
  <c r="E88" i="29"/>
  <c r="J89" i="29"/>
  <c r="E87" i="29"/>
  <c r="J88" i="29"/>
  <c r="E86" i="29"/>
  <c r="J87" i="29"/>
  <c r="E85" i="29"/>
  <c r="J86" i="29"/>
  <c r="E84" i="29"/>
  <c r="J52" i="29"/>
  <c r="E51" i="29"/>
  <c r="J63" i="29"/>
  <c r="E68" i="29"/>
  <c r="J85" i="29"/>
  <c r="E83" i="29"/>
  <c r="J57" i="29"/>
  <c r="E55" i="29"/>
  <c r="J69" i="29"/>
  <c r="E67" i="29"/>
  <c r="J84" i="29"/>
  <c r="E82" i="29"/>
  <c r="J62" i="29"/>
  <c r="E61" i="29"/>
  <c r="J83" i="29"/>
  <c r="E81" i="29"/>
  <c r="J82" i="29"/>
  <c r="E80" i="29"/>
  <c r="J54" i="29"/>
  <c r="E52" i="29"/>
  <c r="J56" i="29"/>
  <c r="E54" i="29"/>
  <c r="J68" i="29"/>
  <c r="E66" i="29"/>
  <c r="J81" i="29"/>
  <c r="E79" i="29"/>
  <c r="J67" i="29"/>
  <c r="E65" i="29"/>
  <c r="J66" i="29"/>
  <c r="E64" i="29"/>
  <c r="J80" i="29"/>
  <c r="E78" i="29"/>
  <c r="J61" i="29"/>
  <c r="E60" i="29"/>
  <c r="J79" i="29"/>
  <c r="E77" i="29"/>
  <c r="J78" i="29"/>
  <c r="E76" i="29"/>
  <c r="J51" i="29"/>
  <c r="E50" i="29"/>
  <c r="J77" i="29"/>
  <c r="E75" i="29"/>
  <c r="J65" i="29"/>
  <c r="E63" i="29"/>
  <c r="J76" i="29"/>
  <c r="E74" i="29"/>
  <c r="J75" i="29"/>
  <c r="E73" i="29"/>
  <c r="J50" i="29"/>
  <c r="E53" i="29"/>
  <c r="J55" i="29"/>
  <c r="E59" i="29"/>
  <c r="J74" i="29"/>
  <c r="E72" i="29"/>
  <c r="J73" i="29"/>
  <c r="E71" i="29"/>
  <c r="J64" i="29"/>
  <c r="E62" i="29"/>
  <c r="J72" i="29"/>
  <c r="E70" i="29"/>
  <c r="J93" i="29" l="1"/>
  <c r="E93" i="29"/>
  <c r="F181" i="31"/>
  <c r="C181" i="31"/>
  <c r="F47" i="31"/>
  <c r="C47" i="31"/>
  <c r="F90" i="31"/>
  <c r="C90" i="31"/>
  <c r="J25" i="6"/>
  <c r="E25" i="6"/>
  <c r="F267" i="31"/>
  <c r="C267" i="31"/>
  <c r="F146" i="31"/>
  <c r="C146" i="31"/>
  <c r="F120" i="31"/>
  <c r="C120" i="31"/>
  <c r="J15" i="28"/>
  <c r="E15" i="28"/>
  <c r="F268" i="31"/>
  <c r="C268" i="31"/>
  <c r="F270" i="31"/>
  <c r="C270" i="31"/>
  <c r="O5" i="34"/>
  <c r="G63" i="34"/>
  <c r="F63" i="34"/>
  <c r="H63" i="34" s="1"/>
  <c r="C63" i="34"/>
  <c r="B63" i="34"/>
  <c r="D63" i="34" s="1"/>
  <c r="H50" i="34"/>
  <c r="D49" i="34"/>
  <c r="H51" i="34"/>
  <c r="D62" i="34"/>
  <c r="H39" i="34"/>
  <c r="D48" i="34"/>
  <c r="H62" i="34"/>
  <c r="D61" i="34"/>
  <c r="H61" i="34"/>
  <c r="D60" i="34"/>
  <c r="H49" i="34"/>
  <c r="D47" i="34"/>
  <c r="H60" i="34"/>
  <c r="D59" i="34"/>
  <c r="H48" i="34"/>
  <c r="D46" i="34"/>
  <c r="H47" i="34"/>
  <c r="D45" i="34"/>
  <c r="H59" i="34"/>
  <c r="D58" i="34"/>
  <c r="H35" i="34"/>
  <c r="D35" i="34"/>
  <c r="H58" i="34"/>
  <c r="D57" i="34"/>
  <c r="H57" i="34"/>
  <c r="D56" i="34"/>
  <c r="H37" i="34"/>
  <c r="D36" i="34"/>
  <c r="H46" i="34"/>
  <c r="D44" i="34"/>
  <c r="H36" i="34"/>
  <c r="D55" i="34"/>
  <c r="H38" i="34"/>
  <c r="D37" i="34"/>
  <c r="H52" i="34"/>
  <c r="D54" i="34"/>
  <c r="H45" i="34"/>
  <c r="D43" i="34"/>
  <c r="H56" i="34"/>
  <c r="D53" i="34"/>
  <c r="H44" i="34"/>
  <c r="D42" i="34"/>
  <c r="H55" i="34"/>
  <c r="D52" i="34"/>
  <c r="H43" i="34"/>
  <c r="D41" i="34"/>
  <c r="H42" i="34"/>
  <c r="D40" i="34"/>
  <c r="H54" i="34"/>
  <c r="D51" i="34"/>
  <c r="H41" i="34"/>
  <c r="D39" i="34"/>
  <c r="H40" i="34"/>
  <c r="D38" i="34"/>
  <c r="H53" i="34"/>
  <c r="D50" i="34"/>
  <c r="N25" i="9"/>
  <c r="N26" i="9"/>
  <c r="F21" i="31"/>
  <c r="C21" i="31"/>
  <c r="F241" i="31"/>
  <c r="C241" i="31"/>
  <c r="F39" i="31"/>
  <c r="C39" i="31"/>
  <c r="F56" i="31"/>
  <c r="C56" i="31"/>
  <c r="F94" i="31"/>
  <c r="C94" i="31"/>
  <c r="F79" i="31"/>
  <c r="C79" i="31"/>
  <c r="N19" i="33"/>
  <c r="Q6" i="33"/>
  <c r="I63" i="33"/>
  <c r="H63" i="33"/>
  <c r="G63" i="33"/>
  <c r="J63" i="33" s="1"/>
  <c r="D63" i="33"/>
  <c r="C63" i="33"/>
  <c r="B63" i="33"/>
  <c r="J57" i="33"/>
  <c r="E57" i="33"/>
  <c r="J62" i="33"/>
  <c r="E62" i="33"/>
  <c r="J56" i="33"/>
  <c r="E56" i="33"/>
  <c r="J55" i="33"/>
  <c r="E55" i="33"/>
  <c r="J42" i="33"/>
  <c r="E40" i="33"/>
  <c r="J54" i="33"/>
  <c r="E54" i="33"/>
  <c r="J47" i="33"/>
  <c r="E46" i="33"/>
  <c r="J38" i="33"/>
  <c r="E36" i="33"/>
  <c r="J46" i="33"/>
  <c r="E45" i="33"/>
  <c r="J53" i="33"/>
  <c r="E53" i="33"/>
  <c r="J52" i="33"/>
  <c r="E52" i="33"/>
  <c r="J61" i="33"/>
  <c r="E61" i="33"/>
  <c r="J36" i="33"/>
  <c r="E35" i="33"/>
  <c r="J45" i="33"/>
  <c r="E44" i="33"/>
  <c r="J60" i="33"/>
  <c r="E60" i="33"/>
  <c r="J41" i="33"/>
  <c r="E39" i="33"/>
  <c r="J44" i="33"/>
  <c r="E43" i="33"/>
  <c r="J51" i="33"/>
  <c r="E51" i="33"/>
  <c r="J59" i="33"/>
  <c r="E59" i="33"/>
  <c r="J37" i="33"/>
  <c r="E42" i="33"/>
  <c r="J50" i="33"/>
  <c r="E50" i="33"/>
  <c r="J58" i="33"/>
  <c r="E58" i="33"/>
  <c r="J43" i="33"/>
  <c r="E41" i="33"/>
  <c r="J49" i="33"/>
  <c r="E49" i="33"/>
  <c r="J40" i="33"/>
  <c r="E38" i="33"/>
  <c r="J35" i="33"/>
  <c r="E48" i="33"/>
  <c r="J48" i="33"/>
  <c r="E47" i="33"/>
  <c r="J39" i="33"/>
  <c r="E37" i="33"/>
  <c r="F218" i="31"/>
  <c r="F46" i="31"/>
  <c r="C218" i="31"/>
  <c r="C46" i="31"/>
  <c r="J27" i="33"/>
  <c r="E27" i="33"/>
  <c r="N22" i="24"/>
  <c r="Q8" i="24"/>
  <c r="F281" i="31"/>
  <c r="C281" i="31"/>
  <c r="F171" i="31"/>
  <c r="C171" i="31"/>
  <c r="J26" i="24"/>
  <c r="E26" i="24"/>
  <c r="F110" i="31"/>
  <c r="C110" i="31"/>
  <c r="F131" i="31"/>
  <c r="C131" i="31"/>
  <c r="F169" i="31"/>
  <c r="C169" i="31"/>
  <c r="F176" i="31"/>
  <c r="C176" i="31"/>
  <c r="F273" i="31"/>
  <c r="C273" i="31"/>
  <c r="C256" i="31"/>
  <c r="N21" i="21"/>
  <c r="F254" i="31"/>
  <c r="C254" i="31"/>
  <c r="F209" i="31"/>
  <c r="C209" i="31"/>
  <c r="F172" i="31"/>
  <c r="C172" i="31"/>
  <c r="F174" i="31"/>
  <c r="C174" i="31"/>
  <c r="F206" i="31"/>
  <c r="C206" i="31"/>
  <c r="F256" i="31"/>
  <c r="F60" i="31"/>
  <c r="C60" i="31"/>
  <c r="N24" i="27"/>
  <c r="C41" i="31"/>
  <c r="F41" i="31"/>
  <c r="F184" i="31"/>
  <c r="C184" i="31"/>
  <c r="F59" i="31"/>
  <c r="C59" i="31"/>
  <c r="F15" i="31"/>
  <c r="C15" i="31"/>
  <c r="E63" i="33" l="1"/>
  <c r="N17" i="16" l="1"/>
  <c r="F195" i="31"/>
  <c r="C195" i="31"/>
  <c r="F65" i="31"/>
  <c r="C65" i="31"/>
  <c r="F260" i="31"/>
  <c r="C260" i="31"/>
  <c r="I57" i="32"/>
  <c r="H57" i="32"/>
  <c r="G57" i="32"/>
  <c r="J57" i="32" s="1"/>
  <c r="D57" i="32"/>
  <c r="C57" i="32"/>
  <c r="B57" i="32"/>
  <c r="E57" i="32" s="1"/>
  <c r="J34" i="32"/>
  <c r="E56" i="32"/>
  <c r="J56" i="32"/>
  <c r="E55" i="32"/>
  <c r="J55" i="32"/>
  <c r="E54" i="32"/>
  <c r="J54" i="32"/>
  <c r="E53" i="32"/>
  <c r="J53" i="32"/>
  <c r="E52" i="32"/>
  <c r="J40" i="32"/>
  <c r="E39" i="32"/>
  <c r="J41" i="32"/>
  <c r="E51" i="32"/>
  <c r="J52" i="32"/>
  <c r="E50" i="32"/>
  <c r="J37" i="32"/>
  <c r="E38" i="32"/>
  <c r="J51" i="32"/>
  <c r="E49" i="32"/>
  <c r="J50" i="32"/>
  <c r="E48" i="32"/>
  <c r="J49" i="32"/>
  <c r="E47" i="32"/>
  <c r="J48" i="32"/>
  <c r="E46" i="32"/>
  <c r="J39" i="32"/>
  <c r="E37" i="32"/>
  <c r="J33" i="32"/>
  <c r="E33" i="32"/>
  <c r="J47" i="32"/>
  <c r="E45" i="32"/>
  <c r="J36" i="32"/>
  <c r="E35" i="32"/>
  <c r="J32" i="32"/>
  <c r="E32" i="32"/>
  <c r="J46" i="32"/>
  <c r="E44" i="32"/>
  <c r="J45" i="32"/>
  <c r="E43" i="32"/>
  <c r="J38" i="32"/>
  <c r="E36" i="32"/>
  <c r="J44" i="32"/>
  <c r="E42" i="32"/>
  <c r="J43" i="32"/>
  <c r="E41" i="32"/>
  <c r="J42" i="32"/>
  <c r="E40" i="32"/>
  <c r="J35" i="32"/>
  <c r="E34" i="32"/>
  <c r="L14" i="34"/>
  <c r="F231" i="31"/>
  <c r="C231" i="31"/>
  <c r="N28" i="6"/>
  <c r="F261" i="31"/>
  <c r="C261" i="31"/>
  <c r="F134" i="31"/>
  <c r="C134" i="31"/>
  <c r="F180" i="31"/>
  <c r="C180" i="31"/>
  <c r="F208" i="31"/>
  <c r="C208" i="31"/>
  <c r="F154" i="31"/>
  <c r="C154" i="31"/>
  <c r="F66" i="31"/>
  <c r="C66" i="31"/>
  <c r="F11" i="31"/>
  <c r="C11" i="31"/>
  <c r="F30" i="31"/>
  <c r="C30" i="31"/>
  <c r="F165" i="31"/>
  <c r="C165" i="31"/>
  <c r="F29" i="31"/>
  <c r="C29" i="31"/>
  <c r="I88" i="24"/>
  <c r="H88" i="24"/>
  <c r="G88" i="24"/>
  <c r="D88" i="24"/>
  <c r="C88" i="24"/>
  <c r="B88" i="24"/>
  <c r="E88" i="24" s="1"/>
  <c r="J87" i="24"/>
  <c r="E87" i="24"/>
  <c r="J76" i="24"/>
  <c r="E73" i="24"/>
  <c r="J55" i="24"/>
  <c r="E86" i="24"/>
  <c r="J75" i="24"/>
  <c r="E72" i="24"/>
  <c r="J74" i="24"/>
  <c r="E71" i="24"/>
  <c r="J52" i="24"/>
  <c r="E52" i="24"/>
  <c r="J86" i="24"/>
  <c r="E85" i="24"/>
  <c r="J85" i="24"/>
  <c r="E84" i="24"/>
  <c r="J84" i="24"/>
  <c r="E83" i="24"/>
  <c r="J83" i="24"/>
  <c r="E82" i="24"/>
  <c r="J82" i="24"/>
  <c r="E81" i="24"/>
  <c r="J63" i="24"/>
  <c r="E70" i="24"/>
  <c r="J51" i="24"/>
  <c r="E51" i="24"/>
  <c r="J53" i="24"/>
  <c r="E80" i="24"/>
  <c r="J54" i="24"/>
  <c r="E79" i="24"/>
  <c r="J62" i="24"/>
  <c r="E59" i="24"/>
  <c r="J73" i="24"/>
  <c r="E69" i="24"/>
  <c r="J72" i="24"/>
  <c r="E68" i="24"/>
  <c r="J81" i="24"/>
  <c r="E78" i="24"/>
  <c r="J61" i="24"/>
  <c r="E58" i="24"/>
  <c r="J71" i="24"/>
  <c r="E67" i="24"/>
  <c r="J60" i="24"/>
  <c r="E57" i="24"/>
  <c r="J70" i="24"/>
  <c r="E66" i="24"/>
  <c r="J59" i="24"/>
  <c r="E56" i="24"/>
  <c r="J80" i="24"/>
  <c r="E77" i="24"/>
  <c r="J69" i="24"/>
  <c r="E65" i="24"/>
  <c r="J50" i="24"/>
  <c r="E50" i="24"/>
  <c r="J56" i="24"/>
  <c r="E53" i="24"/>
  <c r="J58" i="24"/>
  <c r="E55" i="24"/>
  <c r="J49" i="24"/>
  <c r="E49" i="24"/>
  <c r="J79" i="24"/>
  <c r="E76" i="24"/>
  <c r="J68" i="24"/>
  <c r="E64" i="24"/>
  <c r="J78" i="24"/>
  <c r="E75" i="24"/>
  <c r="J48" i="24"/>
  <c r="E48" i="24"/>
  <c r="J67" i="24"/>
  <c r="E63" i="24"/>
  <c r="J66" i="24"/>
  <c r="E62" i="24"/>
  <c r="J57" i="24"/>
  <c r="E54" i="24"/>
  <c r="J65" i="24"/>
  <c r="E61" i="24"/>
  <c r="J64" i="24"/>
  <c r="E60" i="24"/>
  <c r="J77" i="24"/>
  <c r="E74" i="24"/>
  <c r="F194" i="31"/>
  <c r="C194" i="31"/>
  <c r="F255" i="31"/>
  <c r="C255" i="31"/>
  <c r="F100" i="31"/>
  <c r="C100" i="31"/>
  <c r="N26" i="28"/>
  <c r="F205" i="31"/>
  <c r="C205" i="31"/>
  <c r="F258" i="31"/>
  <c r="C258" i="31"/>
  <c r="J41" i="28"/>
  <c r="E41" i="28"/>
  <c r="F239" i="31"/>
  <c r="C239" i="31"/>
  <c r="F150" i="31"/>
  <c r="C150" i="31"/>
  <c r="F238" i="31"/>
  <c r="C238" i="31"/>
  <c r="N28" i="9"/>
  <c r="N27" i="9"/>
  <c r="C230" i="31"/>
  <c r="F227" i="31"/>
  <c r="C227" i="31"/>
  <c r="F228" i="31"/>
  <c r="C228" i="31"/>
  <c r="F266" i="31"/>
  <c r="C266" i="31"/>
  <c r="F185" i="31"/>
  <c r="C185" i="31"/>
  <c r="F193" i="31"/>
  <c r="C193" i="31"/>
  <c r="N20" i="33"/>
  <c r="N7" i="33"/>
  <c r="F22" i="31"/>
  <c r="C22" i="31"/>
  <c r="F6" i="31"/>
  <c r="C6" i="31"/>
  <c r="F215" i="31"/>
  <c r="C215" i="31"/>
  <c r="F199" i="31"/>
  <c r="C199" i="31"/>
  <c r="N23" i="8"/>
  <c r="F163" i="31"/>
  <c r="C163" i="31"/>
  <c r="F151" i="31"/>
  <c r="C151" i="31"/>
  <c r="F213" i="31"/>
  <c r="C213" i="31"/>
  <c r="F221" i="31"/>
  <c r="C221" i="31"/>
  <c r="F245" i="31"/>
  <c r="C245" i="31"/>
  <c r="F133" i="31"/>
  <c r="C133" i="31"/>
  <c r="F225" i="31"/>
  <c r="C225" i="31"/>
  <c r="F170" i="31"/>
  <c r="C170" i="31"/>
  <c r="F265" i="31"/>
  <c r="C265" i="31"/>
  <c r="N11" i="32"/>
  <c r="Q5" i="32"/>
  <c r="N30" i="4"/>
  <c r="F162" i="31"/>
  <c r="C162" i="31"/>
  <c r="F188" i="31"/>
  <c r="C188" i="31"/>
  <c r="F219" i="31"/>
  <c r="C219" i="31"/>
  <c r="F44" i="31"/>
  <c r="C44" i="31"/>
  <c r="F54" i="31"/>
  <c r="C54" i="31"/>
  <c r="F187" i="31"/>
  <c r="C187" i="31"/>
  <c r="F78" i="31"/>
  <c r="C78" i="31"/>
  <c r="F118" i="31"/>
  <c r="C118" i="31"/>
  <c r="J88" i="24" l="1"/>
  <c r="N27" i="23"/>
  <c r="N26" i="23"/>
  <c r="F125" i="31" l="1"/>
  <c r="C125" i="31"/>
  <c r="F201" i="31"/>
  <c r="C201" i="31"/>
  <c r="F106" i="31"/>
  <c r="C106" i="31"/>
  <c r="F108" i="31"/>
  <c r="C108" i="31"/>
  <c r="N28" i="23"/>
  <c r="Q12" i="23"/>
  <c r="F10" i="31"/>
  <c r="C10" i="31"/>
  <c r="F13" i="31"/>
  <c r="C13" i="31"/>
  <c r="N18" i="33"/>
  <c r="J4" i="33"/>
  <c r="E4" i="33"/>
  <c r="C107" i="31"/>
  <c r="F226" i="31"/>
  <c r="C226" i="31"/>
  <c r="F278" i="31"/>
  <c r="C278" i="31"/>
  <c r="F160" i="31"/>
  <c r="C160" i="31"/>
  <c r="F204" i="31"/>
  <c r="C204" i="31"/>
  <c r="F157" i="31"/>
  <c r="C157" i="31"/>
  <c r="F138" i="31"/>
  <c r="C138" i="31"/>
  <c r="N25" i="28"/>
  <c r="J34" i="28"/>
  <c r="E34" i="28"/>
  <c r="L13" i="34"/>
  <c r="F132" i="31"/>
  <c r="C132" i="31"/>
  <c r="N28" i="29"/>
  <c r="Q5" i="29"/>
  <c r="F69" i="31"/>
  <c r="C69" i="31"/>
  <c r="F175" i="31"/>
  <c r="C175" i="31"/>
  <c r="F142" i="31"/>
  <c r="C142" i="31"/>
  <c r="F144" i="31"/>
  <c r="C144" i="31"/>
  <c r="F217" i="31"/>
  <c r="C217" i="31"/>
  <c r="F114" i="31"/>
  <c r="C114" i="31"/>
  <c r="F102" i="31"/>
  <c r="C102" i="31"/>
  <c r="N20" i="24"/>
  <c r="F186" i="31"/>
  <c r="C186" i="31"/>
  <c r="F126" i="31"/>
  <c r="C126" i="31"/>
  <c r="F105" i="31"/>
  <c r="C105" i="31"/>
  <c r="N24" i="8"/>
  <c r="F178" i="31"/>
  <c r="C178" i="31"/>
  <c r="F34" i="31"/>
  <c r="C34" i="31"/>
  <c r="F103" i="31"/>
  <c r="C103" i="31"/>
  <c r="F257" i="31"/>
  <c r="C257" i="31"/>
  <c r="F191" i="31"/>
  <c r="C191" i="31"/>
  <c r="F119" i="31"/>
  <c r="C119" i="31"/>
  <c r="F58" i="31"/>
  <c r="C58" i="31"/>
  <c r="J43" i="8"/>
  <c r="E43" i="8"/>
  <c r="N25" i="6"/>
  <c r="C31" i="31"/>
  <c r="F31" i="31"/>
  <c r="F74" i="31"/>
  <c r="C74" i="31"/>
  <c r="F128" i="31"/>
  <c r="C128" i="31"/>
  <c r="F95" i="31"/>
  <c r="C95" i="31"/>
  <c r="F269" i="31"/>
  <c r="C269" i="31"/>
  <c r="F141" i="31"/>
  <c r="C141" i="31"/>
  <c r="N26" i="26"/>
  <c r="N25" i="26"/>
  <c r="N22" i="26"/>
  <c r="F250" i="31"/>
  <c r="C250" i="31"/>
  <c r="F190" i="31"/>
  <c r="C190" i="31"/>
  <c r="F224" i="31"/>
  <c r="C224" i="31"/>
  <c r="F25" i="31"/>
  <c r="C25" i="31"/>
  <c r="C63" i="31"/>
  <c r="F63" i="31"/>
  <c r="F57" i="31"/>
  <c r="C57" i="31"/>
  <c r="F62" i="31"/>
  <c r="C62" i="31"/>
  <c r="N20" i="21"/>
  <c r="N16" i="16"/>
  <c r="Q4" i="16"/>
  <c r="F20" i="31"/>
  <c r="C20" i="31"/>
  <c r="F40" i="31"/>
  <c r="C40" i="31"/>
  <c r="F183" i="31"/>
  <c r="C183" i="31"/>
  <c r="F88" i="31"/>
  <c r="C88" i="31"/>
  <c r="F33" i="31"/>
  <c r="C33" i="31"/>
  <c r="N26" i="25" l="1"/>
  <c r="N24" i="25"/>
  <c r="F61" i="31"/>
  <c r="C61" i="31"/>
  <c r="F277" i="31"/>
  <c r="C277" i="31"/>
  <c r="F246" i="31"/>
  <c r="C246" i="31"/>
  <c r="F236" i="31"/>
  <c r="C236" i="31"/>
  <c r="F124" i="31"/>
  <c r="C124" i="31"/>
  <c r="F49" i="31"/>
  <c r="C49" i="31"/>
  <c r="F98" i="31"/>
  <c r="C98" i="31"/>
  <c r="F159" i="31"/>
  <c r="C159" i="31"/>
  <c r="F8" i="31"/>
  <c r="C8" i="31"/>
  <c r="J38" i="25"/>
  <c r="E38" i="25"/>
  <c r="N25" i="27" l="1"/>
  <c r="F101" i="31"/>
  <c r="C101" i="31"/>
  <c r="F115" i="31"/>
  <c r="C115" i="31"/>
  <c r="N32" i="4" l="1"/>
  <c r="N31" i="4"/>
  <c r="N29" i="4"/>
  <c r="F167" i="31"/>
  <c r="C167" i="31"/>
  <c r="F233" i="31"/>
  <c r="C233" i="31"/>
  <c r="F55" i="31"/>
  <c r="C55" i="31"/>
  <c r="F70" i="31"/>
  <c r="C70" i="31"/>
  <c r="F28" i="31"/>
  <c r="C28" i="31"/>
  <c r="F122" i="31"/>
  <c r="C122" i="31"/>
  <c r="N25" i="33" l="1"/>
  <c r="E10" i="33" l="1"/>
  <c r="J10" i="33"/>
  <c r="E11" i="33"/>
  <c r="J11" i="33"/>
  <c r="N13" i="33"/>
  <c r="N5" i="33"/>
  <c r="E23" i="33"/>
  <c r="J23" i="33"/>
  <c r="E24" i="33"/>
  <c r="J24" i="33"/>
  <c r="E25" i="33"/>
  <c r="J25" i="33"/>
  <c r="E26" i="33"/>
  <c r="J26" i="33"/>
  <c r="E7" i="33"/>
  <c r="J7" i="33"/>
  <c r="E8" i="33"/>
  <c r="J8" i="33"/>
  <c r="N12" i="33"/>
  <c r="Q17" i="32"/>
  <c r="Q16" i="32"/>
  <c r="N18" i="32"/>
  <c r="N17" i="32"/>
  <c r="F7" i="31" l="1"/>
  <c r="N4" i="24" l="1"/>
  <c r="Q5" i="24"/>
  <c r="N6" i="33" l="1"/>
  <c r="E21" i="33"/>
  <c r="J21" i="33"/>
  <c r="E22" i="33"/>
  <c r="J22" i="33"/>
  <c r="L6" i="34"/>
  <c r="L5" i="34"/>
  <c r="H28" i="34"/>
  <c r="D28" i="34"/>
  <c r="H27" i="34"/>
  <c r="D27" i="34"/>
  <c r="H26" i="34"/>
  <c r="D26" i="34"/>
  <c r="H25" i="34"/>
  <c r="D25" i="34"/>
  <c r="H24" i="34"/>
  <c r="D24" i="34"/>
  <c r="H23" i="34"/>
  <c r="D23" i="34"/>
  <c r="H22" i="34"/>
  <c r="D22" i="34"/>
  <c r="H21" i="34"/>
  <c r="D21" i="34"/>
  <c r="Q4" i="33"/>
  <c r="N4" i="33"/>
  <c r="J13" i="4"/>
  <c r="E13" i="4"/>
  <c r="J44" i="4"/>
  <c r="E44" i="4"/>
  <c r="J27" i="8"/>
  <c r="E27" i="8"/>
  <c r="J24" i="26" l="1"/>
  <c r="E24" i="26"/>
  <c r="J36" i="26"/>
  <c r="E36" i="26"/>
  <c r="J20" i="24"/>
  <c r="E20" i="24"/>
  <c r="F75" i="22"/>
  <c r="C69" i="22"/>
  <c r="J8" i="21"/>
  <c r="E8" i="21"/>
  <c r="J7" i="25"/>
  <c r="E7" i="25"/>
  <c r="L4" i="34" l="1"/>
  <c r="J25" i="26" l="1"/>
  <c r="E25" i="26"/>
  <c r="N6" i="28" l="1"/>
  <c r="Q6" i="28"/>
  <c r="J39" i="26"/>
  <c r="E39" i="26"/>
  <c r="J9" i="26"/>
  <c r="E9" i="26"/>
  <c r="N22" i="29" l="1"/>
  <c r="N9" i="29"/>
  <c r="N18" i="23"/>
  <c r="J9" i="23"/>
  <c r="E9" i="23"/>
  <c r="J35" i="23"/>
  <c r="E35" i="23"/>
  <c r="J24" i="32"/>
  <c r="E24" i="32"/>
  <c r="J18" i="32"/>
  <c r="E18" i="32"/>
  <c r="J4" i="32"/>
  <c r="E4" i="32"/>
  <c r="J7" i="32"/>
  <c r="E7" i="32"/>
  <c r="N23" i="32"/>
  <c r="N4" i="32"/>
  <c r="N24" i="32"/>
  <c r="G28" i="32"/>
  <c r="B28" i="32"/>
  <c r="J27" i="32"/>
  <c r="J26" i="32"/>
  <c r="J25" i="32"/>
  <c r="J23" i="32"/>
  <c r="J22" i="32"/>
  <c r="J21" i="32"/>
  <c r="J20" i="32"/>
  <c r="J19" i="32"/>
  <c r="J17" i="32"/>
  <c r="J16" i="32"/>
  <c r="J15" i="32"/>
  <c r="J14" i="32"/>
  <c r="J13" i="32"/>
  <c r="J12" i="32"/>
  <c r="J11" i="32"/>
  <c r="J10" i="32"/>
  <c r="J9" i="32"/>
  <c r="J8" i="32"/>
  <c r="J6" i="32"/>
  <c r="J5" i="32"/>
  <c r="J3" i="32"/>
  <c r="E27" i="32"/>
  <c r="E26" i="32"/>
  <c r="E25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E10" i="32"/>
  <c r="E9" i="32"/>
  <c r="E8" i="32"/>
  <c r="E6" i="32"/>
  <c r="E5" i="32"/>
  <c r="E3" i="32"/>
  <c r="I28" i="32"/>
  <c r="H28" i="32"/>
  <c r="D28" i="32"/>
  <c r="C28" i="32"/>
  <c r="N5" i="32"/>
  <c r="H29" i="34"/>
  <c r="D29" i="34"/>
  <c r="H20" i="34"/>
  <c r="D20" i="34"/>
  <c r="L7" i="34"/>
  <c r="G31" i="34"/>
  <c r="F31" i="34"/>
  <c r="C31" i="34"/>
  <c r="B31" i="34"/>
  <c r="H30" i="34"/>
  <c r="D30" i="34"/>
  <c r="H19" i="34"/>
  <c r="D19" i="34"/>
  <c r="H18" i="34"/>
  <c r="D18" i="34"/>
  <c r="H17" i="34"/>
  <c r="D17" i="34"/>
  <c r="H16" i="34"/>
  <c r="D16" i="34"/>
  <c r="H15" i="34"/>
  <c r="D15" i="34"/>
  <c r="H14" i="34"/>
  <c r="D14" i="34"/>
  <c r="H13" i="34"/>
  <c r="D13" i="34"/>
  <c r="H12" i="34"/>
  <c r="D12" i="34"/>
  <c r="H11" i="34"/>
  <c r="D11" i="34"/>
  <c r="H10" i="34"/>
  <c r="D10" i="34"/>
  <c r="H9" i="34"/>
  <c r="D9" i="34"/>
  <c r="H8" i="34"/>
  <c r="D8" i="34"/>
  <c r="H7" i="34"/>
  <c r="D7" i="34"/>
  <c r="H6" i="34"/>
  <c r="D6" i="34"/>
  <c r="H5" i="34"/>
  <c r="D5" i="34"/>
  <c r="H4" i="34"/>
  <c r="D4" i="34"/>
  <c r="H3" i="34"/>
  <c r="D3" i="34"/>
  <c r="N21" i="29"/>
  <c r="N23" i="29"/>
  <c r="N17" i="29"/>
  <c r="N11" i="29"/>
  <c r="N8" i="29"/>
  <c r="N5" i="29"/>
  <c r="J29" i="29"/>
  <c r="E29" i="29"/>
  <c r="J43" i="29"/>
  <c r="E43" i="29"/>
  <c r="E4" i="29"/>
  <c r="J4" i="29"/>
  <c r="N20" i="23"/>
  <c r="N17" i="23"/>
  <c r="Q18" i="23"/>
  <c r="J27" i="24"/>
  <c r="E27" i="24"/>
  <c r="E28" i="32" l="1"/>
  <c r="J28" i="32"/>
  <c r="D31" i="34"/>
  <c r="H31" i="34"/>
  <c r="F91" i="30"/>
  <c r="C90" i="30"/>
  <c r="J45" i="28"/>
  <c r="E45" i="28"/>
  <c r="F92" i="30"/>
  <c r="C92" i="30"/>
  <c r="J46" i="28"/>
  <c r="E46" i="28"/>
  <c r="I47" i="28"/>
  <c r="H47" i="28"/>
  <c r="G47" i="28"/>
  <c r="D47" i="28"/>
  <c r="C47" i="28"/>
  <c r="B47" i="28"/>
  <c r="F76" i="30" l="1"/>
  <c r="C74" i="30"/>
  <c r="F67" i="30"/>
  <c r="C65" i="30"/>
  <c r="F34" i="30"/>
  <c r="C31" i="30"/>
  <c r="J4" i="25"/>
  <c r="E4" i="25"/>
  <c r="F8" i="30" l="1"/>
  <c r="C7" i="30"/>
  <c r="F38" i="30"/>
  <c r="C35" i="30"/>
  <c r="F27" i="30"/>
  <c r="C24" i="30"/>
  <c r="F77" i="30"/>
  <c r="C75" i="30"/>
  <c r="J37" i="26"/>
  <c r="E37" i="26"/>
  <c r="N14" i="24"/>
  <c r="T15" i="24"/>
  <c r="Q15" i="24"/>
  <c r="N15" i="24"/>
  <c r="Q14" i="24"/>
  <c r="N7" i="24"/>
  <c r="N5" i="24"/>
  <c r="J28" i="24"/>
  <c r="E28" i="24"/>
  <c r="J14" i="24"/>
  <c r="E14" i="24"/>
  <c r="AF9" i="28"/>
  <c r="AF8" i="28"/>
  <c r="AF6" i="28"/>
  <c r="AF5" i="28"/>
  <c r="F80" i="30"/>
  <c r="C78" i="30"/>
  <c r="J36" i="28"/>
  <c r="E36" i="28"/>
  <c r="F56" i="30"/>
  <c r="C54" i="30"/>
  <c r="F64" i="30"/>
  <c r="C62" i="30"/>
  <c r="AF4" i="26"/>
  <c r="F75" i="30"/>
  <c r="F66" i="30"/>
  <c r="F68" i="30"/>
  <c r="C73" i="30"/>
  <c r="C64" i="30"/>
  <c r="C66" i="30"/>
  <c r="F93" i="30"/>
  <c r="C93" i="30"/>
  <c r="F54" i="30"/>
  <c r="C52" i="30"/>
  <c r="AF9" i="25"/>
  <c r="AF6" i="25"/>
  <c r="AF4" i="25"/>
  <c r="U8" i="24"/>
  <c r="U5" i="24"/>
  <c r="X8" i="24"/>
  <c r="X5" i="24"/>
  <c r="AC9" i="24"/>
  <c r="AC8" i="24"/>
  <c r="AC5" i="24"/>
  <c r="AF9" i="27"/>
  <c r="AF8" i="27"/>
  <c r="AF7" i="27"/>
  <c r="AF5" i="27"/>
  <c r="J35" i="27"/>
  <c r="E35" i="27"/>
  <c r="J20" i="21"/>
  <c r="E20" i="21"/>
  <c r="F37" i="22"/>
  <c r="C32" i="22"/>
  <c r="F114" i="22"/>
  <c r="C110" i="22"/>
  <c r="J23" i="16"/>
  <c r="E23" i="16"/>
  <c r="J17" i="33"/>
  <c r="E17" i="33"/>
  <c r="I31" i="33" l="1"/>
  <c r="H31" i="33"/>
  <c r="G31" i="33"/>
  <c r="D31" i="33"/>
  <c r="C31" i="33"/>
  <c r="B31" i="33"/>
  <c r="J30" i="33"/>
  <c r="E30" i="33"/>
  <c r="J29" i="33"/>
  <c r="E29" i="33"/>
  <c r="J28" i="33"/>
  <c r="E28" i="33"/>
  <c r="J20" i="33"/>
  <c r="E20" i="33"/>
  <c r="J19" i="33"/>
  <c r="E19" i="33"/>
  <c r="J18" i="33"/>
  <c r="E18" i="33"/>
  <c r="J16" i="33"/>
  <c r="E16" i="33"/>
  <c r="J15" i="33"/>
  <c r="E15" i="33"/>
  <c r="J14" i="33"/>
  <c r="E14" i="33"/>
  <c r="J13" i="33"/>
  <c r="E13" i="33"/>
  <c r="J12" i="33"/>
  <c r="E12" i="33"/>
  <c r="J9" i="33"/>
  <c r="E9" i="33"/>
  <c r="J6" i="33"/>
  <c r="E6" i="33"/>
  <c r="J5" i="33"/>
  <c r="E5" i="33"/>
  <c r="J3" i="33"/>
  <c r="E3" i="33"/>
  <c r="Q23" i="29"/>
  <c r="Q16" i="29"/>
  <c r="X11" i="29"/>
  <c r="X7" i="29"/>
  <c r="X4" i="29"/>
  <c r="AC7" i="29"/>
  <c r="AC6" i="29"/>
  <c r="F65" i="22"/>
  <c r="C59" i="22"/>
  <c r="F96" i="22"/>
  <c r="C91" i="22"/>
  <c r="F67" i="22"/>
  <c r="C61" i="22"/>
  <c r="C134" i="22"/>
  <c r="F134" i="22"/>
  <c r="F143" i="22"/>
  <c r="C143" i="22"/>
  <c r="F70" i="22"/>
  <c r="C64" i="22"/>
  <c r="J13" i="6"/>
  <c r="E13" i="6"/>
  <c r="E31" i="33" l="1"/>
  <c r="J31" i="33"/>
  <c r="F113" i="22" l="1"/>
  <c r="C109" i="22"/>
  <c r="F91" i="22"/>
  <c r="C85" i="22"/>
  <c r="F31" i="22"/>
  <c r="C25" i="22"/>
  <c r="J17" i="4"/>
  <c r="E17" i="4"/>
  <c r="F139" i="22"/>
  <c r="C139" i="22"/>
  <c r="E45" i="8"/>
  <c r="E44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F71" i="22" l="1"/>
  <c r="C65" i="22"/>
  <c r="F74" i="22"/>
  <c r="C68" i="22"/>
  <c r="J7" i="21"/>
  <c r="E7" i="21"/>
  <c r="E39" i="6"/>
  <c r="F124" i="22"/>
  <c r="C122" i="22"/>
  <c r="F60" i="22"/>
  <c r="C54" i="22"/>
  <c r="E7" i="8"/>
  <c r="F146" i="22"/>
  <c r="F34" i="22"/>
  <c r="C146" i="22"/>
  <c r="C29" i="22"/>
  <c r="F78" i="22"/>
  <c r="C72" i="22"/>
  <c r="F73" i="22"/>
  <c r="C67" i="22"/>
  <c r="F25" i="22"/>
  <c r="C19" i="22"/>
  <c r="F137" i="22"/>
  <c r="C137" i="22"/>
  <c r="F6" i="22"/>
  <c r="C4" i="22"/>
  <c r="F66" i="22"/>
  <c r="C60" i="22"/>
  <c r="J12" i="4"/>
  <c r="E12" i="4"/>
  <c r="F29" i="22"/>
  <c r="F132" i="22"/>
  <c r="C23" i="22"/>
  <c r="C132" i="22"/>
  <c r="F84" i="22"/>
  <c r="C78" i="22"/>
  <c r="F120" i="22"/>
  <c r="C118" i="22"/>
  <c r="F5" i="22"/>
  <c r="C10" i="22"/>
  <c r="F131" i="22" l="1"/>
  <c r="C131" i="22"/>
  <c r="F123" i="22"/>
  <c r="C121" i="22"/>
  <c r="F46" i="22"/>
  <c r="C42" i="22"/>
  <c r="F133" i="22"/>
  <c r="C133" i="22"/>
  <c r="AF11" i="9"/>
  <c r="AF10" i="9"/>
  <c r="J30" i="9"/>
  <c r="E30" i="9"/>
  <c r="AF11" i="4"/>
  <c r="AF9" i="4"/>
  <c r="AF8" i="4"/>
  <c r="AF7" i="4"/>
  <c r="AF5" i="4"/>
  <c r="F48" i="22"/>
  <c r="C44" i="22"/>
  <c r="J49" i="4"/>
  <c r="E49" i="4"/>
  <c r="F109" i="22"/>
  <c r="C105" i="22"/>
  <c r="F86" i="22"/>
  <c r="C80" i="22"/>
  <c r="F58" i="22"/>
  <c r="C51" i="22"/>
  <c r="F64" i="22"/>
  <c r="C58" i="22"/>
  <c r="AF7" i="21"/>
  <c r="AF4" i="21"/>
  <c r="F61" i="22"/>
  <c r="C55" i="22"/>
  <c r="AF5" i="16"/>
  <c r="AF4" i="16"/>
  <c r="AF7" i="6" l="1"/>
  <c r="AF5" i="6"/>
  <c r="AG9" i="8"/>
  <c r="AG8" i="8"/>
  <c r="AG5" i="8"/>
  <c r="AG4" i="8"/>
  <c r="J4" i="21"/>
  <c r="E4" i="21"/>
  <c r="J11" i="29"/>
  <c r="E11" i="29"/>
  <c r="J42" i="29"/>
  <c r="E42" i="29"/>
  <c r="N35" i="29"/>
  <c r="J39" i="29"/>
  <c r="E39" i="29"/>
  <c r="N37" i="29"/>
  <c r="J37" i="16"/>
  <c r="E37" i="16"/>
  <c r="F235" i="31"/>
  <c r="C235" i="31"/>
  <c r="F16" i="31"/>
  <c r="C16" i="31"/>
  <c r="F237" i="31"/>
  <c r="F173" i="31"/>
  <c r="F152" i="31"/>
  <c r="C152" i="31"/>
  <c r="F92" i="31"/>
  <c r="C92" i="31"/>
  <c r="F140" i="31"/>
  <c r="C140" i="31"/>
  <c r="F214" i="31"/>
  <c r="C214" i="31"/>
  <c r="F107" i="31"/>
  <c r="F263" i="31"/>
  <c r="C263" i="31"/>
  <c r="J18" i="28"/>
  <c r="E18" i="28"/>
  <c r="N27" i="24"/>
  <c r="N29" i="24"/>
  <c r="N28" i="24"/>
  <c r="Q29" i="24"/>
  <c r="F91" i="31"/>
  <c r="C91" i="31"/>
  <c r="F259" i="31"/>
  <c r="C259" i="31"/>
  <c r="F230" i="31"/>
  <c r="F212" i="31"/>
  <c r="J24" i="8"/>
  <c r="J9" i="8"/>
  <c r="H46" i="8"/>
  <c r="C46" i="8"/>
  <c r="D41" i="23"/>
  <c r="I41" i="23"/>
  <c r="J40" i="23"/>
  <c r="J39" i="23"/>
  <c r="J38" i="23"/>
  <c r="J37" i="23"/>
  <c r="J36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8" i="23"/>
  <c r="J7" i="23"/>
  <c r="J6" i="23"/>
  <c r="J5" i="23"/>
  <c r="J4" i="23"/>
  <c r="J3" i="23"/>
  <c r="E40" i="23"/>
  <c r="E39" i="23"/>
  <c r="E38" i="23"/>
  <c r="E37" i="23"/>
  <c r="E36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8" i="23"/>
  <c r="E7" i="23"/>
  <c r="E6" i="23"/>
  <c r="E5" i="23"/>
  <c r="E4" i="23"/>
  <c r="E3" i="23"/>
  <c r="F19" i="31"/>
  <c r="C19" i="31"/>
  <c r="C7" i="31"/>
  <c r="J30" i="26"/>
  <c r="E30" i="26"/>
  <c r="J19" i="26"/>
  <c r="E19" i="26"/>
  <c r="J25" i="25"/>
  <c r="E25" i="25"/>
  <c r="Q34" i="25"/>
  <c r="Q31" i="25"/>
  <c r="T33" i="25"/>
  <c r="T32" i="25"/>
  <c r="F99" i="31" l="1"/>
  <c r="C99" i="31"/>
  <c r="F280" i="31"/>
  <c r="C280" i="31"/>
  <c r="F32" i="31"/>
  <c r="C32" i="31"/>
  <c r="F247" i="31"/>
  <c r="C247" i="31"/>
  <c r="F275" i="31"/>
  <c r="C275" i="31"/>
  <c r="J51" i="4"/>
  <c r="E51" i="4"/>
  <c r="F149" i="31"/>
  <c r="C149" i="31"/>
  <c r="F14" i="31"/>
  <c r="F129" i="31"/>
  <c r="C129" i="31"/>
  <c r="F36" i="31"/>
  <c r="C36" i="31"/>
  <c r="J23" i="25"/>
  <c r="E23" i="25"/>
  <c r="J12" i="25"/>
  <c r="E12" i="25"/>
  <c r="I45" i="21"/>
  <c r="J44" i="21"/>
  <c r="H45" i="21"/>
  <c r="G45" i="21"/>
  <c r="D45" i="21"/>
  <c r="E44" i="21"/>
  <c r="C45" i="21"/>
  <c r="B45" i="21"/>
  <c r="J34" i="21"/>
  <c r="E34" i="21"/>
  <c r="J33" i="16" l="1"/>
  <c r="E33" i="16"/>
  <c r="J19" i="24"/>
  <c r="E19" i="24"/>
  <c r="J46" i="6" l="1"/>
  <c r="E46" i="6"/>
  <c r="J27" i="21"/>
  <c r="E27" i="21"/>
  <c r="J28" i="28" l="1"/>
  <c r="E28" i="28"/>
  <c r="T14" i="24" l="1"/>
  <c r="C77" i="30" l="1"/>
  <c r="F70" i="30"/>
  <c r="C68" i="30"/>
  <c r="C46" i="30"/>
  <c r="C30" i="30"/>
  <c r="C59" i="30"/>
  <c r="F90" i="30"/>
  <c r="C89" i="30"/>
  <c r="F9" i="30"/>
  <c r="C8" i="30"/>
  <c r="F78" i="30"/>
  <c r="C76" i="30"/>
  <c r="F71" i="30"/>
  <c r="C69" i="30"/>
  <c r="J44" i="28"/>
  <c r="E44" i="28"/>
  <c r="F86" i="30"/>
  <c r="C84" i="30"/>
  <c r="F49" i="30"/>
  <c r="C47" i="30"/>
  <c r="F20" i="30"/>
  <c r="C17" i="30"/>
  <c r="N4" i="29" l="1"/>
  <c r="F85" i="30"/>
  <c r="C83" i="30"/>
  <c r="F62" i="30"/>
  <c r="C60" i="30"/>
  <c r="F36" i="30"/>
  <c r="C33" i="30"/>
  <c r="F15" i="30"/>
  <c r="C12" i="30"/>
  <c r="F69" i="30" l="1"/>
  <c r="C67" i="30"/>
  <c r="F65" i="30"/>
  <c r="C63" i="30"/>
  <c r="F74" i="30"/>
  <c r="C72" i="30"/>
  <c r="F58" i="30"/>
  <c r="C56" i="30"/>
  <c r="J21" i="28"/>
  <c r="E21" i="28"/>
  <c r="J33" i="28"/>
  <c r="E33" i="28"/>
  <c r="F25" i="30" l="1"/>
  <c r="C23" i="30"/>
  <c r="F87" i="30"/>
  <c r="C85" i="30"/>
  <c r="F89" i="30"/>
  <c r="C87" i="30"/>
  <c r="F16" i="30"/>
  <c r="C13" i="30"/>
  <c r="J17" i="28"/>
  <c r="E17" i="28"/>
  <c r="T23" i="29"/>
  <c r="T20" i="29"/>
  <c r="T16" i="29"/>
  <c r="F46" i="30"/>
  <c r="C44" i="30"/>
  <c r="F17" i="30"/>
  <c r="C14" i="30"/>
  <c r="F73" i="30"/>
  <c r="C71" i="30"/>
  <c r="F22" i="30"/>
  <c r="C20" i="30"/>
  <c r="F112" i="22"/>
  <c r="C108" i="22"/>
  <c r="J39" i="6"/>
  <c r="F140" i="22"/>
  <c r="C140" i="22"/>
  <c r="F41" i="22"/>
  <c r="C36" i="22"/>
  <c r="F94" i="22"/>
  <c r="C89" i="22"/>
  <c r="J24" i="9"/>
  <c r="E24" i="9"/>
  <c r="F138" i="22"/>
  <c r="C138" i="22"/>
  <c r="J34" i="9"/>
  <c r="E34" i="9"/>
  <c r="K6" i="30" l="1"/>
  <c r="F128" i="22" l="1"/>
  <c r="C126" i="22"/>
  <c r="F126" i="22"/>
  <c r="C124" i="22"/>
  <c r="F121" i="22"/>
  <c r="C119" i="22"/>
  <c r="F145" i="22"/>
  <c r="F117" i="22"/>
  <c r="C113" i="22"/>
  <c r="F33" i="22"/>
  <c r="C28" i="22"/>
  <c r="F95" i="22"/>
  <c r="C90" i="22"/>
  <c r="F26" i="22" l="1"/>
  <c r="C20" i="22"/>
  <c r="F135" i="22"/>
  <c r="C135" i="22"/>
  <c r="F82" i="22" l="1"/>
  <c r="C76" i="22"/>
  <c r="J21" i="4"/>
  <c r="E21" i="4"/>
  <c r="F102" i="22"/>
  <c r="C98" i="22"/>
  <c r="F35" i="22"/>
  <c r="C30" i="22"/>
  <c r="F101" i="22"/>
  <c r="C97" i="22"/>
  <c r="F15" i="22"/>
  <c r="C26" i="22"/>
  <c r="F104" i="22"/>
  <c r="C100" i="22"/>
  <c r="F108" i="22"/>
  <c r="C104" i="22"/>
  <c r="F80" i="22"/>
  <c r="C74" i="22"/>
  <c r="F23" i="22"/>
  <c r="C17" i="22"/>
  <c r="F77" i="22"/>
  <c r="C71" i="22"/>
  <c r="J16" i="21"/>
  <c r="E16" i="21"/>
  <c r="F100" i="22"/>
  <c r="C96" i="22"/>
  <c r="F9" i="22"/>
  <c r="C7" i="22"/>
  <c r="F36" i="22"/>
  <c r="C31" i="22"/>
  <c r="F12" i="22"/>
  <c r="C8" i="22"/>
  <c r="F19" i="22"/>
  <c r="C13" i="22"/>
  <c r="F130" i="22" l="1"/>
  <c r="C129" i="22"/>
  <c r="F119" i="22"/>
  <c r="C115" i="22"/>
  <c r="F83" i="22"/>
  <c r="C77" i="22"/>
  <c r="F47" i="22"/>
  <c r="C43" i="22"/>
  <c r="F125" i="22"/>
  <c r="C123" i="22"/>
  <c r="F72" i="22"/>
  <c r="C66" i="22"/>
  <c r="F103" i="22"/>
  <c r="C99" i="22"/>
  <c r="F56" i="22"/>
  <c r="C49" i="22"/>
  <c r="F54" i="22"/>
  <c r="C47" i="22"/>
  <c r="F79" i="22"/>
  <c r="F51" i="22"/>
  <c r="C87" i="22"/>
  <c r="F92" i="22"/>
  <c r="C86" i="22"/>
  <c r="F118" i="22"/>
  <c r="C114" i="22"/>
  <c r="F55" i="22"/>
  <c r="C48" i="22"/>
  <c r="F7" i="22"/>
  <c r="C5" i="22"/>
  <c r="I48" i="6"/>
  <c r="H48" i="6"/>
  <c r="G48" i="6"/>
  <c r="J3" i="6"/>
  <c r="E3" i="6"/>
  <c r="F111" i="22" l="1"/>
  <c r="C107" i="22"/>
  <c r="F4" i="22"/>
  <c r="C93" i="22"/>
  <c r="F147" i="22"/>
  <c r="C147" i="22"/>
  <c r="F127" i="22"/>
  <c r="C125" i="22"/>
  <c r="F69" i="22"/>
  <c r="C63" i="22"/>
  <c r="F14" i="22"/>
  <c r="C130" i="22"/>
  <c r="F43" i="22"/>
  <c r="F8" i="22"/>
  <c r="C6" i="22"/>
  <c r="F62" i="22"/>
  <c r="C56" i="22"/>
  <c r="F53" i="22"/>
  <c r="C46" i="22"/>
  <c r="F50" i="22" l="1"/>
  <c r="C53" i="22"/>
  <c r="F68" i="22"/>
  <c r="C62" i="22"/>
  <c r="F28" i="22"/>
  <c r="C22" i="22"/>
  <c r="F39" i="22"/>
  <c r="C33" i="22"/>
  <c r="F11" i="22"/>
  <c r="C116" i="22"/>
  <c r="F93" i="22"/>
  <c r="C88" i="22"/>
  <c r="J47" i="6"/>
  <c r="J45" i="6"/>
  <c r="J44" i="6"/>
  <c r="J43" i="6"/>
  <c r="J42" i="6"/>
  <c r="J41" i="6"/>
  <c r="J40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12" i="6"/>
  <c r="J11" i="6"/>
  <c r="J10" i="6"/>
  <c r="J9" i="6"/>
  <c r="J8" i="6"/>
  <c r="J7" i="6"/>
  <c r="J6" i="6"/>
  <c r="J5" i="6"/>
  <c r="J7" i="22"/>
  <c r="I7" i="22"/>
  <c r="K7" i="22" l="1"/>
  <c r="F88" i="22"/>
  <c r="C82" i="22"/>
  <c r="F10" i="22"/>
  <c r="C117" i="22"/>
  <c r="F76" i="22"/>
  <c r="C70" i="22"/>
  <c r="F49" i="22"/>
  <c r="C45" i="22"/>
  <c r="C12" i="22" l="1"/>
  <c r="F18" i="22"/>
  <c r="F52" i="22"/>
  <c r="C127" i="22"/>
  <c r="F129" i="22"/>
  <c r="C128" i="22"/>
  <c r="F116" i="22"/>
  <c r="C112" i="22"/>
  <c r="F30" i="22"/>
  <c r="C24" i="22"/>
  <c r="F32" i="22"/>
  <c r="C27" i="22"/>
  <c r="E41" i="25"/>
  <c r="E40" i="25"/>
  <c r="E39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4" i="25"/>
  <c r="E22" i="25"/>
  <c r="E21" i="25"/>
  <c r="E20" i="25"/>
  <c r="E19" i="25"/>
  <c r="E17" i="25"/>
  <c r="E16" i="25"/>
  <c r="E15" i="25"/>
  <c r="E14" i="25"/>
  <c r="E13" i="25"/>
  <c r="E11" i="25"/>
  <c r="E10" i="25"/>
  <c r="E9" i="25"/>
  <c r="E8" i="25"/>
  <c r="E6" i="25"/>
  <c r="E3" i="25"/>
  <c r="J26" i="9"/>
  <c r="E26" i="9"/>
  <c r="H44" i="27" l="1"/>
  <c r="C44" i="27"/>
  <c r="H44" i="16"/>
  <c r="C44" i="16"/>
  <c r="J13" i="29"/>
  <c r="E13" i="29"/>
  <c r="H46" i="29"/>
  <c r="C46" i="29"/>
  <c r="N8" i="24" l="1"/>
  <c r="H44" i="24"/>
  <c r="C44" i="24"/>
  <c r="H39" i="9"/>
  <c r="C39" i="9"/>
  <c r="C14" i="31"/>
  <c r="J6" i="4"/>
  <c r="E6" i="4"/>
  <c r="J14" i="28"/>
  <c r="E14" i="28"/>
  <c r="H44" i="26" l="1"/>
  <c r="C44" i="26"/>
  <c r="H42" i="25"/>
  <c r="C42" i="25"/>
  <c r="H53" i="4"/>
  <c r="C53" i="4"/>
  <c r="J18" i="16"/>
  <c r="E18" i="16"/>
  <c r="J36" i="27"/>
  <c r="E36" i="27"/>
  <c r="J28" i="4"/>
  <c r="E28" i="4"/>
  <c r="F284" i="31" l="1"/>
  <c r="C284" i="31"/>
  <c r="J5" i="4"/>
  <c r="E5" i="4"/>
  <c r="J8" i="29"/>
  <c r="E8" i="29"/>
  <c r="J13" i="24" l="1"/>
  <c r="E13" i="24"/>
  <c r="J43" i="21"/>
  <c r="E43" i="21"/>
  <c r="J42" i="21"/>
  <c r="E42" i="21"/>
  <c r="J41" i="21"/>
  <c r="E41" i="21"/>
  <c r="J40" i="21"/>
  <c r="E40" i="21"/>
  <c r="J39" i="21"/>
  <c r="E39" i="21"/>
  <c r="J38" i="21"/>
  <c r="E38" i="21"/>
  <c r="J37" i="21"/>
  <c r="E37" i="21"/>
  <c r="J36" i="21"/>
  <c r="E36" i="21"/>
  <c r="J35" i="21"/>
  <c r="E35" i="21"/>
  <c r="J33" i="21"/>
  <c r="E33" i="21"/>
  <c r="J32" i="21"/>
  <c r="E32" i="21"/>
  <c r="J31" i="21"/>
  <c r="E31" i="21"/>
  <c r="J30" i="21"/>
  <c r="E30" i="21"/>
  <c r="J29" i="21"/>
  <c r="E29" i="21"/>
  <c r="J28" i="21"/>
  <c r="E28" i="21"/>
  <c r="J26" i="21"/>
  <c r="E26" i="21"/>
  <c r="J25" i="21"/>
  <c r="E25" i="21"/>
  <c r="J24" i="21"/>
  <c r="E24" i="21"/>
  <c r="J23" i="21"/>
  <c r="E23" i="21"/>
  <c r="J22" i="21"/>
  <c r="E22" i="21"/>
  <c r="J21" i="21"/>
  <c r="E21" i="21"/>
  <c r="J19" i="21"/>
  <c r="E19" i="21"/>
  <c r="J18" i="21"/>
  <c r="E18" i="21"/>
  <c r="J17" i="21"/>
  <c r="E17" i="21"/>
  <c r="J15" i="21"/>
  <c r="E15" i="21"/>
  <c r="J14" i="21"/>
  <c r="E14" i="21"/>
  <c r="J13" i="21"/>
  <c r="E13" i="21"/>
  <c r="J12" i="21"/>
  <c r="E12" i="21"/>
  <c r="J11" i="21"/>
  <c r="E11" i="21"/>
  <c r="J10" i="21"/>
  <c r="E10" i="21"/>
  <c r="J9" i="21"/>
  <c r="E9" i="21"/>
  <c r="J6" i="21"/>
  <c r="E6" i="21"/>
  <c r="J5" i="21"/>
  <c r="E5" i="21"/>
  <c r="J3" i="21"/>
  <c r="E3" i="21"/>
  <c r="I44" i="27"/>
  <c r="G44" i="27"/>
  <c r="D44" i="27"/>
  <c r="B44" i="27"/>
  <c r="J43" i="27"/>
  <c r="E43" i="27"/>
  <c r="J42" i="27"/>
  <c r="E42" i="27"/>
  <c r="J41" i="27"/>
  <c r="E41" i="27"/>
  <c r="J40" i="27"/>
  <c r="E40" i="27"/>
  <c r="J39" i="27"/>
  <c r="E39" i="27"/>
  <c r="J38" i="27"/>
  <c r="E38" i="27"/>
  <c r="J37" i="27"/>
  <c r="E37" i="27"/>
  <c r="J34" i="27"/>
  <c r="E34" i="27"/>
  <c r="J33" i="27"/>
  <c r="E33" i="27"/>
  <c r="J32" i="27"/>
  <c r="E32" i="27"/>
  <c r="J31" i="27"/>
  <c r="E31" i="27"/>
  <c r="J30" i="27"/>
  <c r="E30" i="27"/>
  <c r="J29" i="27"/>
  <c r="E29" i="27"/>
  <c r="J28" i="27"/>
  <c r="E28" i="27"/>
  <c r="J27" i="27"/>
  <c r="E27" i="27"/>
  <c r="J26" i="27"/>
  <c r="E26" i="27"/>
  <c r="J25" i="27"/>
  <c r="E25" i="27"/>
  <c r="J24" i="27"/>
  <c r="E24" i="27"/>
  <c r="J23" i="27"/>
  <c r="E23" i="27"/>
  <c r="J22" i="27"/>
  <c r="E22" i="27"/>
  <c r="J21" i="27"/>
  <c r="E21" i="27"/>
  <c r="J20" i="27"/>
  <c r="E20" i="27"/>
  <c r="J19" i="27"/>
  <c r="E19" i="27"/>
  <c r="J18" i="27"/>
  <c r="E18" i="27"/>
  <c r="J17" i="27"/>
  <c r="E17" i="27"/>
  <c r="J16" i="27"/>
  <c r="E16" i="27"/>
  <c r="J15" i="27"/>
  <c r="E15" i="27"/>
  <c r="J14" i="27"/>
  <c r="E14" i="27"/>
  <c r="J13" i="27"/>
  <c r="E13" i="27"/>
  <c r="J12" i="27"/>
  <c r="E12" i="27"/>
  <c r="J11" i="27"/>
  <c r="E11" i="27"/>
  <c r="J10" i="27"/>
  <c r="E10" i="27"/>
  <c r="J9" i="27"/>
  <c r="E9" i="27"/>
  <c r="J8" i="27"/>
  <c r="E8" i="27"/>
  <c r="J7" i="27"/>
  <c r="E7" i="27"/>
  <c r="J6" i="27"/>
  <c r="E6" i="27"/>
  <c r="J5" i="27"/>
  <c r="E5" i="27"/>
  <c r="J4" i="27"/>
  <c r="E4" i="27"/>
  <c r="J3" i="27"/>
  <c r="E3" i="27"/>
  <c r="I46" i="29"/>
  <c r="G46" i="29"/>
  <c r="D46" i="29"/>
  <c r="B46" i="29"/>
  <c r="J45" i="29"/>
  <c r="E45" i="29"/>
  <c r="J44" i="29"/>
  <c r="E44" i="29"/>
  <c r="J41" i="29"/>
  <c r="E41" i="29"/>
  <c r="J40" i="29"/>
  <c r="E40" i="29"/>
  <c r="J38" i="29"/>
  <c r="E38" i="29"/>
  <c r="J37" i="29"/>
  <c r="E37" i="29"/>
  <c r="J36" i="29"/>
  <c r="E36" i="29"/>
  <c r="J35" i="29"/>
  <c r="E35" i="29"/>
  <c r="J34" i="29"/>
  <c r="E34" i="29"/>
  <c r="J33" i="29"/>
  <c r="E33" i="29"/>
  <c r="J32" i="29"/>
  <c r="E32" i="29"/>
  <c r="J31" i="29"/>
  <c r="E31" i="29"/>
  <c r="J30" i="29"/>
  <c r="E30" i="29"/>
  <c r="J28" i="29"/>
  <c r="E28" i="29"/>
  <c r="J27" i="29"/>
  <c r="E27" i="29"/>
  <c r="J26" i="29"/>
  <c r="E26" i="29"/>
  <c r="J25" i="29"/>
  <c r="E25" i="29"/>
  <c r="J24" i="29"/>
  <c r="E24" i="29"/>
  <c r="J23" i="29"/>
  <c r="E23" i="29"/>
  <c r="J22" i="29"/>
  <c r="E22" i="29"/>
  <c r="J21" i="29"/>
  <c r="E21" i="29"/>
  <c r="W20" i="29"/>
  <c r="J20" i="29"/>
  <c r="E20" i="29"/>
  <c r="W19" i="29"/>
  <c r="J19" i="29"/>
  <c r="E19" i="29"/>
  <c r="W18" i="29"/>
  <c r="J18" i="29"/>
  <c r="E18" i="29"/>
  <c r="J17" i="29"/>
  <c r="E17" i="29"/>
  <c r="J16" i="29"/>
  <c r="E16" i="29"/>
  <c r="J15" i="29"/>
  <c r="E15" i="29"/>
  <c r="J14" i="29"/>
  <c r="E14" i="29"/>
  <c r="J12" i="29"/>
  <c r="E12" i="29"/>
  <c r="J10" i="29"/>
  <c r="E10" i="29"/>
  <c r="J9" i="29"/>
  <c r="E9" i="29"/>
  <c r="J7" i="29"/>
  <c r="E7" i="29"/>
  <c r="J6" i="29"/>
  <c r="E6" i="29"/>
  <c r="J5" i="29"/>
  <c r="E5" i="29"/>
  <c r="J3" i="29"/>
  <c r="E3" i="29"/>
  <c r="I44" i="16"/>
  <c r="G44" i="16"/>
  <c r="D44" i="16"/>
  <c r="B44" i="16"/>
  <c r="J43" i="16"/>
  <c r="E43" i="16"/>
  <c r="J42" i="16"/>
  <c r="E42" i="16"/>
  <c r="J41" i="16"/>
  <c r="E41" i="16"/>
  <c r="J40" i="16"/>
  <c r="E40" i="16"/>
  <c r="J39" i="16"/>
  <c r="E39" i="16"/>
  <c r="J38" i="16"/>
  <c r="E38" i="16"/>
  <c r="J36" i="16"/>
  <c r="E36" i="16"/>
  <c r="J35" i="16"/>
  <c r="E35" i="16"/>
  <c r="J34" i="16"/>
  <c r="E34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2" i="16"/>
  <c r="E22" i="16"/>
  <c r="J21" i="16"/>
  <c r="E21" i="16"/>
  <c r="J20" i="16"/>
  <c r="E20" i="16"/>
  <c r="J19" i="16"/>
  <c r="E19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E9" i="16"/>
  <c r="J8" i="16"/>
  <c r="E8" i="16"/>
  <c r="J7" i="16"/>
  <c r="E7" i="16"/>
  <c r="J6" i="16"/>
  <c r="E6" i="16"/>
  <c r="J5" i="16"/>
  <c r="E5" i="16"/>
  <c r="J4" i="16"/>
  <c r="E4" i="16"/>
  <c r="J3" i="16"/>
  <c r="E3" i="16"/>
  <c r="J43" i="28"/>
  <c r="E43" i="28"/>
  <c r="J42" i="28"/>
  <c r="E42" i="28"/>
  <c r="J40" i="28"/>
  <c r="E40" i="28"/>
  <c r="J39" i="28"/>
  <c r="E39" i="28"/>
  <c r="J38" i="28"/>
  <c r="E38" i="28"/>
  <c r="J37" i="28"/>
  <c r="E37" i="28"/>
  <c r="J35" i="28"/>
  <c r="E35" i="28"/>
  <c r="J32" i="28"/>
  <c r="E32" i="28"/>
  <c r="J31" i="28"/>
  <c r="E31" i="28"/>
  <c r="J30" i="28"/>
  <c r="E30" i="28"/>
  <c r="J29" i="28"/>
  <c r="E29" i="28"/>
  <c r="J27" i="28"/>
  <c r="E27" i="28"/>
  <c r="J26" i="28"/>
  <c r="E26" i="28"/>
  <c r="J25" i="28"/>
  <c r="E25" i="28"/>
  <c r="J24" i="28"/>
  <c r="E24" i="28"/>
  <c r="J23" i="28"/>
  <c r="E23" i="28"/>
  <c r="J22" i="28"/>
  <c r="E22" i="28"/>
  <c r="J20" i="28"/>
  <c r="E20" i="28"/>
  <c r="J19" i="28"/>
  <c r="E19" i="28"/>
  <c r="J16" i="28"/>
  <c r="E16" i="28"/>
  <c r="J13" i="28"/>
  <c r="E13" i="28"/>
  <c r="J12" i="28"/>
  <c r="E12" i="28"/>
  <c r="J11" i="28"/>
  <c r="E11" i="28"/>
  <c r="J10" i="28"/>
  <c r="E10" i="28"/>
  <c r="J9" i="28"/>
  <c r="E9" i="28"/>
  <c r="J8" i="28"/>
  <c r="E8" i="28"/>
  <c r="J7" i="28"/>
  <c r="E7" i="28"/>
  <c r="J6" i="28"/>
  <c r="E6" i="28"/>
  <c r="J5" i="28"/>
  <c r="E5" i="28"/>
  <c r="J4" i="28"/>
  <c r="E4" i="28"/>
  <c r="J3" i="28"/>
  <c r="E3" i="28"/>
  <c r="I44" i="24"/>
  <c r="G44" i="24"/>
  <c r="D44" i="24"/>
  <c r="B44" i="24"/>
  <c r="J43" i="24"/>
  <c r="E43" i="24"/>
  <c r="J42" i="24"/>
  <c r="E42" i="24"/>
  <c r="J41" i="24"/>
  <c r="E41" i="24"/>
  <c r="J40" i="24"/>
  <c r="E40" i="24"/>
  <c r="J39" i="24"/>
  <c r="E39" i="24"/>
  <c r="J38" i="24"/>
  <c r="E38" i="24"/>
  <c r="J37" i="24"/>
  <c r="E37" i="24"/>
  <c r="J36" i="24"/>
  <c r="E36" i="24"/>
  <c r="J35" i="24"/>
  <c r="E35" i="24"/>
  <c r="J34" i="24"/>
  <c r="E34" i="24"/>
  <c r="J33" i="24"/>
  <c r="E33" i="24"/>
  <c r="J32" i="24"/>
  <c r="E32" i="24"/>
  <c r="J31" i="24"/>
  <c r="E31" i="24"/>
  <c r="J30" i="24"/>
  <c r="E30" i="24"/>
  <c r="J29" i="24"/>
  <c r="E29" i="24"/>
  <c r="J25" i="24"/>
  <c r="E25" i="24"/>
  <c r="J24" i="24"/>
  <c r="E24" i="24"/>
  <c r="J23" i="24"/>
  <c r="E23" i="24"/>
  <c r="J22" i="24"/>
  <c r="E22" i="24"/>
  <c r="J21" i="24"/>
  <c r="E21" i="24"/>
  <c r="J18" i="24"/>
  <c r="E18" i="24"/>
  <c r="J17" i="24"/>
  <c r="E17" i="24"/>
  <c r="J16" i="24"/>
  <c r="E16" i="24"/>
  <c r="J15" i="24"/>
  <c r="E15" i="24"/>
  <c r="J12" i="24"/>
  <c r="E12" i="24"/>
  <c r="J11" i="24"/>
  <c r="E11" i="24"/>
  <c r="J10" i="24"/>
  <c r="E10" i="24"/>
  <c r="J9" i="24"/>
  <c r="E9" i="24"/>
  <c r="J8" i="24"/>
  <c r="E8" i="24"/>
  <c r="J7" i="24"/>
  <c r="E7" i="24"/>
  <c r="J6" i="24"/>
  <c r="E6" i="24"/>
  <c r="J5" i="24"/>
  <c r="E5" i="24"/>
  <c r="J4" i="24"/>
  <c r="E4" i="24"/>
  <c r="J3" i="24"/>
  <c r="E3" i="24"/>
  <c r="I39" i="9"/>
  <c r="G39" i="9"/>
  <c r="D39" i="9"/>
  <c r="B39" i="9"/>
  <c r="J38" i="9"/>
  <c r="E38" i="9"/>
  <c r="J37" i="9"/>
  <c r="E37" i="9"/>
  <c r="J36" i="9"/>
  <c r="E36" i="9"/>
  <c r="J35" i="9"/>
  <c r="E35" i="9"/>
  <c r="J33" i="9"/>
  <c r="E33" i="9"/>
  <c r="J32" i="9"/>
  <c r="E32" i="9"/>
  <c r="J31" i="9"/>
  <c r="E31" i="9"/>
  <c r="J29" i="9"/>
  <c r="E29" i="9"/>
  <c r="J28" i="9"/>
  <c r="E28" i="9"/>
  <c r="J27" i="9"/>
  <c r="E27" i="9"/>
  <c r="J25" i="9"/>
  <c r="E25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10" i="9"/>
  <c r="E10" i="9"/>
  <c r="J9" i="9"/>
  <c r="E9" i="9"/>
  <c r="J8" i="9"/>
  <c r="E8" i="9"/>
  <c r="J7" i="9"/>
  <c r="E7" i="9"/>
  <c r="J6" i="9"/>
  <c r="E6" i="9"/>
  <c r="J5" i="9"/>
  <c r="E5" i="9"/>
  <c r="J4" i="9"/>
  <c r="E4" i="9"/>
  <c r="J3" i="9"/>
  <c r="E3" i="9"/>
  <c r="I46" i="8"/>
  <c r="G46" i="8"/>
  <c r="D46" i="8"/>
  <c r="B46" i="8"/>
  <c r="J45" i="8"/>
  <c r="J44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8" i="8"/>
  <c r="E8" i="8"/>
  <c r="J7" i="8"/>
  <c r="J6" i="8"/>
  <c r="E6" i="8"/>
  <c r="J5" i="8"/>
  <c r="E5" i="8"/>
  <c r="J4" i="8"/>
  <c r="E4" i="8"/>
  <c r="J3" i="8"/>
  <c r="E3" i="8"/>
  <c r="E47" i="6"/>
  <c r="E45" i="6"/>
  <c r="E44" i="6"/>
  <c r="E43" i="6"/>
  <c r="E42" i="6"/>
  <c r="E41" i="6"/>
  <c r="E40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4" i="6"/>
  <c r="E23" i="6"/>
  <c r="E22" i="6"/>
  <c r="E21" i="6"/>
  <c r="E20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E5" i="6"/>
  <c r="J4" i="6"/>
  <c r="J48" i="6" s="1"/>
  <c r="E4" i="6"/>
  <c r="H41" i="23"/>
  <c r="G41" i="23"/>
  <c r="C41" i="23"/>
  <c r="B41" i="23"/>
  <c r="I53" i="4"/>
  <c r="G53" i="4"/>
  <c r="D53" i="4"/>
  <c r="B53" i="4"/>
  <c r="J52" i="4"/>
  <c r="E52" i="4"/>
  <c r="J50" i="4"/>
  <c r="E50" i="4"/>
  <c r="J48" i="4"/>
  <c r="E48" i="4"/>
  <c r="J47" i="4"/>
  <c r="E47" i="4"/>
  <c r="J46" i="4"/>
  <c r="E46" i="4"/>
  <c r="J45" i="4"/>
  <c r="E45" i="4"/>
  <c r="J43" i="4"/>
  <c r="E43" i="4"/>
  <c r="J42" i="4"/>
  <c r="E42" i="4"/>
  <c r="J41" i="4"/>
  <c r="E41" i="4"/>
  <c r="J40" i="4"/>
  <c r="E40" i="4"/>
  <c r="J39" i="4"/>
  <c r="E39" i="4"/>
  <c r="J38" i="4"/>
  <c r="E38" i="4"/>
  <c r="J37" i="4"/>
  <c r="E37" i="4"/>
  <c r="J36" i="4"/>
  <c r="E36" i="4"/>
  <c r="J35" i="4"/>
  <c r="E35" i="4"/>
  <c r="J34" i="4"/>
  <c r="E34" i="4"/>
  <c r="J33" i="4"/>
  <c r="E33" i="4"/>
  <c r="J32" i="4"/>
  <c r="E32" i="4"/>
  <c r="J30" i="4"/>
  <c r="E30" i="4"/>
  <c r="J29" i="4"/>
  <c r="E29" i="4"/>
  <c r="J27" i="4"/>
  <c r="E27" i="4"/>
  <c r="J26" i="4"/>
  <c r="E26" i="4"/>
  <c r="J25" i="4"/>
  <c r="E25" i="4"/>
  <c r="J24" i="4"/>
  <c r="E24" i="4"/>
  <c r="J23" i="4"/>
  <c r="E23" i="4"/>
  <c r="J22" i="4"/>
  <c r="E22" i="4"/>
  <c r="J20" i="4"/>
  <c r="E20" i="4"/>
  <c r="J19" i="4"/>
  <c r="E19" i="4"/>
  <c r="J18" i="4"/>
  <c r="E18" i="4"/>
  <c r="J16" i="4"/>
  <c r="E16" i="4"/>
  <c r="J15" i="4"/>
  <c r="E15" i="4"/>
  <c r="J14" i="4"/>
  <c r="E14" i="4"/>
  <c r="J11" i="4"/>
  <c r="E11" i="4"/>
  <c r="J10" i="4"/>
  <c r="E10" i="4"/>
  <c r="J9" i="4"/>
  <c r="E9" i="4"/>
  <c r="J8" i="4"/>
  <c r="E8" i="4"/>
  <c r="J7" i="4"/>
  <c r="E7" i="4"/>
  <c r="J4" i="4"/>
  <c r="E4" i="4"/>
  <c r="J3" i="4"/>
  <c r="E3" i="4"/>
  <c r="I44" i="26"/>
  <c r="G44" i="26"/>
  <c r="D44" i="26"/>
  <c r="B44" i="26"/>
  <c r="J43" i="26"/>
  <c r="E43" i="26"/>
  <c r="J42" i="26"/>
  <c r="E42" i="26"/>
  <c r="J41" i="26"/>
  <c r="E41" i="26"/>
  <c r="J40" i="26"/>
  <c r="E40" i="26"/>
  <c r="J38" i="26"/>
  <c r="E38" i="26"/>
  <c r="J35" i="26"/>
  <c r="E35" i="26"/>
  <c r="J34" i="26"/>
  <c r="E34" i="26"/>
  <c r="J33" i="26"/>
  <c r="E33" i="26"/>
  <c r="J32" i="26"/>
  <c r="E32" i="26"/>
  <c r="J31" i="26"/>
  <c r="E31" i="26"/>
  <c r="J29" i="26"/>
  <c r="E29" i="26"/>
  <c r="J28" i="26"/>
  <c r="E28" i="26"/>
  <c r="J27" i="26"/>
  <c r="E27" i="26"/>
  <c r="J26" i="26"/>
  <c r="E26" i="26"/>
  <c r="J23" i="26"/>
  <c r="E23" i="26"/>
  <c r="J22" i="26"/>
  <c r="E22" i="26"/>
  <c r="J21" i="26"/>
  <c r="E21" i="26"/>
  <c r="J20" i="26"/>
  <c r="E20" i="26"/>
  <c r="J18" i="26"/>
  <c r="E18" i="26"/>
  <c r="J17" i="26"/>
  <c r="E17" i="26"/>
  <c r="J16" i="26"/>
  <c r="E16" i="26"/>
  <c r="J15" i="26"/>
  <c r="E15" i="26"/>
  <c r="J14" i="26"/>
  <c r="E14" i="26"/>
  <c r="J13" i="26"/>
  <c r="E13" i="26"/>
  <c r="J12" i="26"/>
  <c r="E12" i="26"/>
  <c r="J11" i="26"/>
  <c r="E11" i="26"/>
  <c r="J10" i="26"/>
  <c r="E10" i="26"/>
  <c r="J8" i="26"/>
  <c r="E8" i="26"/>
  <c r="J7" i="26"/>
  <c r="E7" i="26"/>
  <c r="J6" i="26"/>
  <c r="E6" i="26"/>
  <c r="J5" i="26"/>
  <c r="E5" i="26"/>
  <c r="J4" i="26"/>
  <c r="E4" i="26"/>
  <c r="J3" i="26"/>
  <c r="E3" i="26"/>
  <c r="I42" i="25"/>
  <c r="G42" i="25"/>
  <c r="D42" i="25"/>
  <c r="B42" i="25"/>
  <c r="J41" i="25"/>
  <c r="J40" i="25"/>
  <c r="J39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4" i="25"/>
  <c r="J22" i="25"/>
  <c r="J21" i="25"/>
  <c r="J20" i="25"/>
  <c r="J19" i="25"/>
  <c r="J17" i="25"/>
  <c r="J16" i="25"/>
  <c r="J15" i="25"/>
  <c r="J14" i="25"/>
  <c r="J13" i="25"/>
  <c r="J11" i="25"/>
  <c r="J10" i="25"/>
  <c r="J9" i="25"/>
  <c r="J8" i="25"/>
  <c r="J6" i="25"/>
  <c r="J5" i="25"/>
  <c r="E5" i="25"/>
  <c r="J3" i="25"/>
  <c r="F61" i="30"/>
  <c r="F39" i="30"/>
  <c r="F26" i="30"/>
  <c r="F88" i="30"/>
  <c r="F84" i="30"/>
  <c r="C36" i="30"/>
  <c r="F83" i="30"/>
  <c r="C91" i="30"/>
  <c r="F82" i="30"/>
  <c r="C86" i="30"/>
  <c r="F23" i="30"/>
  <c r="C82" i="30"/>
  <c r="F6" i="30"/>
  <c r="C81" i="30"/>
  <c r="F63" i="30"/>
  <c r="C80" i="30"/>
  <c r="F60" i="30"/>
  <c r="C21" i="30"/>
  <c r="F59" i="30"/>
  <c r="C5" i="30"/>
  <c r="F57" i="30"/>
  <c r="C61" i="30"/>
  <c r="F52" i="30"/>
  <c r="C58" i="30"/>
  <c r="F51" i="30"/>
  <c r="C57" i="30"/>
  <c r="F50" i="30"/>
  <c r="C55" i="30"/>
  <c r="F47" i="30"/>
  <c r="C50" i="30"/>
  <c r="F11" i="30"/>
  <c r="C49" i="30"/>
  <c r="F45" i="30"/>
  <c r="C6" i="30"/>
  <c r="F44" i="30"/>
  <c r="C48" i="30"/>
  <c r="F43" i="30"/>
  <c r="C45" i="30"/>
  <c r="F42" i="30"/>
  <c r="C43" i="30"/>
  <c r="F37" i="30"/>
  <c r="C42" i="30"/>
  <c r="F35" i="30"/>
  <c r="C41" i="30"/>
  <c r="F33" i="30"/>
  <c r="C40" i="30"/>
  <c r="F32" i="30"/>
  <c r="C39" i="30"/>
  <c r="F31" i="30"/>
  <c r="C34" i="30"/>
  <c r="F12" i="30"/>
  <c r="C32" i="30"/>
  <c r="F29" i="30"/>
  <c r="C29" i="30"/>
  <c r="F28" i="30"/>
  <c r="C28" i="30"/>
  <c r="F72" i="30"/>
  <c r="C9" i="30"/>
  <c r="F55" i="30"/>
  <c r="C26" i="30"/>
  <c r="F53" i="30"/>
  <c r="C25" i="30"/>
  <c r="F14" i="30"/>
  <c r="C70" i="30"/>
  <c r="F41" i="30"/>
  <c r="C53" i="30"/>
  <c r="F13" i="30"/>
  <c r="C51" i="30"/>
  <c r="F79" i="30"/>
  <c r="C11" i="30"/>
  <c r="F48" i="30"/>
  <c r="C38" i="30"/>
  <c r="F81" i="30"/>
  <c r="C10" i="30"/>
  <c r="F18" i="30"/>
  <c r="C79" i="30"/>
  <c r="F5" i="30"/>
  <c r="C15" i="30"/>
  <c r="F30" i="30"/>
  <c r="C37" i="30"/>
  <c r="F4" i="30"/>
  <c r="C4" i="30"/>
  <c r="F40" i="30"/>
  <c r="C27" i="30"/>
  <c r="J4" i="22"/>
  <c r="I4" i="22"/>
  <c r="K4" i="22" s="1"/>
  <c r="J10" i="22"/>
  <c r="I10" i="22"/>
  <c r="K10" i="22" s="1"/>
  <c r="C145" i="22"/>
  <c r="C73" i="22"/>
  <c r="C38" i="22"/>
  <c r="J47" i="28" l="1"/>
  <c r="E47" i="28"/>
  <c r="J41" i="23"/>
  <c r="E46" i="8"/>
  <c r="E41" i="23"/>
  <c r="F94" i="30"/>
  <c r="K5" i="30"/>
  <c r="E48" i="6"/>
  <c r="J46" i="8"/>
  <c r="K4" i="30"/>
  <c r="E44" i="27"/>
  <c r="J39" i="9"/>
  <c r="E44" i="26"/>
  <c r="E45" i="21"/>
  <c r="J44" i="26"/>
  <c r="E42" i="25"/>
  <c r="J42" i="25"/>
  <c r="C94" i="30"/>
  <c r="E44" i="24"/>
  <c r="E39" i="9"/>
  <c r="J44" i="16"/>
  <c r="E44" i="16"/>
  <c r="J44" i="27"/>
  <c r="J45" i="21"/>
  <c r="C148" i="22"/>
  <c r="F148" i="22"/>
  <c r="J53" i="4"/>
  <c r="E53" i="4"/>
  <c r="J46" i="29"/>
  <c r="E46" i="29"/>
  <c r="J44" i="24"/>
</calcChain>
</file>

<file path=xl/sharedStrings.xml><?xml version="1.0" encoding="utf-8"?>
<sst xmlns="http://schemas.openxmlformats.org/spreadsheetml/2006/main" count="8257" uniqueCount="1046">
  <si>
    <t>TRIES</t>
  </si>
  <si>
    <t>Tot</t>
  </si>
  <si>
    <t>POINTS</t>
  </si>
  <si>
    <t>TOTALS</t>
  </si>
  <si>
    <t>George</t>
  </si>
  <si>
    <t>Att</t>
  </si>
  <si>
    <t>%</t>
  </si>
  <si>
    <t>Ordered</t>
  </si>
  <si>
    <t>-</t>
  </si>
  <si>
    <t xml:space="preserve"> </t>
  </si>
  <si>
    <t>© Hillsport Media Ltd</t>
  </si>
  <si>
    <t>INT</t>
  </si>
  <si>
    <t>Last Match</t>
  </si>
  <si>
    <t>SIX NATIONS</t>
  </si>
  <si>
    <t>6N</t>
  </si>
  <si>
    <t>ALL TESTS</t>
  </si>
  <si>
    <t>Seq</t>
  </si>
  <si>
    <t>Gls</t>
  </si>
  <si>
    <t>Thomas</t>
  </si>
  <si>
    <t>IRE</t>
  </si>
  <si>
    <t>ENG</t>
  </si>
  <si>
    <t>SCO</t>
  </si>
  <si>
    <t>ITA</t>
  </si>
  <si>
    <t>WAL</t>
  </si>
  <si>
    <t>NAT</t>
  </si>
  <si>
    <t>GLS</t>
  </si>
  <si>
    <t>ATT</t>
  </si>
  <si>
    <t>FRA</t>
  </si>
  <si>
    <t>Lloyd</t>
  </si>
  <si>
    <t>GOAL-KICKERS*</t>
  </si>
  <si>
    <t>Nelson</t>
  </si>
  <si>
    <t>Smith M</t>
  </si>
  <si>
    <t>Wright</t>
  </si>
  <si>
    <t>Skeldon</t>
  </si>
  <si>
    <t>Konkel</t>
  </si>
  <si>
    <t>Law</t>
  </si>
  <si>
    <t>Thomson</t>
  </si>
  <si>
    <t>Gaffney</t>
  </si>
  <si>
    <t>Wills</t>
  </si>
  <si>
    <t>Rollie</t>
  </si>
  <si>
    <t>Aldcroft</t>
  </si>
  <si>
    <t>Beckett</t>
  </si>
  <si>
    <t>Bern</t>
  </si>
  <si>
    <t>Botterman</t>
  </si>
  <si>
    <t>Campbell</t>
  </si>
  <si>
    <t>Cleall B</t>
  </si>
  <si>
    <t>Cleall P</t>
  </si>
  <si>
    <t>Cokayne</t>
  </si>
  <si>
    <t>Galligan</t>
  </si>
  <si>
    <t>Harper</t>
  </si>
  <si>
    <t>Kabeya</t>
  </si>
  <si>
    <t>Matthews</t>
  </si>
  <si>
    <t>Millar-Mills</t>
  </si>
  <si>
    <t>Muir</t>
  </si>
  <si>
    <t>Powell</t>
  </si>
  <si>
    <t>Ward</t>
  </si>
  <si>
    <t>Aitchison</t>
  </si>
  <si>
    <t>Breach</t>
  </si>
  <si>
    <t>Cowell</t>
  </si>
  <si>
    <t>Dow</t>
  </si>
  <si>
    <t>Harrison</t>
  </si>
  <si>
    <t>Kildunne</t>
  </si>
  <si>
    <t>McKenna</t>
  </si>
  <si>
    <t>Packer L</t>
  </si>
  <si>
    <t>Packer M</t>
  </si>
  <si>
    <t>Reed</t>
  </si>
  <si>
    <t>Rowland</t>
  </si>
  <si>
    <t>Scarratt</t>
  </si>
  <si>
    <t>Sing</t>
  </si>
  <si>
    <t>Tuima</t>
  </si>
  <si>
    <t>Thompson</t>
  </si>
  <si>
    <t>Wyrwas</t>
  </si>
  <si>
    <t>Banet</t>
  </si>
  <si>
    <t>Berthoumeu</t>
  </si>
  <si>
    <t>Diallo</t>
  </si>
  <si>
    <t>Domain</t>
  </si>
  <si>
    <t>Drouin</t>
  </si>
  <si>
    <t>Escudero</t>
  </si>
  <si>
    <t>Filopon</t>
  </si>
  <si>
    <t>Forlani</t>
  </si>
  <si>
    <t>Hermet</t>
  </si>
  <si>
    <t>Jacquet</t>
  </si>
  <si>
    <t>Joyeux</t>
  </si>
  <si>
    <t>Khalfaoui</t>
  </si>
  <si>
    <t>Llorens</t>
  </si>
  <si>
    <t>Mayans</t>
  </si>
  <si>
    <t>Menager R</t>
  </si>
  <si>
    <t>Menager M</t>
  </si>
  <si>
    <t>Peyronnet</t>
  </si>
  <si>
    <t>Touye</t>
  </si>
  <si>
    <t>Traoré</t>
  </si>
  <si>
    <t>Vernier</t>
  </si>
  <si>
    <t>O'Dwyer</t>
  </si>
  <si>
    <t>Pearse</t>
  </si>
  <si>
    <t>Djougang</t>
  </si>
  <si>
    <t>Haney</t>
  </si>
  <si>
    <t>Boles</t>
  </si>
  <si>
    <t>Hooban</t>
  </si>
  <si>
    <t>Jones</t>
  </si>
  <si>
    <t>Fryday</t>
  </si>
  <si>
    <t>Monaghan</t>
  </si>
  <si>
    <t>McGann</t>
  </si>
  <si>
    <t>Moore</t>
  </si>
  <si>
    <t>Wall</t>
  </si>
  <si>
    <t>Wafer</t>
  </si>
  <si>
    <t>Hogan</t>
  </si>
  <si>
    <t>O’Leary</t>
  </si>
  <si>
    <t>Hughes</t>
  </si>
  <si>
    <t>Cronin</t>
  </si>
  <si>
    <t>Caughey</t>
  </si>
  <si>
    <t>Breen</t>
  </si>
  <si>
    <t>Higgins</t>
  </si>
  <si>
    <t>Mulhall</t>
  </si>
  <si>
    <t>Parsons</t>
  </si>
  <si>
    <t>Doyle</t>
  </si>
  <si>
    <t>Behan</t>
  </si>
  <si>
    <t>Scuffil-McCabe</t>
  </si>
  <si>
    <t>Irwin</t>
  </si>
  <si>
    <t>Arrighetti</t>
  </si>
  <si>
    <t>Barattin</t>
  </si>
  <si>
    <t>Duca</t>
  </si>
  <si>
    <t>Fedrighi</t>
  </si>
  <si>
    <t>Frangipani</t>
  </si>
  <si>
    <t>Franco</t>
  </si>
  <si>
    <t>Furlan</t>
  </si>
  <si>
    <t>Gai</t>
  </si>
  <si>
    <t>Giordano</t>
  </si>
  <si>
    <t>Granzotto</t>
  </si>
  <si>
    <t>Madia</t>
  </si>
  <si>
    <t>Margotti</t>
  </si>
  <si>
    <t>Maris</t>
  </si>
  <si>
    <t>Merlo</t>
  </si>
  <si>
    <t>Muzzo</t>
  </si>
  <si>
    <t>Rigoni</t>
  </si>
  <si>
    <t>Sberna</t>
  </si>
  <si>
    <t>Seye</t>
  </si>
  <si>
    <t>Sillari</t>
  </si>
  <si>
    <t>Stecca</t>
  </si>
  <si>
    <t>Stefan</t>
  </si>
  <si>
    <t>Tounesi</t>
  </si>
  <si>
    <t>Turani</t>
  </si>
  <si>
    <t>Stevanin</t>
  </si>
  <si>
    <t>Vecchini</t>
  </si>
  <si>
    <t>Veronese</t>
  </si>
  <si>
    <t>Bartlett</t>
  </si>
  <si>
    <t>Belisle</t>
  </si>
  <si>
    <t>Bonar</t>
  </si>
  <si>
    <t>Dougan</t>
  </si>
  <si>
    <t>Donaldson</t>
  </si>
  <si>
    <t>Evans</t>
  </si>
  <si>
    <t>Gallagher</t>
  </si>
  <si>
    <t>Grant</t>
  </si>
  <si>
    <t>Malcolm</t>
  </si>
  <si>
    <t>Mattinson</t>
  </si>
  <si>
    <t>Maxwell</t>
  </si>
  <si>
    <t>McDonald</t>
  </si>
  <si>
    <t>McMillan</t>
  </si>
  <si>
    <t>Musgrove</t>
  </si>
  <si>
    <t>Muzambe</t>
  </si>
  <si>
    <t>O'Donnell</t>
  </si>
  <si>
    <t>Orr</t>
  </si>
  <si>
    <t>Rettie</t>
  </si>
  <si>
    <t>Smih H</t>
  </si>
  <si>
    <t>Wassell</t>
  </si>
  <si>
    <t>Wilson</t>
  </si>
  <si>
    <t>Young</t>
  </si>
  <si>
    <t>Callender</t>
  </si>
  <si>
    <t>Fleming</t>
  </si>
  <si>
    <t>Hale</t>
  </si>
  <si>
    <t>Harries</t>
  </si>
  <si>
    <t>John</t>
  </si>
  <si>
    <t>Johnes</t>
  </si>
  <si>
    <t>Jones K</t>
  </si>
  <si>
    <t>Lewis B</t>
  </si>
  <si>
    <t>Podpadec</t>
  </si>
  <si>
    <t>Phillips</t>
  </si>
  <si>
    <t>Pyrs</t>
  </si>
  <si>
    <t>Rose</t>
  </si>
  <si>
    <t>Scoble</t>
  </si>
  <si>
    <t>Tuipulotu</t>
  </si>
  <si>
    <t>Bevan</t>
  </si>
  <si>
    <t>Hennessy</t>
  </si>
  <si>
    <t>Keight</t>
  </si>
  <si>
    <t>Lewis C</t>
  </si>
  <si>
    <t>Lake</t>
  </si>
  <si>
    <t>Lewis F</t>
  </si>
  <si>
    <t>Neumann</t>
  </si>
  <si>
    <t>Swords</t>
  </si>
  <si>
    <t>Snowsill</t>
  </si>
  <si>
    <t>Terry</t>
  </si>
  <si>
    <t>Wilkins</t>
  </si>
  <si>
    <t>Rollie C</t>
  </si>
  <si>
    <t>Dow A</t>
  </si>
  <si>
    <t>Aitchison H</t>
  </si>
  <si>
    <t>Nelson H</t>
  </si>
  <si>
    <t>Crowe</t>
  </si>
  <si>
    <t>Gros E</t>
  </si>
  <si>
    <t>Tremouliere</t>
  </si>
  <si>
    <t>Sillari M</t>
  </si>
  <si>
    <t>Llorens M</t>
  </si>
  <si>
    <t>Boulard</t>
  </si>
  <si>
    <t>Harries S</t>
  </si>
  <si>
    <t>Bevan K</t>
  </si>
  <si>
    <t>Skeldon L</t>
  </si>
  <si>
    <t>Matthews A</t>
  </si>
  <si>
    <t>Sing E</t>
  </si>
  <si>
    <t>Breach J</t>
  </si>
  <si>
    <t>Hermet G</t>
  </si>
  <si>
    <t>Penalty Tries</t>
  </si>
  <si>
    <t>Capomaggi</t>
  </si>
  <si>
    <t>Boujard</t>
  </si>
  <si>
    <t>Boujard C</t>
  </si>
  <si>
    <t>Kildunne E</t>
  </si>
  <si>
    <t>O'Connor</t>
  </si>
  <si>
    <t>Bese</t>
  </si>
  <si>
    <t>Naikore</t>
  </si>
  <si>
    <t>Saito</t>
  </si>
  <si>
    <t>Furuta</t>
  </si>
  <si>
    <t>Parry</t>
  </si>
  <si>
    <t>Patu</t>
  </si>
  <si>
    <t>Cramer</t>
  </si>
  <si>
    <t>Matarugu</t>
  </si>
  <si>
    <t>Otsuka</t>
  </si>
  <si>
    <t>PAC</t>
  </si>
  <si>
    <t>DeMerchant</t>
  </si>
  <si>
    <t>Perry</t>
  </si>
  <si>
    <t>PACIFIC FOUR</t>
  </si>
  <si>
    <t>Taufoou</t>
  </si>
  <si>
    <t>Hawkins</t>
  </si>
  <si>
    <t>Rogers</t>
  </si>
  <si>
    <t>Cantorna</t>
  </si>
  <si>
    <t>Friedrichs</t>
  </si>
  <si>
    <t>Roos</t>
  </si>
  <si>
    <t>Tui</t>
  </si>
  <si>
    <t>Demant</t>
  </si>
  <si>
    <t>Tubic</t>
  </si>
  <si>
    <t>Ellis</t>
  </si>
  <si>
    <t>Pelletier</t>
  </si>
  <si>
    <t>Tuttosi</t>
  </si>
  <si>
    <t>Marino-Tauhinu</t>
  </si>
  <si>
    <t>Holmes</t>
  </si>
  <si>
    <t>Brunt</t>
  </si>
  <si>
    <t>Foster</t>
  </si>
  <si>
    <t>OC</t>
  </si>
  <si>
    <t>Lomani</t>
  </si>
  <si>
    <t>Milina</t>
  </si>
  <si>
    <t>Rokouono</t>
  </si>
  <si>
    <t>Rubuti</t>
  </si>
  <si>
    <t>Senikarivi</t>
  </si>
  <si>
    <t>Tagabale</t>
  </si>
  <si>
    <t>Vonosere</t>
  </si>
  <si>
    <t>Waisega</t>
  </si>
  <si>
    <t>Vosadrau</t>
  </si>
  <si>
    <t>Tawake</t>
  </si>
  <si>
    <t>Masi</t>
  </si>
  <si>
    <t>Lutumaibau</t>
  </si>
  <si>
    <t>Nabura</t>
  </si>
  <si>
    <t>Mirini</t>
  </si>
  <si>
    <t>Yamamoto</t>
  </si>
  <si>
    <t>Farries</t>
  </si>
  <si>
    <t>Miller</t>
  </si>
  <si>
    <t>Namba</t>
  </si>
  <si>
    <t>Botes</t>
  </si>
  <si>
    <t>Mabenge</t>
  </si>
  <si>
    <t>Mpupha</t>
  </si>
  <si>
    <t>Gwala</t>
  </si>
  <si>
    <t>Solontsi</t>
  </si>
  <si>
    <t>Dumke</t>
  </si>
  <si>
    <t>Mcatshulwa</t>
  </si>
  <si>
    <t>Kinsey</t>
  </si>
  <si>
    <t>Ngwevu</t>
  </si>
  <si>
    <t>Jordaan</t>
  </si>
  <si>
    <t>Mathe</t>
  </si>
  <si>
    <t>Ntoyanto</t>
  </si>
  <si>
    <t>Imakugi</t>
  </si>
  <si>
    <t>Dalton</t>
  </si>
  <si>
    <t>Deely</t>
  </si>
  <si>
    <t>O'Brien</t>
  </si>
  <si>
    <t>Connor</t>
  </si>
  <si>
    <t>du Plessis</t>
  </si>
  <si>
    <t>Duck</t>
  </si>
  <si>
    <t>McKenzie</t>
  </si>
  <si>
    <t>Kato</t>
  </si>
  <si>
    <t>Kelter</t>
  </si>
  <si>
    <t>Talei Bonte</t>
  </si>
  <si>
    <t>Kahele</t>
  </si>
  <si>
    <t>Mataltoga</t>
  </si>
  <si>
    <t>Waters</t>
  </si>
  <si>
    <t>Jacoby</t>
  </si>
  <si>
    <t>Clapp</t>
  </si>
  <si>
    <t>Henrich</t>
  </si>
  <si>
    <t>Ashenbrucker</t>
  </si>
  <si>
    <t>Perris-Redding</t>
  </si>
  <si>
    <t>Kronish</t>
  </si>
  <si>
    <t>Hayward</t>
  </si>
  <si>
    <t>Kitlinski</t>
  </si>
  <si>
    <t>Matyas</t>
  </si>
  <si>
    <t>Zackary</t>
  </si>
  <si>
    <t>Treder</t>
  </si>
  <si>
    <t>Learned</t>
  </si>
  <si>
    <t>Bizer</t>
  </si>
  <si>
    <t>Ortiz</t>
  </si>
  <si>
    <t>Ehrecke</t>
  </si>
  <si>
    <t>Hamdan</t>
  </si>
  <si>
    <t>Feury</t>
  </si>
  <si>
    <t>Johnson K</t>
  </si>
  <si>
    <t>Johnson R</t>
  </si>
  <si>
    <t>Beukeboom</t>
  </si>
  <si>
    <t>Tessier</t>
  </si>
  <si>
    <t>Corrigan</t>
  </si>
  <si>
    <t>Holly</t>
  </si>
  <si>
    <t>Kassil</t>
  </si>
  <si>
    <t>Taylor</t>
  </si>
  <si>
    <t>Schell</t>
  </si>
  <si>
    <t>Paquin</t>
  </si>
  <si>
    <t>Thibaut</t>
  </si>
  <si>
    <t>Menin</t>
  </si>
  <si>
    <t>Poulin</t>
  </si>
  <si>
    <t>Svoboda</t>
  </si>
  <si>
    <t>Lachance</t>
  </si>
  <si>
    <t>de Goede</t>
  </si>
  <si>
    <t>Delamere</t>
  </si>
  <si>
    <t>Sadaka</t>
  </si>
  <si>
    <t>KICKERS*</t>
  </si>
  <si>
    <t>NZL</t>
  </si>
  <si>
    <t>AUS</t>
  </si>
  <si>
    <t>CAN</t>
  </si>
  <si>
    <t>USA</t>
  </si>
  <si>
    <t>TOTAL</t>
  </si>
  <si>
    <t>Chancellor</t>
  </si>
  <si>
    <t>Cheatham</t>
  </si>
  <si>
    <t>Hamilton</t>
  </si>
  <si>
    <t>Karpani</t>
  </si>
  <si>
    <t>Lafai</t>
  </si>
  <si>
    <t>Leaney</t>
  </si>
  <si>
    <t>Leonard</t>
  </si>
  <si>
    <t>Naden</t>
  </si>
  <si>
    <t>Naiqama</t>
  </si>
  <si>
    <t>O'Gorman</t>
  </si>
  <si>
    <t>Palu</t>
  </si>
  <si>
    <t>Pomare</t>
  </si>
  <si>
    <t>Robinson</t>
  </si>
  <si>
    <t>Schuck</t>
  </si>
  <si>
    <t>Stewart</t>
  </si>
  <si>
    <t>Williams</t>
  </si>
  <si>
    <t>WORLD CUP</t>
  </si>
  <si>
    <t>n/a</t>
  </si>
  <si>
    <t>Abe</t>
  </si>
  <si>
    <t>Kawamura</t>
  </si>
  <si>
    <t>Kitano</t>
  </si>
  <si>
    <t>Korai</t>
  </si>
  <si>
    <t>Nagata I</t>
  </si>
  <si>
    <t>Nagata N</t>
  </si>
  <si>
    <t>Sato</t>
  </si>
  <si>
    <t>Suzuki M</t>
  </si>
  <si>
    <t>Suzuki A</t>
  </si>
  <si>
    <t>Yoshimura</t>
  </si>
  <si>
    <t>Bremner A</t>
  </si>
  <si>
    <t>Bremner C</t>
  </si>
  <si>
    <t>Kalounivale</t>
  </si>
  <si>
    <t>Love</t>
  </si>
  <si>
    <t>McMenamin</t>
  </si>
  <si>
    <t>Mikaele-Tu'u</t>
  </si>
  <si>
    <t>Ponsonby</t>
  </si>
  <si>
    <t>Rule</t>
  </si>
  <si>
    <t>Simon</t>
  </si>
  <si>
    <t>Tangen-Wainohu</t>
  </si>
  <si>
    <t>Taumata</t>
  </si>
  <si>
    <t>Booi</t>
  </si>
  <si>
    <t>Charlie</t>
  </si>
  <si>
    <t>Cilliers</t>
  </si>
  <si>
    <t>Jacobs</t>
  </si>
  <si>
    <t>Janse v Rensburg</t>
  </si>
  <si>
    <t>Latsha</t>
  </si>
  <si>
    <t>Makua</t>
  </si>
  <si>
    <t>Ngxingolo</t>
  </si>
  <si>
    <t>Potgieter</t>
  </si>
  <si>
    <t>Qawe, Chumisa</t>
  </si>
  <si>
    <t>Qawe, Chuma</t>
  </si>
  <si>
    <t>Grisez</t>
  </si>
  <si>
    <t>Cavuru</t>
  </si>
  <si>
    <t>Queyroi</t>
  </si>
  <si>
    <t>Heard T</t>
  </si>
  <si>
    <t>Heard</t>
  </si>
  <si>
    <t>Kabeya S</t>
  </si>
  <si>
    <t>Tuima L</t>
  </si>
  <si>
    <t>Callender A</t>
  </si>
  <si>
    <t>Tuipulotu S</t>
  </si>
  <si>
    <t>Fryday N</t>
  </si>
  <si>
    <t>D'Inca A</t>
  </si>
  <si>
    <t>Franco G</t>
  </si>
  <si>
    <t>Arbez</t>
  </si>
  <si>
    <t>Arbez C</t>
  </si>
  <si>
    <t>Vernier G</t>
  </si>
  <si>
    <t>O'Brien D</t>
  </si>
  <si>
    <t>Fauteux</t>
  </si>
  <si>
    <t>Gonzalez</t>
  </si>
  <si>
    <t>Bermudez</t>
  </si>
  <si>
    <t>Hess</t>
  </si>
  <si>
    <t>Bourgeois</t>
  </si>
  <si>
    <t>Foriani A</t>
  </si>
  <si>
    <t>Escudero C</t>
  </si>
  <si>
    <t>Banet C</t>
  </si>
  <si>
    <t>Bourgeois M</t>
  </si>
  <si>
    <t>Grant C</t>
  </si>
  <si>
    <t>Pyrs G</t>
  </si>
  <si>
    <t>MacDonald C</t>
  </si>
  <si>
    <t>Tounesi S</t>
  </si>
  <si>
    <t>Botterman H</t>
  </si>
  <si>
    <t>Muir M</t>
  </si>
  <si>
    <t>Beckett S</t>
  </si>
  <si>
    <t>Stefan S</t>
  </si>
  <si>
    <t>Filopon M</t>
  </si>
  <si>
    <t>Boulard E</t>
  </si>
  <si>
    <t>Talling</t>
  </si>
  <si>
    <t>Talling M</t>
  </si>
  <si>
    <t>Rowland H</t>
  </si>
  <si>
    <t>Bartlett L</t>
  </si>
  <si>
    <t>McMillan L</t>
  </si>
  <si>
    <t>Vecchini V</t>
  </si>
  <si>
    <t>Evans G</t>
  </si>
  <si>
    <t>McGhie</t>
  </si>
  <si>
    <t>Malcolm R</t>
  </si>
  <si>
    <t>McGhie F</t>
  </si>
  <si>
    <t>Aldcroft Z</t>
  </si>
  <si>
    <t>Madia V</t>
  </si>
  <si>
    <t>Lake K</t>
  </si>
  <si>
    <t>Smith</t>
  </si>
  <si>
    <t>Dallinger</t>
  </si>
  <si>
    <t>Ravutia</t>
  </si>
  <si>
    <t>Mayaba</t>
  </si>
  <si>
    <t>Zulu</t>
  </si>
  <si>
    <t>Daveua</t>
  </si>
  <si>
    <t>Tisolo</t>
  </si>
  <si>
    <t>OCEANIA CHAMPS</t>
  </si>
  <si>
    <t>AC</t>
  </si>
  <si>
    <t>Yasuo</t>
  </si>
  <si>
    <t>Kokaji</t>
  </si>
  <si>
    <t>ASIA CHAMPS</t>
  </si>
  <si>
    <t>Nishimura S</t>
  </si>
  <si>
    <t>Lochnar</t>
  </si>
  <si>
    <t>Cantorna G</t>
  </si>
  <si>
    <t>Hawkins M</t>
  </si>
  <si>
    <t>Tuttosi E</t>
  </si>
  <si>
    <t>Poulin S</t>
  </si>
  <si>
    <t>Bermudez F</t>
  </si>
  <si>
    <t>Lachance S-M</t>
  </si>
  <si>
    <t>Beukeboom T</t>
  </si>
  <si>
    <t>Taylor E</t>
  </si>
  <si>
    <t>Boag G</t>
  </si>
  <si>
    <t>Rogers H</t>
  </si>
  <si>
    <t>Clapp L</t>
  </si>
  <si>
    <t>Paul</t>
  </si>
  <si>
    <t>Willison</t>
  </si>
  <si>
    <t>Holmes R</t>
  </si>
  <si>
    <t>Brunt S</t>
  </si>
  <si>
    <t>Paul M</t>
  </si>
  <si>
    <t>Kalouivale T</t>
  </si>
  <si>
    <t>Hohaia I</t>
  </si>
  <si>
    <t>Hohaia</t>
  </si>
  <si>
    <t>McKenzie A</t>
  </si>
  <si>
    <t>Wong I</t>
  </si>
  <si>
    <t>Friedrichs G</t>
  </si>
  <si>
    <t>Hamilton G</t>
  </si>
  <si>
    <t>Karpani E</t>
  </si>
  <si>
    <t>Talakai A</t>
  </si>
  <si>
    <t>Stewart M</t>
  </si>
  <si>
    <t>Smith C</t>
  </si>
  <si>
    <t>Cramer L</t>
  </si>
  <si>
    <t>Ashenbrucker E</t>
  </si>
  <si>
    <t>Detiveaux J</t>
  </si>
  <si>
    <t>de Goede S</t>
  </si>
  <si>
    <t>Forteza</t>
  </si>
  <si>
    <t>Forteza F</t>
  </si>
  <si>
    <t>DeMerchant O</t>
  </si>
  <si>
    <t>Connor L</t>
  </si>
  <si>
    <t>Demant R</t>
  </si>
  <si>
    <t>du Plessis A</t>
  </si>
  <si>
    <t>Teneti K</t>
  </si>
  <si>
    <t>Teneti</t>
  </si>
  <si>
    <t>Love P</t>
  </si>
  <si>
    <t>Gago</t>
  </si>
  <si>
    <t>Marino-Tauhinu A</t>
  </si>
  <si>
    <t>Gago G</t>
  </si>
  <si>
    <t>Mikaele-Tu'u L</t>
  </si>
  <si>
    <t>Tafuna</t>
  </si>
  <si>
    <t>Tafuna F</t>
  </si>
  <si>
    <t>Gallagher C</t>
  </si>
  <si>
    <t>Marsters</t>
  </si>
  <si>
    <t>Marsters A</t>
  </si>
  <si>
    <t>Kobayashi</t>
  </si>
  <si>
    <t>Tinanivalu</t>
  </si>
  <si>
    <t>Dolf</t>
  </si>
  <si>
    <t>Grain</t>
  </si>
  <si>
    <t>Allen</t>
  </si>
  <si>
    <t>Carson</t>
  </si>
  <si>
    <t>Stathopoulos</t>
  </si>
  <si>
    <t>Levy</t>
  </si>
  <si>
    <t>Martin</t>
  </si>
  <si>
    <t>Samboya</t>
  </si>
  <si>
    <t>WXV</t>
  </si>
  <si>
    <t>Wyrwas E</t>
  </si>
  <si>
    <t>Jones M</t>
  </si>
  <si>
    <t>Hunt</t>
  </si>
  <si>
    <t>Hunt M</t>
  </si>
  <si>
    <t>Grant M</t>
  </si>
  <si>
    <t>Phillips C</t>
  </si>
  <si>
    <t>Vaha'akolo</t>
  </si>
  <si>
    <t>Vaha'akolo K</t>
  </si>
  <si>
    <t>Atkin-Davies L</t>
  </si>
  <si>
    <t>Farries P</t>
  </si>
  <si>
    <t>Tui R</t>
  </si>
  <si>
    <t>Jenkins</t>
  </si>
  <si>
    <t>Fleming A</t>
  </si>
  <si>
    <t>Wilkins R</t>
  </si>
  <si>
    <t>Riffoneau</t>
  </si>
  <si>
    <t>Riffoneau E</t>
  </si>
  <si>
    <t>McKenzie B</t>
  </si>
  <si>
    <t>George L</t>
  </si>
  <si>
    <t>Scurfield</t>
  </si>
  <si>
    <t>Scurfield K</t>
  </si>
  <si>
    <t>Atkin-Davies</t>
  </si>
  <si>
    <t>Bern S</t>
  </si>
  <si>
    <t>Simon K</t>
  </si>
  <si>
    <t>Muzzo A</t>
  </si>
  <si>
    <t>Granzotto F</t>
  </si>
  <si>
    <t>Rigoni B</t>
  </si>
  <si>
    <t>JPN</t>
  </si>
  <si>
    <t>Nduka J</t>
  </si>
  <si>
    <t>Matsumura M</t>
  </si>
  <si>
    <t>Otsuka A</t>
  </si>
  <si>
    <t>Hele</t>
  </si>
  <si>
    <t>Hele A</t>
  </si>
  <si>
    <t>RSA</t>
  </si>
  <si>
    <t>Botes R</t>
  </si>
  <si>
    <t>Janse v R'burg L</t>
  </si>
  <si>
    <t>Thomson L</t>
  </si>
  <si>
    <t>Hingano</t>
  </si>
  <si>
    <t>Zackary K</t>
  </si>
  <si>
    <t>Feury T</t>
  </si>
  <si>
    <t>Taufoou H</t>
  </si>
  <si>
    <t>Hingano M</t>
  </si>
  <si>
    <t>SAM</t>
  </si>
  <si>
    <t>Siataga C</t>
  </si>
  <si>
    <t>Wright-Akeli K</t>
  </si>
  <si>
    <t>Stathopoulos P</t>
  </si>
  <si>
    <t>Jacoby C</t>
  </si>
  <si>
    <t>Lloyd R</t>
  </si>
  <si>
    <t>Wassell E</t>
  </si>
  <si>
    <t>Ranuccini</t>
  </si>
  <si>
    <t>Ranuccini A</t>
  </si>
  <si>
    <t>Capomaggi B</t>
  </si>
  <si>
    <t>Latsha B</t>
  </si>
  <si>
    <t>Dolf B</t>
  </si>
  <si>
    <t>Ando</t>
  </si>
  <si>
    <t>Hirotsu H</t>
  </si>
  <si>
    <t>Ando N</t>
  </si>
  <si>
    <t>Jacobs C</t>
  </si>
  <si>
    <t>Dumke L</t>
  </si>
  <si>
    <t>Brody</t>
  </si>
  <si>
    <t>Bitter</t>
  </si>
  <si>
    <t>Brody T</t>
  </si>
  <si>
    <t>Duca G</t>
  </si>
  <si>
    <t>Giordano E</t>
  </si>
  <si>
    <t>Orr E</t>
  </si>
  <si>
    <t>Bonar S</t>
  </si>
  <si>
    <t>Riffonneau E</t>
  </si>
  <si>
    <t>Queyroi L</t>
  </si>
  <si>
    <t>Wafer A</t>
  </si>
  <si>
    <t>Dalton A</t>
  </si>
  <si>
    <t>Fowley</t>
  </si>
  <si>
    <t>Fowley N</t>
  </si>
  <si>
    <t>Carson M</t>
  </si>
  <si>
    <t>Powell C</t>
  </si>
  <si>
    <t>Ward A</t>
  </si>
  <si>
    <t>Harrison Z</t>
  </si>
  <si>
    <t>Martin E</t>
  </si>
  <si>
    <t>*Qual 5 attempts</t>
  </si>
  <si>
    <t>Arbey</t>
  </si>
  <si>
    <t>Arbey K</t>
  </si>
  <si>
    <t>Galligan R</t>
  </si>
  <si>
    <t>Jones N</t>
  </si>
  <si>
    <t>Corrigan K</t>
  </si>
  <si>
    <t>Fedrighi V</t>
  </si>
  <si>
    <t>Cokayne A</t>
  </si>
  <si>
    <t>Parsons B</t>
  </si>
  <si>
    <t>Higgins E</t>
  </si>
  <si>
    <t>Hopkins</t>
  </si>
  <si>
    <t>Deshayes A</t>
  </si>
  <si>
    <t>Khalfaoui A</t>
  </si>
  <si>
    <t>Konde</t>
  </si>
  <si>
    <t>Konde N</t>
  </si>
  <si>
    <t>Hopkins G</t>
  </si>
  <si>
    <t>Hunt N</t>
  </si>
  <si>
    <t>Feaunati</t>
  </si>
  <si>
    <t>Feaunati M</t>
  </si>
  <si>
    <t>Grisez J</t>
  </si>
  <si>
    <t>Feleu M</t>
  </si>
  <si>
    <t>Stevanin E</t>
  </si>
  <si>
    <t>Perris-Redding G</t>
  </si>
  <si>
    <t>Royer</t>
  </si>
  <si>
    <t>Royer L</t>
  </si>
  <si>
    <t>Omokhuale</t>
  </si>
  <si>
    <t>Omokhuale J</t>
  </si>
  <si>
    <t>Ubisi</t>
  </si>
  <si>
    <t>King</t>
  </si>
  <si>
    <t>King H</t>
  </si>
  <si>
    <t>Vaipulu</t>
  </si>
  <si>
    <t>Vaipulu M</t>
  </si>
  <si>
    <t>Sae</t>
  </si>
  <si>
    <t>Maliepo</t>
  </si>
  <si>
    <t>Maliepo P</t>
  </si>
  <si>
    <t>Sae L</t>
  </si>
  <si>
    <t>Naden T</t>
  </si>
  <si>
    <t>Cline</t>
  </si>
  <si>
    <t>Cline S</t>
  </si>
  <si>
    <t>Menin D</t>
  </si>
  <si>
    <t>Tessier A</t>
  </si>
  <si>
    <t>Mdletshe</t>
  </si>
  <si>
    <t>Miller D</t>
  </si>
  <si>
    <t>Hingano A</t>
  </si>
  <si>
    <t>Treder K</t>
  </si>
  <si>
    <t>Olsen-Baker</t>
  </si>
  <si>
    <t>Viliko</t>
  </si>
  <si>
    <t>Ponsonby G</t>
  </si>
  <si>
    <t>Olsen-Baker K</t>
  </si>
  <si>
    <t>Viliko C</t>
  </si>
  <si>
    <t>Hatada</t>
  </si>
  <si>
    <t>Tsukui</t>
  </si>
  <si>
    <t>Tove</t>
  </si>
  <si>
    <t>Lalabalavu</t>
  </si>
  <si>
    <t>Cox</t>
  </si>
  <si>
    <t>Hesketh</t>
  </si>
  <si>
    <t>Molloy</t>
  </si>
  <si>
    <t>Milinia</t>
  </si>
  <si>
    <t>Narokete</t>
  </si>
  <si>
    <t>Kagawa</t>
  </si>
  <si>
    <t>Ralivanawa</t>
  </si>
  <si>
    <t>Marama</t>
  </si>
  <si>
    <t>Hirotsu</t>
  </si>
  <si>
    <t>Machida</t>
  </si>
  <si>
    <t>Naisewa</t>
  </si>
  <si>
    <t>Cumu</t>
  </si>
  <si>
    <t>Lolohea</t>
  </si>
  <si>
    <t>Harris-Jones</t>
  </si>
  <si>
    <t>Webb</t>
  </si>
  <si>
    <t>Tuy</t>
  </si>
  <si>
    <t>Matsumura</t>
  </si>
  <si>
    <t>Considine</t>
  </si>
  <si>
    <t>Scott</t>
  </si>
  <si>
    <t>Excludes kicks v Netherlands Sep 19 - not available</t>
  </si>
  <si>
    <t>Joyce-Butchers J</t>
  </si>
  <si>
    <t>Reardon</t>
  </si>
  <si>
    <t>Tuinakauvadra</t>
  </si>
  <si>
    <t>Halse</t>
  </si>
  <si>
    <t>Moleka</t>
  </si>
  <si>
    <t>Brock</t>
  </si>
  <si>
    <t>Brock G</t>
  </si>
  <si>
    <t>Westcombe-Evans</t>
  </si>
  <si>
    <t>Westcombe-Evans B</t>
  </si>
  <si>
    <t>Moleka F</t>
  </si>
  <si>
    <t>Palu S</t>
  </si>
  <si>
    <t>Morgan</t>
  </si>
  <si>
    <t>Morgan L</t>
  </si>
  <si>
    <t>Hogan-Rochester</t>
  </si>
  <si>
    <t>Hogan-Rochester A</t>
  </si>
  <si>
    <t>Pelletier J</t>
  </si>
  <si>
    <t>FIJ</t>
  </si>
  <si>
    <t>Tisolo L</t>
  </si>
  <si>
    <t>Tove R A</t>
  </si>
  <si>
    <t>Milina A</t>
  </si>
  <si>
    <t>Lomani K</t>
  </si>
  <si>
    <t>Korovata A</t>
  </si>
  <si>
    <t>Waisega S</t>
  </si>
  <si>
    <t>Naisewa K</t>
  </si>
  <si>
    <t>Jacquet C</t>
  </si>
  <si>
    <t>Feleu T</t>
  </si>
  <si>
    <t>Costigan A L</t>
  </si>
  <si>
    <t>Costigan</t>
  </si>
  <si>
    <t>Turani S</t>
  </si>
  <si>
    <t>Taniguchi K</t>
  </si>
  <si>
    <t>Saito S</t>
  </si>
  <si>
    <t>Leti-l'iga</t>
  </si>
  <si>
    <t>Leti-liga A</t>
  </si>
  <si>
    <t>Kalounivale T</t>
  </si>
  <si>
    <t>Roos M</t>
  </si>
  <si>
    <t>Young A</t>
  </si>
  <si>
    <t>Stewart A</t>
  </si>
  <si>
    <t>Malinga</t>
  </si>
  <si>
    <t>Malinga A</t>
  </si>
  <si>
    <t>Roos N</t>
  </si>
  <si>
    <t>Mpupha Z</t>
  </si>
  <si>
    <t>Cilliers J</t>
  </si>
  <si>
    <t>Tose</t>
  </si>
  <si>
    <t>Tose U</t>
  </si>
  <si>
    <t>Charlie S</t>
  </si>
  <si>
    <t>Gunter M</t>
  </si>
  <si>
    <t>Ubisi V</t>
  </si>
  <si>
    <t>Mcatshulwa S</t>
  </si>
  <si>
    <t>Kelter A</t>
  </si>
  <si>
    <t>Bluck</t>
  </si>
  <si>
    <t>Bluck H</t>
  </si>
  <si>
    <t>ESP</t>
  </si>
  <si>
    <t>Piquero C</t>
  </si>
  <si>
    <t>Cisa N</t>
  </si>
  <si>
    <t>Perez Z</t>
  </si>
  <si>
    <t>Argudo A</t>
  </si>
  <si>
    <t>Castellucci C</t>
  </si>
  <si>
    <t>Fernandez de C A</t>
  </si>
  <si>
    <t>Alameda L</t>
  </si>
  <si>
    <t>Capell A</t>
  </si>
  <si>
    <t>Sio A-L</t>
  </si>
  <si>
    <t>Fiafia L</t>
  </si>
  <si>
    <t>Mamea A</t>
  </si>
  <si>
    <t>Bloomfield F</t>
  </si>
  <si>
    <t>Savelio E</t>
  </si>
  <si>
    <t>Vatau H</t>
  </si>
  <si>
    <t>Fanene Lolo J</t>
  </si>
  <si>
    <t>Aiolupotea D</t>
  </si>
  <si>
    <t>Niupulusu S</t>
  </si>
  <si>
    <t>WC</t>
  </si>
  <si>
    <t>Venner</t>
  </si>
  <si>
    <t>Venner M</t>
  </si>
  <si>
    <t>Sgorbini</t>
  </si>
  <si>
    <t>Sgorbini F</t>
  </si>
  <si>
    <t>Scarratt E</t>
  </si>
  <si>
    <t>Okemba</t>
  </si>
  <si>
    <t>Okemba S</t>
  </si>
  <si>
    <t>Bourdon Sansus P</t>
  </si>
  <si>
    <t>Fall Raclot M</t>
  </si>
  <si>
    <t>Fall Raclot</t>
  </si>
  <si>
    <t>Bourdon Sansus</t>
  </si>
  <si>
    <t>Scobie J</t>
  </si>
  <si>
    <t>Williams K</t>
  </si>
  <si>
    <t xml:space="preserve">Burton </t>
  </si>
  <si>
    <t>Burton</t>
  </si>
  <si>
    <t>Burton A</t>
  </si>
  <si>
    <t>McGann A</t>
  </si>
  <si>
    <t>Costigan A</t>
  </si>
  <si>
    <t>Djougang L</t>
  </si>
  <si>
    <t>Hogan B</t>
  </si>
  <si>
    <t>Wall D</t>
  </si>
  <si>
    <t>Bigot</t>
  </si>
  <si>
    <t>Bigot M</t>
  </si>
  <si>
    <t>Champon</t>
  </si>
  <si>
    <t>Crabb</t>
  </si>
  <si>
    <t>Crabb G</t>
  </si>
  <si>
    <t>Champon L</t>
  </si>
  <si>
    <t>Clifford</t>
  </si>
  <si>
    <t>Clifford K</t>
  </si>
  <si>
    <t>Gallagher E</t>
  </si>
  <si>
    <t>Chambon</t>
  </si>
  <si>
    <t>Chambon A</t>
  </si>
  <si>
    <t>H Bluck</t>
  </si>
  <si>
    <t>Breen E</t>
  </si>
  <si>
    <t>RUGBY EUROPE</t>
  </si>
  <si>
    <t>REC</t>
  </si>
  <si>
    <t>Delgado</t>
  </si>
  <si>
    <t>Argudo</t>
  </si>
  <si>
    <t>McLachlan</t>
  </si>
  <si>
    <t>McLachlan R</t>
  </si>
  <si>
    <t>Lane</t>
  </si>
  <si>
    <t>Lane E</t>
  </si>
  <si>
    <t>Coulibaly</t>
  </si>
  <si>
    <t>Sagapolu</t>
  </si>
  <si>
    <t>Matsuda</t>
  </si>
  <si>
    <t>Tarekado</t>
  </si>
  <si>
    <t>Fisher</t>
  </si>
  <si>
    <t>Terita</t>
  </si>
  <si>
    <t>Zachary K</t>
  </si>
  <si>
    <t>O'Donnell C</t>
  </si>
  <si>
    <t>Schell J</t>
  </si>
  <si>
    <t>Leti-l'iga A</t>
  </si>
  <si>
    <t>Sorensen-McGee</t>
  </si>
  <si>
    <t>Sorensen-McGee B</t>
  </si>
  <si>
    <t>Komaki</t>
  </si>
  <si>
    <t>Nakamura</t>
  </si>
  <si>
    <t>Matsunaga</t>
  </si>
  <si>
    <t>Nishimura M</t>
  </si>
  <si>
    <t>Seumanutafa</t>
  </si>
  <si>
    <t>Seumanutafa S</t>
  </si>
  <si>
    <t>Apps</t>
  </si>
  <si>
    <t>Apps O</t>
  </si>
  <si>
    <t>Corrigan A</t>
  </si>
  <si>
    <t>Caslick</t>
  </si>
  <si>
    <t>Caslick C</t>
  </si>
  <si>
    <t>Paquin K</t>
  </si>
  <si>
    <t>Woodman-Wickliffe</t>
  </si>
  <si>
    <t>Woodman-Wickliffe P</t>
  </si>
  <si>
    <t>Waaka</t>
  </si>
  <si>
    <t>Waaka S</t>
  </si>
  <si>
    <t>Nishi</t>
  </si>
  <si>
    <t>Mizutani</t>
  </si>
  <si>
    <t>Ouchida</t>
  </si>
  <si>
    <t>Senivutu</t>
  </si>
  <si>
    <t>Neihamu</t>
  </si>
  <si>
    <t>Railumu</t>
  </si>
  <si>
    <t>Adivitaloga</t>
  </si>
  <si>
    <t>Komaitai</t>
  </si>
  <si>
    <t>Vueti</t>
  </si>
  <si>
    <t>Nakesa</t>
  </si>
  <si>
    <t>Nabuli</t>
  </si>
  <si>
    <t>Vasuturaga</t>
  </si>
  <si>
    <t>asuturaga</t>
  </si>
  <si>
    <t xml:space="preserve"> AFRICA CUP</t>
  </si>
  <si>
    <t>Bhengu</t>
  </si>
  <si>
    <t>Gronewald</t>
  </si>
  <si>
    <t>Tshauke</t>
  </si>
  <si>
    <t>Mokone</t>
  </si>
  <si>
    <t>Kochhann</t>
  </si>
  <si>
    <t>Tenorio</t>
  </si>
  <si>
    <t>Moreira</t>
  </si>
  <si>
    <t>Lopes</t>
  </si>
  <si>
    <t>Fioravanti</t>
  </si>
  <si>
    <t>Santini</t>
  </si>
  <si>
    <t>Silva</t>
  </si>
  <si>
    <t>Campos</t>
  </si>
  <si>
    <t>Mayumi</t>
  </si>
  <si>
    <t>Barros</t>
  </si>
  <si>
    <t>Vergara</t>
  </si>
  <si>
    <t>Prioste</t>
  </si>
  <si>
    <t>Soares</t>
  </si>
  <si>
    <t>Lima</t>
  </si>
  <si>
    <t>Gomes Saccomanno</t>
  </si>
  <si>
    <t>Coimbra</t>
  </si>
  <si>
    <t>Dakar</t>
  </si>
  <si>
    <t>Medeiros</t>
  </si>
  <si>
    <t>Alves</t>
  </si>
  <si>
    <t>Carvalho</t>
  </si>
  <si>
    <t>Henwood Lima</t>
  </si>
  <si>
    <t>Souza</t>
  </si>
  <si>
    <t>Ah-Cheung</t>
  </si>
  <si>
    <t>Lasini</t>
  </si>
  <si>
    <t>Savelio</t>
  </si>
  <si>
    <t>Leaula</t>
  </si>
  <si>
    <t>Falaniko</t>
  </si>
  <si>
    <t>Vatau</t>
  </si>
  <si>
    <t>Salale</t>
  </si>
  <si>
    <t>Col-Aumua</t>
  </si>
  <si>
    <t>Curry</t>
  </si>
  <si>
    <t>Makisi</t>
  </si>
  <si>
    <t>Tugaga</t>
  </si>
  <si>
    <t>Namea</t>
  </si>
  <si>
    <t>Alolupotea</t>
  </si>
  <si>
    <t>Iosefo</t>
  </si>
  <si>
    <t>Aiono-Samuelu</t>
  </si>
  <si>
    <t>Nonutunu</t>
  </si>
  <si>
    <t>Auimatagi</t>
  </si>
  <si>
    <t>Sio</t>
  </si>
  <si>
    <t>Fa'aiuaso-Cocker</t>
  </si>
  <si>
    <t>Tauasa-Pauaraisa</t>
  </si>
  <si>
    <t>Ryder</t>
  </si>
  <si>
    <t>Kinita</t>
  </si>
  <si>
    <t>Fiafia</t>
  </si>
  <si>
    <t>Onesemo-Tuilaepa</t>
  </si>
  <si>
    <t>Mjwara</t>
  </si>
  <si>
    <t>Moloney-MacDonald</t>
  </si>
  <si>
    <t>Crossley</t>
  </si>
  <si>
    <t>Symonds</t>
  </si>
  <si>
    <t>Brazier</t>
  </si>
  <si>
    <t>Kavoa</t>
  </si>
  <si>
    <t>Norsten</t>
  </si>
  <si>
    <t>Taniguchi</t>
  </si>
  <si>
    <t>Castelo</t>
  </si>
  <si>
    <t>Graf</t>
  </si>
  <si>
    <t>Jarrell-Searcy</t>
  </si>
  <si>
    <t>Codey</t>
  </si>
  <si>
    <t>Dallavalle</t>
  </si>
  <si>
    <t>Dallavalle H</t>
  </si>
  <si>
    <t>Jou</t>
  </si>
  <si>
    <t>Alameda</t>
  </si>
  <si>
    <t>Amosa</t>
  </si>
  <si>
    <t>Wood</t>
  </si>
  <si>
    <t>Butchers A</t>
  </si>
  <si>
    <t>Senft</t>
  </si>
  <si>
    <t>McGrath</t>
  </si>
  <si>
    <t>McGillivray</t>
  </si>
  <si>
    <t>Nic A Bhaird</t>
  </si>
  <si>
    <t>Shekells</t>
  </si>
  <si>
    <t>Ives Campion</t>
  </si>
  <si>
    <t>Arruda</t>
  </si>
  <si>
    <t>Pereira</t>
  </si>
  <si>
    <t>Valente</t>
  </si>
  <si>
    <t>Piquero</t>
  </si>
  <si>
    <t>Perez C</t>
  </si>
  <si>
    <t>Da Silva</t>
  </si>
  <si>
    <t>Gurioli</t>
  </si>
  <si>
    <t>Kuge</t>
  </si>
  <si>
    <t>Siatega</t>
  </si>
  <si>
    <t>Milo</t>
  </si>
  <si>
    <t>Pena</t>
  </si>
  <si>
    <t>Peralta</t>
  </si>
  <si>
    <t>Roman</t>
  </si>
  <si>
    <t>Masoko</t>
  </si>
  <si>
    <t>Vinuesa</t>
  </si>
  <si>
    <t>Ducher</t>
  </si>
  <si>
    <t>Cano</t>
  </si>
  <si>
    <t>Blanco</t>
  </si>
  <si>
    <t>Puig</t>
  </si>
  <si>
    <t>Perez V</t>
  </si>
  <si>
    <t>de Andres</t>
  </si>
  <si>
    <t>Fernandez de Cor.</t>
  </si>
  <si>
    <t>Garcia E</t>
  </si>
  <si>
    <t>Garcia N</t>
  </si>
  <si>
    <t>Martinez</t>
  </si>
  <si>
    <t>Jarrell-Searcy E</t>
  </si>
  <si>
    <t>Talakai</t>
  </si>
  <si>
    <t>Amosa K</t>
  </si>
  <si>
    <t>Halse C</t>
  </si>
  <si>
    <t>Chancellor E</t>
  </si>
  <si>
    <t>Wood S</t>
  </si>
  <si>
    <t>Brebner-Holden</t>
  </si>
  <si>
    <t>Brebner-Holden L</t>
  </si>
  <si>
    <t>Crossley C</t>
  </si>
  <si>
    <t>Vueti L</t>
  </si>
  <si>
    <t>Tuite</t>
  </si>
  <si>
    <t>Tuite F</t>
  </si>
  <si>
    <t>Kawamura M</t>
  </si>
  <si>
    <t>Makua L</t>
  </si>
  <si>
    <t>Ngwevu A</t>
  </si>
  <si>
    <t>Kochhann R</t>
  </si>
  <si>
    <t>BRA</t>
  </si>
  <si>
    <t>Setefano</t>
  </si>
  <si>
    <t>Miller J</t>
  </si>
  <si>
    <t>Setefano T</t>
  </si>
  <si>
    <t>Antolinez I</t>
  </si>
  <si>
    <t>Antolinez</t>
  </si>
  <si>
    <t>Blanco C</t>
  </si>
  <si>
    <t>Perry T</t>
  </si>
  <si>
    <t>Kassil B</t>
  </si>
  <si>
    <t>Metcalfe N</t>
  </si>
  <si>
    <t>Nailolo</t>
  </si>
  <si>
    <t>Kinita S</t>
  </si>
  <si>
    <t>Moloney-MacDonald C</t>
  </si>
  <si>
    <t>Senivutu L</t>
  </si>
  <si>
    <t>Komaitai M</t>
  </si>
  <si>
    <t>Sagapolu K M</t>
  </si>
  <si>
    <t>Moore G</t>
  </si>
  <si>
    <t>Pena C</t>
  </si>
  <si>
    <t>Roman M</t>
  </si>
  <si>
    <t>Seye S</t>
  </si>
  <si>
    <t>Solontsi S</t>
  </si>
  <si>
    <t>Ostuni Minuzzi</t>
  </si>
  <si>
    <t>Ostuni Minuzzi V</t>
  </si>
  <si>
    <t>Tukuafu</t>
  </si>
  <si>
    <t>Tukuafu K</t>
  </si>
  <si>
    <t>Pouri-Lane</t>
  </si>
  <si>
    <t>Pouri-Lane R</t>
  </si>
  <si>
    <t>*Qual 10 attempts</t>
  </si>
  <si>
    <t>Hatada S</t>
  </si>
  <si>
    <t>Tsukui M</t>
  </si>
  <si>
    <t>Morland M</t>
  </si>
  <si>
    <t>Deshaye</t>
  </si>
  <si>
    <t>Deshaye A</t>
  </si>
  <si>
    <t>Tuy L</t>
  </si>
  <si>
    <t>Silva B</t>
  </si>
  <si>
    <t>Tenorio F</t>
  </si>
  <si>
    <t>Bargell</t>
  </si>
  <si>
    <t>Bargell C</t>
  </si>
  <si>
    <t>Ortiz O</t>
  </si>
  <si>
    <t>Coulibaly E</t>
  </si>
  <si>
    <t>Cox C</t>
  </si>
  <si>
    <t>Powell K</t>
  </si>
  <si>
    <t>Neumann L</t>
  </si>
  <si>
    <t>Neihamu J</t>
  </si>
  <si>
    <t>Railumu S</t>
  </si>
  <si>
    <t>Kitano W</t>
  </si>
  <si>
    <t>Imakugi K</t>
  </si>
  <si>
    <t>Nduka</t>
  </si>
  <si>
    <t>Yamamoto M</t>
  </si>
  <si>
    <t>Rosell</t>
  </si>
  <si>
    <t>Castelo M</t>
  </si>
  <si>
    <t>Rosell V</t>
  </si>
  <si>
    <t>Mannini</t>
  </si>
  <si>
    <t>Corradini</t>
  </si>
  <si>
    <t>Corradini G</t>
  </si>
  <si>
    <t>Buso</t>
  </si>
  <si>
    <t>Buso G</t>
  </si>
  <si>
    <t>Bitonci</t>
  </si>
  <si>
    <t>Bitonci A</t>
  </si>
  <si>
    <t>Joseph</t>
  </si>
  <si>
    <t>Joseph M</t>
  </si>
  <si>
    <t>Mannini S</t>
  </si>
  <si>
    <t>Gerin</t>
  </si>
  <si>
    <t>Gerin A</t>
  </si>
  <si>
    <t>Flood</t>
  </si>
  <si>
    <t>Flood S</t>
  </si>
  <si>
    <t>Symonds F</t>
  </si>
  <si>
    <t>Bayfield</t>
  </si>
  <si>
    <t>Bayfield L</t>
  </si>
  <si>
    <t>AUSTRALIA 2026 SCORERS</t>
  </si>
  <si>
    <t>Ledington</t>
  </si>
  <si>
    <t>FIJI 2026 SCORERS</t>
  </si>
  <si>
    <t>Yee</t>
  </si>
  <si>
    <t>2026 WXV GLOBAL SERIES SCORERS</t>
  </si>
  <si>
    <t>at 01/08/26</t>
  </si>
  <si>
    <t>CANADA 2026 SCORERS</t>
  </si>
  <si>
    <t>BRAZIL 2026 SCORERS</t>
  </si>
  <si>
    <t>FRANCE 2026 SCORERS</t>
  </si>
  <si>
    <t>IRELAND 2026 SCORERS</t>
  </si>
  <si>
    <t>ITALY 2026 SCORERS</t>
  </si>
  <si>
    <t>JAPAN 2026 SCORERS</t>
  </si>
  <si>
    <t>NEW ZEALAND 2026 SCORERS</t>
  </si>
  <si>
    <t>SAMOA 2026 SCORERS</t>
  </si>
  <si>
    <t>SCOTLAND 2026 SCORERS</t>
  </si>
  <si>
    <t>SOUTH AFRICA 2026 SCORERS</t>
  </si>
  <si>
    <t>SPAIN 2026 SCORERS</t>
  </si>
  <si>
    <t>USA 2026 SCORERS</t>
  </si>
  <si>
    <t>WALES 2026 SCORERS</t>
  </si>
  <si>
    <t>2026 WOMEN'S SIX NATIONS SCORERS</t>
  </si>
  <si>
    <t>Nailolo A S</t>
  </si>
  <si>
    <t>2026 PACIFIC FOUR SCORERS</t>
  </si>
  <si>
    <t>Totals</t>
  </si>
  <si>
    <t>2026 TIER 1 TEST MATCH SCORERS (those who play in WXV Global Series 1 teams)</t>
  </si>
  <si>
    <t>Ledington N</t>
  </si>
  <si>
    <t>O'Gorman B</t>
  </si>
  <si>
    <t>ENGLAND 2026 SCORERS</t>
  </si>
  <si>
    <t>Brosseau</t>
  </si>
  <si>
    <t>Brosseau Y</t>
  </si>
  <si>
    <t>Murie</t>
  </si>
  <si>
    <t>Murie L</t>
  </si>
  <si>
    <t>Barrat</t>
  </si>
  <si>
    <t>Barrat P</t>
  </si>
  <si>
    <t>d'Inca</t>
  </si>
  <si>
    <t>d'Inca A</t>
  </si>
  <si>
    <t>Grando A</t>
  </si>
  <si>
    <t>Grando</t>
  </si>
  <si>
    <t>King E</t>
  </si>
  <si>
    <t>Campbell S</t>
  </si>
  <si>
    <t>Scott L</t>
  </si>
  <si>
    <t>Vogel</t>
  </si>
  <si>
    <t>Vogel A</t>
  </si>
  <si>
    <t>Brunt A</t>
  </si>
  <si>
    <t>Buisa</t>
  </si>
  <si>
    <t>Buisa P</t>
  </si>
  <si>
    <t>Idowu</t>
  </si>
  <si>
    <t>Idowu K</t>
  </si>
  <si>
    <t>Lutui</t>
  </si>
  <si>
    <t>Lutui H</t>
  </si>
  <si>
    <t>at 24/04/26</t>
  </si>
  <si>
    <t>O’Connor</t>
  </si>
  <si>
    <t>O'Connor R</t>
  </si>
  <si>
    <t>Perry E</t>
  </si>
  <si>
    <t>at 23/04/26</t>
  </si>
  <si>
    <t>Qual = 5 attempts</t>
  </si>
  <si>
    <t>Henrich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</si>
</sst>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0">
    <xf numFmtId="0" fontId="0" fillId="0" borderId="0" xfId="0"/>
    <xf numFmtId="0" fontId="7" fillId="6" borderId="4" xfId="0" applyFont="1" applyFill="1" applyBorder="1" applyAlignment="1">
      <alignment horizontal="right" vertical="center" wrapText="1"/>
    </xf>
    <xf numFmtId="0" fontId="7" fillId="0" borderId="0" xfId="0" applyFont="1"/>
    <xf numFmtId="0" fontId="12" fillId="8" borderId="0" xfId="0" applyFont="1" applyFill="1" applyAlignment="1">
      <alignment vertical="center"/>
    </xf>
    <xf numFmtId="14" fontId="14" fillId="8" borderId="3" xfId="0" applyNumberFormat="1" applyFont="1" applyFill="1" applyBorder="1" applyAlignment="1">
      <alignment horizontal="left" vertical="center" wrapText="1"/>
    </xf>
    <xf numFmtId="0" fontId="5" fillId="8" borderId="0" xfId="0" applyFont="1" applyFill="1"/>
    <xf numFmtId="0" fontId="0" fillId="8" borderId="0" xfId="0" applyFill="1"/>
    <xf numFmtId="0" fontId="0" fillId="0" borderId="8" xfId="0" applyBorder="1"/>
    <xf numFmtId="0" fontId="8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right" vertical="center" wrapText="1"/>
    </xf>
    <xf numFmtId="0" fontId="5" fillId="0" borderId="0" xfId="0" applyFont="1"/>
    <xf numFmtId="0" fontId="5" fillId="0" borderId="8" xfId="0" applyFont="1" applyBorder="1"/>
    <xf numFmtId="1" fontId="13" fillId="8" borderId="0" xfId="0" applyNumberFormat="1" applyFont="1" applyFill="1" applyAlignment="1">
      <alignment horizontal="right"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right" vertical="center" wrapText="1"/>
    </xf>
    <xf numFmtId="0" fontId="16" fillId="9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5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vertical="center" wrapText="1"/>
    </xf>
    <xf numFmtId="1" fontId="15" fillId="8" borderId="0" xfId="0" applyNumberFormat="1" applyFont="1" applyFill="1" applyAlignment="1">
      <alignment horizontal="right" vertical="center" wrapText="1"/>
    </xf>
    <xf numFmtId="0" fontId="8" fillId="8" borderId="0" xfId="0" applyFont="1" applyFill="1" applyAlignment="1">
      <alignment horizontal="right" vertical="center" wrapText="1"/>
    </xf>
    <xf numFmtId="1" fontId="8" fillId="8" borderId="0" xfId="0" applyNumberFormat="1" applyFont="1" applyFill="1" applyAlignment="1">
      <alignment horizontal="right" vertical="center" wrapText="1"/>
    </xf>
    <xf numFmtId="0" fontId="15" fillId="8" borderId="0" xfId="0" applyFont="1" applyFill="1" applyAlignment="1">
      <alignment vertical="center" wrapText="1"/>
    </xf>
    <xf numFmtId="0" fontId="17" fillId="8" borderId="0" xfId="0" applyFont="1" applyFill="1" applyAlignment="1">
      <alignment horizontal="right" vertical="center" wrapText="1"/>
    </xf>
    <xf numFmtId="1" fontId="17" fillId="8" borderId="0" xfId="0" applyNumberFormat="1" applyFont="1" applyFill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1" fontId="13" fillId="2" borderId="4" xfId="0" applyNumberFormat="1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right" vertical="center" wrapText="1"/>
    </xf>
    <xf numFmtId="1" fontId="13" fillId="5" borderId="4" xfId="0" applyNumberFormat="1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9" borderId="3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horizontal="right" vertical="center" wrapText="1"/>
    </xf>
    <xf numFmtId="1" fontId="13" fillId="4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" fillId="8" borderId="0" xfId="0" applyFont="1" applyFill="1" applyAlignment="1">
      <alignment horizontal="center" vertical="center" wrapText="1"/>
    </xf>
    <xf numFmtId="0" fontId="14" fillId="0" borderId="0" xfId="0" applyFont="1"/>
    <xf numFmtId="0" fontId="8" fillId="7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21" fillId="0" borderId="0" xfId="0" applyFont="1"/>
    <xf numFmtId="0" fontId="20" fillId="8" borderId="0" xfId="0" applyFont="1" applyFill="1" applyAlignment="1">
      <alignment vertical="center"/>
    </xf>
    <xf numFmtId="0" fontId="4" fillId="0" borderId="0" xfId="0" applyFont="1"/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1" fontId="13" fillId="7" borderId="4" xfId="0" applyNumberFormat="1" applyFont="1" applyFill="1" applyBorder="1" applyAlignment="1">
      <alignment horizontal="right" vertical="center" wrapText="1"/>
    </xf>
    <xf numFmtId="14" fontId="8" fillId="7" borderId="1" xfId="0" applyNumberFormat="1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right" vertical="center" wrapText="1"/>
    </xf>
    <xf numFmtId="1" fontId="9" fillId="8" borderId="4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 wrapText="1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6" fillId="9" borderId="2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4" fillId="9" borderId="4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left" vertical="center" wrapText="1"/>
    </xf>
    <xf numFmtId="0" fontId="14" fillId="8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7" fillId="8" borderId="2" xfId="0" applyFont="1" applyFill="1" applyBorder="1" applyAlignment="1">
      <alignment horizontal="right" vertical="center" wrapText="1"/>
    </xf>
    <xf numFmtId="0" fontId="27" fillId="8" borderId="4" xfId="0" applyFont="1" applyFill="1" applyBorder="1" applyAlignment="1">
      <alignment horizontal="right" vertical="center" wrapText="1"/>
    </xf>
    <xf numFmtId="0" fontId="25" fillId="5" borderId="2" xfId="0" applyFont="1" applyFill="1" applyBorder="1" applyAlignment="1">
      <alignment horizontal="right" vertical="center" wrapText="1"/>
    </xf>
    <xf numFmtId="0" fontId="25" fillId="5" borderId="4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right" vertical="center" wrapText="1"/>
    </xf>
    <xf numFmtId="0" fontId="29" fillId="2" borderId="4" xfId="0" applyFont="1" applyFill="1" applyBorder="1" applyAlignment="1">
      <alignment horizontal="right" vertical="center" wrapText="1"/>
    </xf>
    <xf numFmtId="0" fontId="29" fillId="7" borderId="2" xfId="0" applyFont="1" applyFill="1" applyBorder="1" applyAlignment="1">
      <alignment horizontal="right" vertical="center" wrapText="1"/>
    </xf>
    <xf numFmtId="0" fontId="29" fillId="7" borderId="4" xfId="0" applyFont="1" applyFill="1" applyBorder="1" applyAlignment="1">
      <alignment horizontal="right" vertical="center" wrapText="1"/>
    </xf>
    <xf numFmtId="0" fontId="0" fillId="8" borderId="13" xfId="0" applyFill="1" applyBorder="1" applyAlignment="1">
      <alignment vertical="center" wrapText="1"/>
    </xf>
    <xf numFmtId="0" fontId="13" fillId="3" borderId="1" xfId="0" applyFont="1" applyFill="1" applyBorder="1"/>
    <xf numFmtId="0" fontId="30" fillId="7" borderId="4" xfId="0" applyFont="1" applyFill="1" applyBorder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11" fillId="8" borderId="0" xfId="0" applyFont="1" applyFill="1"/>
    <xf numFmtId="0" fontId="14" fillId="8" borderId="0" xfId="0" applyFont="1" applyFill="1"/>
    <xf numFmtId="0" fontId="26" fillId="8" borderId="0" xfId="0" applyFont="1" applyFill="1" applyAlignment="1">
      <alignment horizontal="right" vertical="center" wrapText="1"/>
    </xf>
    <xf numFmtId="0" fontId="25" fillId="8" borderId="0" xfId="0" applyFont="1" applyFill="1" applyAlignment="1">
      <alignment horizontal="right" vertical="center" wrapText="1"/>
    </xf>
    <xf numFmtId="0" fontId="28" fillId="8" borderId="0" xfId="0" applyFont="1" applyFill="1" applyAlignment="1">
      <alignment horizontal="right" vertical="center" wrapText="1"/>
    </xf>
    <xf numFmtId="0" fontId="18" fillId="8" borderId="13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1" fontId="8" fillId="8" borderId="4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7" fillId="12" borderId="2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horizontal="right" vertical="center" wrapText="1"/>
    </xf>
    <xf numFmtId="0" fontId="17" fillId="12" borderId="4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horizontal="right" vertical="center" wrapText="1"/>
    </xf>
    <xf numFmtId="0" fontId="17" fillId="12" borderId="3" xfId="0" applyFont="1" applyFill="1" applyBorder="1" applyAlignment="1">
      <alignment vertical="center" wrapText="1"/>
    </xf>
    <xf numFmtId="0" fontId="17" fillId="12" borderId="1" xfId="0" applyFont="1" applyFill="1" applyBorder="1" applyAlignment="1">
      <alignment vertical="center" wrapText="1"/>
    </xf>
    <xf numFmtId="0" fontId="27" fillId="12" borderId="2" xfId="0" applyFont="1" applyFill="1" applyBorder="1" applyAlignment="1">
      <alignment horizontal="right" vertical="center" wrapText="1"/>
    </xf>
    <xf numFmtId="0" fontId="27" fillId="12" borderId="4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14" fontId="34" fillId="8" borderId="3" xfId="0" applyNumberFormat="1" applyFont="1" applyFill="1" applyBorder="1" applyAlignment="1">
      <alignment horizontal="left" vertical="center" wrapText="1"/>
    </xf>
    <xf numFmtId="0" fontId="33" fillId="6" borderId="2" xfId="0" applyFont="1" applyFill="1" applyBorder="1" applyAlignment="1">
      <alignment vertical="center" wrapText="1"/>
    </xf>
    <xf numFmtId="0" fontId="33" fillId="6" borderId="4" xfId="0" applyFont="1" applyFill="1" applyBorder="1" applyAlignment="1">
      <alignment vertical="center" wrapText="1"/>
    </xf>
    <xf numFmtId="14" fontId="31" fillId="4" borderId="3" xfId="0" applyNumberFormat="1" applyFont="1" applyFill="1" applyBorder="1" applyAlignment="1">
      <alignment horizontal="left" vertical="center" wrapText="1"/>
    </xf>
    <xf numFmtId="0" fontId="36" fillId="13" borderId="1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14" fontId="37" fillId="13" borderId="3" xfId="0" applyNumberFormat="1" applyFont="1" applyFill="1" applyBorder="1" applyAlignment="1">
      <alignment horizontal="left" vertical="center" wrapText="1"/>
    </xf>
    <xf numFmtId="1" fontId="36" fillId="13" borderId="4" xfId="0" applyNumberFormat="1" applyFont="1" applyFill="1" applyBorder="1" applyAlignment="1">
      <alignment horizontal="right" vertical="center" wrapText="1"/>
    </xf>
    <xf numFmtId="0" fontId="38" fillId="6" borderId="2" xfId="0" applyFont="1" applyFill="1" applyBorder="1" applyAlignment="1">
      <alignment horizontal="right" vertical="center" wrapText="1"/>
    </xf>
    <xf numFmtId="0" fontId="38" fillId="6" borderId="4" xfId="0" applyFont="1" applyFill="1" applyBorder="1" applyAlignment="1">
      <alignment horizontal="right" vertical="center" wrapText="1"/>
    </xf>
    <xf numFmtId="0" fontId="38" fillId="11" borderId="2" xfId="0" applyFont="1" applyFill="1" applyBorder="1" applyAlignment="1">
      <alignment horizontal="right" vertical="center" wrapText="1"/>
    </xf>
    <xf numFmtId="0" fontId="38" fillId="11" borderId="4" xfId="0" applyFont="1" applyFill="1" applyBorder="1" applyAlignment="1">
      <alignment horizontal="right" vertical="center" wrapText="1"/>
    </xf>
    <xf numFmtId="0" fontId="36" fillId="13" borderId="0" xfId="0" applyFont="1" applyFill="1"/>
    <xf numFmtId="0" fontId="36" fillId="13" borderId="11" xfId="0" applyFont="1" applyFill="1" applyBorder="1"/>
    <xf numFmtId="0" fontId="36" fillId="13" borderId="2" xfId="0" applyFont="1" applyFill="1" applyBorder="1"/>
    <xf numFmtId="0" fontId="10" fillId="8" borderId="2" xfId="0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horizontal="right" vertical="center" wrapText="1"/>
    </xf>
    <xf numFmtId="0" fontId="13" fillId="14" borderId="1" xfId="0" applyFont="1" applyFill="1" applyBorder="1" applyAlignment="1">
      <alignment vertical="center" wrapText="1"/>
    </xf>
    <xf numFmtId="0" fontId="13" fillId="14" borderId="3" xfId="0" applyFont="1" applyFill="1" applyBorder="1" applyAlignment="1">
      <alignment vertical="center" wrapText="1"/>
    </xf>
    <xf numFmtId="0" fontId="13" fillId="14" borderId="2" xfId="0" applyFont="1" applyFill="1" applyBorder="1" applyAlignment="1">
      <alignment horizontal="right" vertical="center" wrapText="1"/>
    </xf>
    <xf numFmtId="0" fontId="13" fillId="14" borderId="4" xfId="0" applyFont="1" applyFill="1" applyBorder="1" applyAlignment="1">
      <alignment horizontal="right" vertical="center" wrapText="1"/>
    </xf>
    <xf numFmtId="0" fontId="39" fillId="14" borderId="2" xfId="0" applyFont="1" applyFill="1" applyBorder="1" applyAlignment="1">
      <alignment horizontal="right" vertical="center" wrapText="1"/>
    </xf>
    <xf numFmtId="0" fontId="39" fillId="14" borderId="4" xfId="0" applyFont="1" applyFill="1" applyBorder="1" applyAlignment="1">
      <alignment horizontal="right" vertical="center" wrapText="1"/>
    </xf>
    <xf numFmtId="14" fontId="5" fillId="14" borderId="3" xfId="0" applyNumberFormat="1" applyFont="1" applyFill="1" applyBorder="1" applyAlignment="1">
      <alignment horizontal="left" vertical="center" wrapText="1"/>
    </xf>
    <xf numFmtId="1" fontId="13" fillId="14" borderId="4" xfId="0" applyNumberFormat="1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14" fontId="41" fillId="3" borderId="3" xfId="0" applyNumberFormat="1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right" vertical="center" wrapText="1"/>
    </xf>
    <xf numFmtId="1" fontId="29" fillId="3" borderId="4" xfId="0" applyNumberFormat="1" applyFont="1" applyFill="1" applyBorder="1" applyAlignment="1">
      <alignment horizontal="right" vertical="center" wrapText="1"/>
    </xf>
    <xf numFmtId="0" fontId="42" fillId="14" borderId="2" xfId="0" applyFont="1" applyFill="1" applyBorder="1" applyAlignment="1">
      <alignment horizontal="right" vertical="center" wrapText="1"/>
    </xf>
    <xf numFmtId="0" fontId="42" fillId="14" borderId="4" xfId="0" applyFont="1" applyFill="1" applyBorder="1" applyAlignment="1">
      <alignment vertical="center" wrapText="1"/>
    </xf>
    <xf numFmtId="0" fontId="42" fillId="7" borderId="2" xfId="0" applyFont="1" applyFill="1" applyBorder="1" applyAlignment="1">
      <alignment horizontal="right" vertical="center" wrapText="1"/>
    </xf>
    <xf numFmtId="0" fontId="42" fillId="7" borderId="4" xfId="0" applyFont="1" applyFill="1" applyBorder="1" applyAlignment="1">
      <alignment vertical="center" wrapText="1"/>
    </xf>
    <xf numFmtId="0" fontId="42" fillId="7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29" fillId="3" borderId="2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/>
    </xf>
    <xf numFmtId="0" fontId="8" fillId="8" borderId="1" xfId="0" applyFont="1" applyFill="1" applyBorder="1"/>
    <xf numFmtId="0" fontId="42" fillId="8" borderId="0" xfId="0" applyFont="1" applyFill="1" applyAlignment="1">
      <alignment vertical="center" wrapText="1"/>
    </xf>
    <xf numFmtId="0" fontId="39" fillId="8" borderId="0" xfId="0" applyFont="1" applyFill="1" applyAlignment="1">
      <alignment horizontal="right" vertical="center" wrapText="1"/>
    </xf>
    <xf numFmtId="0" fontId="29" fillId="8" borderId="0" xfId="0" applyFont="1" applyFill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14" fontId="8" fillId="8" borderId="4" xfId="0" applyNumberFormat="1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1" fontId="9" fillId="8" borderId="0" xfId="0" applyNumberFormat="1" applyFont="1" applyFill="1" applyAlignment="1">
      <alignment horizontal="right" vertical="center" wrapText="1"/>
    </xf>
    <xf numFmtId="0" fontId="31" fillId="8" borderId="0" xfId="0" applyFont="1" applyFill="1"/>
    <xf numFmtId="0" fontId="9" fillId="8" borderId="13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right" vertical="center" wrapText="1"/>
    </xf>
    <xf numFmtId="1" fontId="9" fillId="8" borderId="12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/>
    <xf numFmtId="0" fontId="8" fillId="8" borderId="12" xfId="0" applyFont="1" applyFill="1" applyBorder="1"/>
    <xf numFmtId="1" fontId="8" fillId="8" borderId="2" xfId="0" applyNumberFormat="1" applyFont="1" applyFill="1" applyBorder="1"/>
    <xf numFmtId="1" fontId="8" fillId="8" borderId="1" xfId="0" applyNumberFormat="1" applyFont="1" applyFill="1" applyBorder="1"/>
    <xf numFmtId="1" fontId="36" fillId="13" borderId="0" xfId="0" applyNumberFormat="1" applyFont="1" applyFill="1" applyAlignment="1">
      <alignment horizontal="right"/>
    </xf>
    <xf numFmtId="1" fontId="36" fillId="13" borderId="12" xfId="0" applyNumberFormat="1" applyFont="1" applyFill="1" applyBorder="1" applyAlignment="1">
      <alignment horizontal="right"/>
    </xf>
    <xf numFmtId="1" fontId="36" fillId="13" borderId="2" xfId="0" applyNumberFormat="1" applyFont="1" applyFill="1" applyBorder="1" applyAlignment="1">
      <alignment horizontal="right"/>
    </xf>
    <xf numFmtId="0" fontId="36" fillId="13" borderId="0" xfId="0" applyFont="1" applyFill="1" applyAlignment="1">
      <alignment horizontal="right"/>
    </xf>
    <xf numFmtId="0" fontId="36" fillId="13" borderId="12" xfId="0" applyFont="1" applyFill="1" applyBorder="1" applyAlignment="1">
      <alignment horizontal="right"/>
    </xf>
    <xf numFmtId="0" fontId="13" fillId="14" borderId="1" xfId="0" applyFont="1" applyFill="1" applyBorder="1"/>
    <xf numFmtId="14" fontId="9" fillId="8" borderId="3" xfId="0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vertical="center" wrapText="1"/>
    </xf>
    <xf numFmtId="14" fontId="13" fillId="14" borderId="3" xfId="0" applyNumberFormat="1" applyFont="1" applyFill="1" applyBorder="1" applyAlignment="1">
      <alignment horizontal="left" vertical="center" wrapText="1"/>
    </xf>
    <xf numFmtId="0" fontId="8" fillId="8" borderId="4" xfId="0" applyFont="1" applyFill="1" applyBorder="1"/>
    <xf numFmtId="0" fontId="8" fillId="8" borderId="5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right" vertical="center" wrapText="1"/>
    </xf>
    <xf numFmtId="1" fontId="9" fillId="8" borderId="8" xfId="0" applyNumberFormat="1" applyFont="1" applyFill="1" applyBorder="1" applyAlignment="1">
      <alignment horizontal="right" vertical="center" wrapText="1"/>
    </xf>
    <xf numFmtId="14" fontId="46" fillId="15" borderId="3" xfId="0" applyNumberFormat="1" applyFont="1" applyFill="1" applyBorder="1" applyAlignment="1">
      <alignment horizontal="left" vertical="center" wrapText="1"/>
    </xf>
    <xf numFmtId="1" fontId="8" fillId="6" borderId="4" xfId="0" applyNumberFormat="1" applyFont="1" applyFill="1" applyBorder="1" applyAlignment="1">
      <alignment horizontal="right" vertical="center" wrapText="1"/>
    </xf>
    <xf numFmtId="0" fontId="30" fillId="6" borderId="4" xfId="0" applyFont="1" applyFill="1" applyBorder="1" applyAlignment="1">
      <alignment horizontal="right" vertical="center" wrapText="1"/>
    </xf>
    <xf numFmtId="1" fontId="30" fillId="6" borderId="4" xfId="0" applyNumberFormat="1" applyFont="1" applyFill="1" applyBorder="1" applyAlignment="1">
      <alignment horizontal="right" vertical="center" wrapText="1"/>
    </xf>
    <xf numFmtId="0" fontId="36" fillId="8" borderId="4" xfId="0" applyFont="1" applyFill="1" applyBorder="1" applyAlignment="1">
      <alignment horizontal="right" vertical="center" wrapText="1"/>
    </xf>
    <xf numFmtId="1" fontId="36" fillId="8" borderId="4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47" fillId="7" borderId="4" xfId="0" applyFont="1" applyFill="1" applyBorder="1" applyAlignment="1">
      <alignment horizontal="right" vertical="center" wrapText="1"/>
    </xf>
    <xf numFmtId="0" fontId="9" fillId="0" borderId="0" xfId="0" applyFont="1"/>
    <xf numFmtId="14" fontId="46" fillId="16" borderId="3" xfId="0" applyNumberFormat="1" applyFont="1" applyFill="1" applyBorder="1" applyAlignment="1">
      <alignment horizontal="left" vertical="center" wrapText="1"/>
    </xf>
    <xf numFmtId="14" fontId="14" fillId="16" borderId="3" xfId="0" applyNumberFormat="1" applyFont="1" applyFill="1" applyBorder="1" applyAlignment="1">
      <alignment horizontal="left" vertical="center" wrapText="1"/>
    </xf>
    <xf numFmtId="0" fontId="48" fillId="10" borderId="2" xfId="0" applyFont="1" applyFill="1" applyBorder="1" applyAlignment="1">
      <alignment vertical="center" wrapText="1"/>
    </xf>
    <xf numFmtId="0" fontId="48" fillId="10" borderId="2" xfId="0" applyFont="1" applyFill="1" applyBorder="1" applyAlignment="1">
      <alignment horizontal="center" vertical="center" wrapText="1"/>
    </xf>
    <xf numFmtId="0" fontId="47" fillId="10" borderId="3" xfId="0" applyFont="1" applyFill="1" applyBorder="1" applyAlignment="1">
      <alignment vertical="center" wrapText="1"/>
    </xf>
    <xf numFmtId="0" fontId="47" fillId="10" borderId="4" xfId="0" applyFont="1" applyFill="1" applyBorder="1" applyAlignment="1">
      <alignment vertical="center" wrapText="1"/>
    </xf>
    <xf numFmtId="0" fontId="47" fillId="10" borderId="4" xfId="0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vertical="center" wrapText="1"/>
    </xf>
    <xf numFmtId="0" fontId="48" fillId="7" borderId="2" xfId="0" applyFont="1" applyFill="1" applyBorder="1" applyAlignment="1">
      <alignment vertical="center" wrapText="1"/>
    </xf>
    <xf numFmtId="0" fontId="48" fillId="7" borderId="2" xfId="0" applyFont="1" applyFill="1" applyBorder="1" applyAlignment="1">
      <alignment horizontal="center" vertical="center" wrapText="1"/>
    </xf>
    <xf numFmtId="0" fontId="47" fillId="7" borderId="3" xfId="0" applyFont="1" applyFill="1" applyBorder="1" applyAlignment="1">
      <alignment vertical="center" wrapText="1"/>
    </xf>
    <xf numFmtId="0" fontId="47" fillId="7" borderId="4" xfId="0" applyFont="1" applyFill="1" applyBorder="1" applyAlignment="1">
      <alignment vertical="center" wrapText="1"/>
    </xf>
    <xf numFmtId="0" fontId="47" fillId="7" borderId="4" xfId="0" applyFont="1" applyFill="1" applyBorder="1" applyAlignment="1">
      <alignment horizontal="center" vertical="center" wrapText="1"/>
    </xf>
    <xf numFmtId="14" fontId="47" fillId="7" borderId="1" xfId="0" applyNumberFormat="1" applyFont="1" applyFill="1" applyBorder="1" applyAlignment="1">
      <alignment horizontal="left" vertical="center" wrapText="1"/>
    </xf>
    <xf numFmtId="1" fontId="47" fillId="7" borderId="4" xfId="0" applyNumberFormat="1" applyFont="1" applyFill="1" applyBorder="1" applyAlignment="1">
      <alignment horizontal="right" vertical="center" wrapText="1"/>
    </xf>
    <xf numFmtId="0" fontId="49" fillId="4" borderId="4" xfId="0" applyFont="1" applyFill="1" applyBorder="1" applyAlignment="1">
      <alignment horizontal="right" vertical="center" wrapText="1"/>
    </xf>
    <xf numFmtId="0" fontId="49" fillId="4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/>
    </xf>
    <xf numFmtId="14" fontId="14" fillId="2" borderId="3" xfId="0" applyNumberFormat="1" applyFont="1" applyFill="1" applyBorder="1" applyAlignment="1">
      <alignment horizontal="left" vertical="center" wrapText="1"/>
    </xf>
    <xf numFmtId="14" fontId="8" fillId="6" borderId="4" xfId="0" applyNumberFormat="1" applyFont="1" applyFill="1" applyBorder="1" applyAlignment="1">
      <alignment horizontal="right" vertical="center" wrapText="1"/>
    </xf>
    <xf numFmtId="1" fontId="8" fillId="8" borderId="0" xfId="0" applyNumberFormat="1" applyFont="1" applyFill="1" applyAlignment="1">
      <alignment horizontal="right"/>
    </xf>
    <xf numFmtId="1" fontId="8" fillId="8" borderId="2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1" fontId="8" fillId="8" borderId="1" xfId="0" applyNumberFormat="1" applyFont="1" applyFill="1" applyBorder="1" applyAlignment="1">
      <alignment horizontal="right"/>
    </xf>
    <xf numFmtId="0" fontId="36" fillId="8" borderId="1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vertical="center" wrapText="1"/>
    </xf>
    <xf numFmtId="1" fontId="8" fillId="8" borderId="12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1" fontId="9" fillId="4" borderId="4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/>
    <xf numFmtId="0" fontId="8" fillId="2" borderId="2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47" fillId="7" borderId="1" xfId="0" applyFont="1" applyFill="1" applyBorder="1" applyAlignment="1">
      <alignment horizontal="right" vertical="center" wrapText="1"/>
    </xf>
    <xf numFmtId="0" fontId="13" fillId="14" borderId="4" xfId="0" applyFont="1" applyFill="1" applyBorder="1"/>
    <xf numFmtId="0" fontId="8" fillId="8" borderId="3" xfId="0" applyFont="1" applyFill="1" applyBorder="1" applyAlignment="1">
      <alignment horizontal="righ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0" fontId="10" fillId="3" borderId="1" xfId="0" applyFont="1" applyFill="1" applyBorder="1"/>
    <xf numFmtId="0" fontId="50" fillId="2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7" borderId="2" xfId="0" applyFont="1" applyFill="1" applyBorder="1" applyAlignment="1">
      <alignment horizontal="right" vertical="center" wrapText="1"/>
    </xf>
    <xf numFmtId="0" fontId="50" fillId="7" borderId="4" xfId="0" applyFont="1" applyFill="1" applyBorder="1" applyAlignment="1">
      <alignment horizontal="right" vertical="center" wrapText="1"/>
    </xf>
    <xf numFmtId="14" fontId="52" fillId="13" borderId="3" xfId="0" applyNumberFormat="1" applyFont="1" applyFill="1" applyBorder="1" applyAlignment="1">
      <alignment horizontal="left" vertical="center" wrapText="1"/>
    </xf>
    <xf numFmtId="0" fontId="50" fillId="8" borderId="2" xfId="0" applyFont="1" applyFill="1" applyBorder="1" applyAlignment="1">
      <alignment horizontal="right" vertical="center" wrapText="1"/>
    </xf>
    <xf numFmtId="0" fontId="50" fillId="8" borderId="4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51" fillId="4" borderId="2" xfId="0" applyFont="1" applyFill="1" applyBorder="1" applyAlignment="1">
      <alignment horizontal="right" vertical="center" wrapText="1"/>
    </xf>
    <xf numFmtId="0" fontId="51" fillId="4" borderId="4" xfId="0" applyFont="1" applyFill="1" applyBorder="1" applyAlignment="1">
      <alignment horizontal="right" vertical="center" wrapText="1"/>
    </xf>
    <xf numFmtId="0" fontId="53" fillId="5" borderId="2" xfId="0" applyFont="1" applyFill="1" applyBorder="1" applyAlignment="1">
      <alignment horizontal="right" vertical="center" wrapText="1"/>
    </xf>
    <xf numFmtId="0" fontId="53" fillId="5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51" fillId="9" borderId="2" xfId="0" applyFont="1" applyFill="1" applyBorder="1" applyAlignment="1">
      <alignment horizontal="right" vertical="center" wrapText="1"/>
    </xf>
    <xf numFmtId="0" fontId="51" fillId="9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33" fillId="6" borderId="2" xfId="0" applyFont="1" applyFill="1" applyBorder="1" applyAlignment="1">
      <alignment horizontal="right" vertical="center" wrapText="1"/>
    </xf>
    <xf numFmtId="0" fontId="38" fillId="6" borderId="4" xfId="0" applyFont="1" applyFill="1" applyBorder="1" applyAlignment="1">
      <alignment vertical="center" wrapText="1"/>
    </xf>
    <xf numFmtId="0" fontId="38" fillId="6" borderId="2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horizontal="right" vertical="center" wrapText="1"/>
    </xf>
    <xf numFmtId="0" fontId="38" fillId="8" borderId="2" xfId="0" applyFont="1" applyFill="1" applyBorder="1" applyAlignment="1">
      <alignment horizontal="right" vertical="center" wrapText="1"/>
    </xf>
    <xf numFmtId="0" fontId="38" fillId="8" borderId="4" xfId="0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right" vertical="center" wrapText="1"/>
    </xf>
    <xf numFmtId="14" fontId="54" fillId="8" borderId="3" xfId="0" applyNumberFormat="1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right"/>
    </xf>
    <xf numFmtId="0" fontId="33" fillId="8" borderId="2" xfId="0" applyFont="1" applyFill="1" applyBorder="1" applyAlignment="1">
      <alignment horizontal="right" vertical="center" wrapText="1"/>
    </xf>
    <xf numFmtId="0" fontId="33" fillId="8" borderId="4" xfId="0" applyFont="1" applyFill="1" applyBorder="1" applyAlignment="1">
      <alignment vertical="center" wrapText="1"/>
    </xf>
    <xf numFmtId="14" fontId="55" fillId="8" borderId="3" xfId="0" applyNumberFormat="1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right" vertical="center" wrapText="1"/>
    </xf>
    <xf numFmtId="0" fontId="25" fillId="7" borderId="2" xfId="0" applyFont="1" applyFill="1" applyBorder="1" applyAlignment="1">
      <alignment horizontal="right" vertical="center" wrapText="1"/>
    </xf>
    <xf numFmtId="0" fontId="25" fillId="7" borderId="4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horizontal="right" vertical="center" wrapText="1"/>
    </xf>
    <xf numFmtId="0" fontId="45" fillId="12" borderId="4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right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vertical="center" wrapText="1"/>
    </xf>
    <xf numFmtId="14" fontId="46" fillId="8" borderId="3" xfId="0" applyNumberFormat="1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right" vertical="center" wrapText="1"/>
    </xf>
    <xf numFmtId="0" fontId="17" fillId="12" borderId="4" xfId="0" applyFont="1" applyFill="1" applyBorder="1" applyAlignment="1">
      <alignment horizontal="right" vertical="center" wrapText="1"/>
    </xf>
    <xf numFmtId="0" fontId="25" fillId="14" borderId="2" xfId="0" applyFont="1" applyFill="1" applyBorder="1" applyAlignment="1">
      <alignment horizontal="right" vertical="center" wrapText="1"/>
    </xf>
    <xf numFmtId="0" fontId="25" fillId="14" borderId="4" xfId="0" applyFont="1" applyFill="1" applyBorder="1" applyAlignment="1">
      <alignment vertical="center" wrapText="1"/>
    </xf>
    <xf numFmtId="14" fontId="56" fillId="8" borderId="3" xfId="0" applyNumberFormat="1" applyFont="1" applyFill="1" applyBorder="1" applyAlignment="1">
      <alignment horizontal="left" vertical="center" wrapText="1"/>
    </xf>
    <xf numFmtId="0" fontId="44" fillId="16" borderId="1" xfId="0" applyFont="1" applyFill="1" applyBorder="1" applyAlignment="1">
      <alignment vertical="center" wrapText="1"/>
    </xf>
    <xf numFmtId="0" fontId="38" fillId="16" borderId="2" xfId="0" applyFont="1" applyFill="1" applyBorder="1" applyAlignment="1">
      <alignment horizontal="right" vertical="center" wrapText="1"/>
    </xf>
    <xf numFmtId="0" fontId="44" fillId="16" borderId="2" xfId="0" applyFont="1" applyFill="1" applyBorder="1" applyAlignment="1">
      <alignment horizontal="right" vertical="center" wrapText="1"/>
    </xf>
    <xf numFmtId="0" fontId="44" fillId="16" borderId="3" xfId="0" applyFont="1" applyFill="1" applyBorder="1" applyAlignment="1">
      <alignment vertical="center" wrapText="1"/>
    </xf>
    <xf numFmtId="0" fontId="38" fillId="16" borderId="4" xfId="0" applyFont="1" applyFill="1" applyBorder="1" applyAlignment="1">
      <alignment vertical="center" wrapText="1"/>
    </xf>
    <xf numFmtId="0" fontId="38" fillId="16" borderId="4" xfId="0" applyFont="1" applyFill="1" applyBorder="1" applyAlignment="1">
      <alignment horizontal="right" vertical="center" wrapText="1"/>
    </xf>
    <xf numFmtId="0" fontId="44" fillId="16" borderId="4" xfId="0" applyFont="1" applyFill="1" applyBorder="1" applyAlignment="1">
      <alignment horizontal="right" vertical="center" wrapText="1"/>
    </xf>
    <xf numFmtId="14" fontId="32" fillId="16" borderId="3" xfId="0" applyNumberFormat="1" applyFont="1" applyFill="1" applyBorder="1" applyAlignment="1">
      <alignment horizontal="left" vertical="center" wrapText="1"/>
    </xf>
    <xf numFmtId="1" fontId="44" fillId="16" borderId="4" xfId="0" applyNumberFormat="1" applyFont="1" applyFill="1" applyBorder="1" applyAlignment="1">
      <alignment horizontal="right" vertical="center" wrapText="1"/>
    </xf>
    <xf numFmtId="0" fontId="44" fillId="16" borderId="1" xfId="0" applyFont="1" applyFill="1" applyBorder="1" applyAlignment="1">
      <alignment horizontal="right" vertical="center" wrapText="1"/>
    </xf>
    <xf numFmtId="0" fontId="44" fillId="16" borderId="1" xfId="0" applyFont="1" applyFill="1" applyBorder="1"/>
    <xf numFmtId="0" fontId="7" fillId="12" borderId="2" xfId="0" applyFont="1" applyFill="1" applyBorder="1" applyAlignment="1">
      <alignment horizontal="right" vertical="center" wrapText="1"/>
    </xf>
    <xf numFmtId="0" fontId="38" fillId="12" borderId="4" xfId="0" applyFont="1" applyFill="1" applyBorder="1" applyAlignment="1">
      <alignment horizontal="right" vertical="center" wrapText="1"/>
    </xf>
    <xf numFmtId="14" fontId="5" fillId="5" borderId="3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/>
    <xf numFmtId="0" fontId="33" fillId="12" borderId="2" xfId="0" applyFont="1" applyFill="1" applyBorder="1" applyAlignment="1">
      <alignment vertical="center" wrapText="1"/>
    </xf>
    <xf numFmtId="0" fontId="33" fillId="12" borderId="4" xfId="0" applyFont="1" applyFill="1" applyBorder="1" applyAlignment="1">
      <alignment vertical="center" wrapText="1"/>
    </xf>
    <xf numFmtId="0" fontId="33" fillId="12" borderId="3" xfId="0" applyFont="1" applyFill="1" applyBorder="1" applyAlignment="1">
      <alignment vertical="center" wrapText="1"/>
    </xf>
    <xf numFmtId="0" fontId="33" fillId="12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33" fillId="12" borderId="2" xfId="0" applyFont="1" applyFill="1" applyBorder="1" applyAlignment="1">
      <alignment horizontal="right" vertical="center" wrapText="1"/>
    </xf>
    <xf numFmtId="0" fontId="33" fillId="12" borderId="4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57" fillId="12" borderId="2" xfId="0" applyFont="1" applyFill="1" applyBorder="1" applyAlignment="1">
      <alignment horizontal="right" vertical="center" wrapText="1"/>
    </xf>
    <xf numFmtId="0" fontId="57" fillId="12" borderId="4" xfId="0" applyFont="1" applyFill="1" applyBorder="1" applyAlignment="1">
      <alignment horizontal="right" vertical="center" wrapText="1"/>
    </xf>
    <xf numFmtId="14" fontId="14" fillId="11" borderId="3" xfId="0" applyNumberFormat="1" applyFont="1" applyFill="1" applyBorder="1" applyAlignment="1">
      <alignment horizontal="left" vertical="center" wrapText="1"/>
    </xf>
    <xf numFmtId="0" fontId="58" fillId="13" borderId="2" xfId="0" applyFont="1" applyFill="1" applyBorder="1" applyAlignment="1">
      <alignment horizontal="right" vertical="center" wrapText="1"/>
    </xf>
    <xf numFmtId="0" fontId="58" fillId="13" borderId="4" xfId="0" applyFont="1" applyFill="1" applyBorder="1" applyAlignment="1">
      <alignment horizontal="right" vertical="center" wrapText="1"/>
    </xf>
    <xf numFmtId="0" fontId="60" fillId="11" borderId="1" xfId="0" applyFont="1" applyFill="1" applyBorder="1" applyAlignment="1">
      <alignment vertical="center" wrapText="1"/>
    </xf>
    <xf numFmtId="0" fontId="60" fillId="11" borderId="3" xfId="0" applyFont="1" applyFill="1" applyBorder="1" applyAlignment="1">
      <alignment vertical="center" wrapText="1"/>
    </xf>
    <xf numFmtId="0" fontId="60" fillId="12" borderId="2" xfId="0" applyFont="1" applyFill="1" applyBorder="1" applyAlignment="1">
      <alignment vertical="center" wrapText="1"/>
    </xf>
    <xf numFmtId="0" fontId="60" fillId="12" borderId="4" xfId="0" applyFont="1" applyFill="1" applyBorder="1" applyAlignment="1">
      <alignment vertical="center" wrapText="1"/>
    </xf>
    <xf numFmtId="0" fontId="60" fillId="12" borderId="3" xfId="0" applyFont="1" applyFill="1" applyBorder="1" applyAlignment="1">
      <alignment vertical="center" wrapText="1"/>
    </xf>
    <xf numFmtId="0" fontId="60" fillId="12" borderId="1" xfId="0" applyFont="1" applyFill="1" applyBorder="1" applyAlignment="1">
      <alignment vertical="center" wrapText="1"/>
    </xf>
    <xf numFmtId="14" fontId="61" fillId="11" borderId="3" xfId="0" applyNumberFormat="1" applyFont="1" applyFill="1" applyBorder="1" applyAlignment="1">
      <alignment horizontal="left" vertical="center" wrapText="1"/>
    </xf>
    <xf numFmtId="0" fontId="60" fillId="11" borderId="4" xfId="0" applyFont="1" applyFill="1" applyBorder="1" applyAlignment="1">
      <alignment horizontal="right" vertical="center" wrapText="1"/>
    </xf>
    <xf numFmtId="1" fontId="60" fillId="11" borderId="4" xfId="0" applyNumberFormat="1" applyFont="1" applyFill="1" applyBorder="1" applyAlignment="1">
      <alignment horizontal="right" vertical="center" wrapText="1"/>
    </xf>
    <xf numFmtId="0" fontId="60" fillId="11" borderId="1" xfId="0" applyFont="1" applyFill="1" applyBorder="1" applyAlignment="1">
      <alignment horizontal="right" vertical="center" wrapText="1"/>
    </xf>
    <xf numFmtId="0" fontId="60" fillId="11" borderId="1" xfId="0" applyFont="1" applyFill="1" applyBorder="1"/>
    <xf numFmtId="0" fontId="60" fillId="12" borderId="2" xfId="0" applyFont="1" applyFill="1" applyBorder="1" applyAlignment="1">
      <alignment horizontal="right" vertical="center" wrapText="1"/>
    </xf>
    <xf numFmtId="0" fontId="60" fillId="12" borderId="4" xfId="0" applyFont="1" applyFill="1" applyBorder="1" applyAlignment="1">
      <alignment horizontal="right" vertical="center" wrapText="1"/>
    </xf>
    <xf numFmtId="0" fontId="60" fillId="11" borderId="2" xfId="0" applyFont="1" applyFill="1" applyBorder="1" applyAlignment="1">
      <alignment horizontal="right" vertical="center" wrapText="1"/>
    </xf>
    <xf numFmtId="0" fontId="62" fillId="6" borderId="2" xfId="0" applyFont="1" applyFill="1" applyBorder="1" applyAlignment="1">
      <alignment horizontal="right" vertical="center" wrapText="1"/>
    </xf>
    <xf numFmtId="0" fontId="62" fillId="6" borderId="4" xfId="0" applyFont="1" applyFill="1" applyBorder="1" applyAlignment="1">
      <alignment horizontal="right" vertical="center" wrapText="1"/>
    </xf>
    <xf numFmtId="0" fontId="29" fillId="7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1" fontId="10" fillId="3" borderId="1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29" fillId="3" borderId="4" xfId="0" applyFont="1" applyFill="1" applyBorder="1" applyAlignment="1">
      <alignment vertical="center" wrapText="1"/>
    </xf>
    <xf numFmtId="0" fontId="29" fillId="7" borderId="4" xfId="0" applyFont="1" applyFill="1" applyBorder="1" applyAlignment="1">
      <alignment vertical="center" wrapText="1"/>
    </xf>
    <xf numFmtId="0" fontId="29" fillId="3" borderId="1" xfId="0" applyFont="1" applyFill="1" applyBorder="1"/>
    <xf numFmtId="0" fontId="25" fillId="9" borderId="2" xfId="0" applyFont="1" applyFill="1" applyBorder="1" applyAlignment="1">
      <alignment horizontal="right" vertical="center" wrapText="1"/>
    </xf>
    <xf numFmtId="0" fontId="25" fillId="9" borderId="4" xfId="0" applyFont="1" applyFill="1" applyBorder="1" applyAlignment="1">
      <alignment horizontal="right" vertical="center" wrapText="1"/>
    </xf>
    <xf numFmtId="0" fontId="25" fillId="4" borderId="2" xfId="0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1" fontId="9" fillId="8" borderId="1" xfId="0" applyNumberFormat="1" applyFont="1" applyFill="1" applyBorder="1" applyAlignment="1">
      <alignment horizontal="right" vertical="center" wrapText="1"/>
    </xf>
    <xf numFmtId="0" fontId="63" fillId="0" borderId="0" xfId="0" applyFont="1"/>
    <xf numFmtId="0" fontId="65" fillId="0" borderId="0" xfId="0" applyFont="1"/>
    <xf numFmtId="0" fontId="8" fillId="16" borderId="0" xfId="0" applyFont="1" applyFill="1"/>
    <xf numFmtId="0" fontId="14" fillId="16" borderId="0" xfId="0" applyFont="1" applyFill="1"/>
    <xf numFmtId="0" fontId="8" fillId="11" borderId="2" xfId="0" applyFont="1" applyFill="1" applyBorder="1" applyAlignment="1">
      <alignment horizontal="right" vertical="center" wrapText="1"/>
    </xf>
    <xf numFmtId="0" fontId="8" fillId="11" borderId="4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vertical="center" wrapText="1"/>
    </xf>
    <xf numFmtId="0" fontId="66" fillId="13" borderId="0" xfId="0" applyFont="1" applyFill="1"/>
    <xf numFmtId="0" fontId="67" fillId="13" borderId="0" xfId="0" applyFont="1" applyFill="1"/>
    <xf numFmtId="0" fontId="13" fillId="2" borderId="0" xfId="0" applyFont="1" applyFill="1"/>
    <xf numFmtId="0" fontId="5" fillId="2" borderId="0" xfId="0" applyFont="1" applyFill="1"/>
    <xf numFmtId="14" fontId="8" fillId="8" borderId="3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/>
    </xf>
    <xf numFmtId="0" fontId="60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4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59" fillId="6" borderId="2" xfId="0" applyFont="1" applyFill="1" applyBorder="1" applyAlignment="1">
      <alignment horizontal="center" vertical="center" wrapText="1"/>
    </xf>
    <xf numFmtId="0" fontId="48" fillId="6" borderId="2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vertical="center" wrapText="1"/>
    </xf>
    <xf numFmtId="0" fontId="3" fillId="18" borderId="2" xfId="0" applyFont="1" applyFill="1" applyBorder="1" applyAlignment="1">
      <alignment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vertical="center" wrapText="1"/>
    </xf>
    <xf numFmtId="0" fontId="8" fillId="18" borderId="4" xfId="0" applyFont="1" applyFill="1" applyBorder="1" applyAlignment="1">
      <alignment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71" fillId="18" borderId="2" xfId="0" applyFont="1" applyFill="1" applyBorder="1" applyAlignment="1">
      <alignment horizontal="center" vertical="center" wrapText="1"/>
    </xf>
    <xf numFmtId="0" fontId="59" fillId="18" borderId="2" xfId="0" applyFont="1" applyFill="1" applyBorder="1" applyAlignment="1">
      <alignment horizontal="center" vertical="center" wrapText="1"/>
    </xf>
    <xf numFmtId="14" fontId="8" fillId="17" borderId="1" xfId="0" applyNumberFormat="1" applyFont="1" applyFill="1" applyBorder="1" applyAlignment="1">
      <alignment horizontal="left" vertical="center" wrapText="1"/>
    </xf>
    <xf numFmtId="14" fontId="8" fillId="17" borderId="1" xfId="0" applyNumberFormat="1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right" vertical="center" wrapText="1"/>
    </xf>
    <xf numFmtId="14" fontId="8" fillId="17" borderId="3" xfId="0" applyNumberFormat="1" applyFont="1" applyFill="1" applyBorder="1" applyAlignment="1">
      <alignment horizontal="left" vertical="center" wrapText="1"/>
    </xf>
    <xf numFmtId="0" fontId="8" fillId="17" borderId="4" xfId="0" applyFont="1" applyFill="1" applyBorder="1" applyAlignment="1">
      <alignment vertical="center" wrapText="1"/>
    </xf>
    <xf numFmtId="1" fontId="8" fillId="17" borderId="4" xfId="0" applyNumberFormat="1" applyFont="1" applyFill="1" applyBorder="1" applyAlignment="1">
      <alignment horizontal="right" vertical="center" wrapText="1"/>
    </xf>
    <xf numFmtId="0" fontId="8" fillId="17" borderId="3" xfId="0" applyFont="1" applyFill="1" applyBorder="1" applyAlignment="1">
      <alignment vertical="center" wrapText="1"/>
    </xf>
    <xf numFmtId="0" fontId="30" fillId="17" borderId="4" xfId="0" applyFont="1" applyFill="1" applyBorder="1" applyAlignment="1">
      <alignment horizontal="right" vertical="center" wrapText="1"/>
    </xf>
    <xf numFmtId="0" fontId="70" fillId="6" borderId="4" xfId="0" applyFont="1" applyFill="1" applyBorder="1" applyAlignment="1">
      <alignment horizontal="center" vertical="center" wrapText="1"/>
    </xf>
    <xf numFmtId="0" fontId="60" fillId="6" borderId="4" xfId="0" applyFont="1" applyFill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50" fillId="18" borderId="4" xfId="0" applyFont="1" applyFill="1" applyBorder="1" applyAlignment="1">
      <alignment horizontal="center" vertical="center" wrapText="1"/>
    </xf>
    <xf numFmtId="0" fontId="60" fillId="18" borderId="4" xfId="0" applyFont="1" applyFill="1" applyBorder="1" applyAlignment="1">
      <alignment horizontal="center" vertical="center" wrapText="1"/>
    </xf>
    <xf numFmtId="0" fontId="47" fillId="18" borderId="4" xfId="0" applyFont="1" applyFill="1" applyBorder="1" applyAlignment="1">
      <alignment horizontal="center" vertical="center" wrapText="1"/>
    </xf>
    <xf numFmtId="0" fontId="47" fillId="18" borderId="1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60" fillId="6" borderId="2" xfId="0" applyFont="1" applyFill="1" applyBorder="1" applyAlignment="1">
      <alignment horizontal="center" vertical="center" wrapText="1"/>
    </xf>
    <xf numFmtId="0" fontId="50" fillId="18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0" fillId="17" borderId="2" xfId="0" applyFont="1" applyFill="1" applyBorder="1" applyAlignment="1">
      <alignment horizontal="right" vertical="center" wrapText="1"/>
    </xf>
    <xf numFmtId="0" fontId="64" fillId="17" borderId="2" xfId="0" applyFont="1" applyFill="1" applyBorder="1" applyAlignment="1">
      <alignment horizontal="right" vertical="center" wrapText="1"/>
    </xf>
    <xf numFmtId="0" fontId="50" fillId="17" borderId="4" xfId="0" applyFont="1" applyFill="1" applyBorder="1" applyAlignment="1">
      <alignment horizontal="right" vertical="center" wrapText="1"/>
    </xf>
    <xf numFmtId="0" fontId="64" fillId="17" borderId="4" xfId="0" applyFont="1" applyFill="1" applyBorder="1" applyAlignment="1">
      <alignment horizontal="right" vertical="center" wrapText="1"/>
    </xf>
    <xf numFmtId="0" fontId="47" fillId="17" borderId="2" xfId="0" applyFont="1" applyFill="1" applyBorder="1" applyAlignment="1">
      <alignment horizontal="right" vertical="center" wrapText="1"/>
    </xf>
    <xf numFmtId="0" fontId="47" fillId="17" borderId="4" xfId="0" applyFont="1" applyFill="1" applyBorder="1" applyAlignment="1">
      <alignment horizontal="right" vertical="center" wrapText="1"/>
    </xf>
    <xf numFmtId="0" fontId="68" fillId="8" borderId="0" xfId="0" applyFont="1" applyFill="1"/>
    <xf numFmtId="0" fontId="68" fillId="0" borderId="0" xfId="0" applyFont="1"/>
    <xf numFmtId="0" fontId="47" fillId="7" borderId="2" xfId="0" applyFont="1" applyFill="1" applyBorder="1" applyAlignment="1">
      <alignment horizontal="right" vertical="center" wrapText="1"/>
    </xf>
    <xf numFmtId="0" fontId="45" fillId="17" borderId="2" xfId="0" applyFont="1" applyFill="1" applyBorder="1" applyAlignment="1">
      <alignment vertical="center" wrapText="1"/>
    </xf>
    <xf numFmtId="0" fontId="45" fillId="17" borderId="3" xfId="0" applyFont="1" applyFill="1" applyBorder="1" applyAlignment="1">
      <alignment vertical="center" wrapText="1"/>
    </xf>
    <xf numFmtId="0" fontId="45" fillId="17" borderId="4" xfId="0" applyFont="1" applyFill="1" applyBorder="1" applyAlignment="1">
      <alignment vertical="center" wrapText="1"/>
    </xf>
    <xf numFmtId="0" fontId="45" fillId="17" borderId="2" xfId="0" applyFont="1" applyFill="1" applyBorder="1" applyAlignment="1">
      <alignment horizontal="right" vertical="center" wrapText="1"/>
    </xf>
    <xf numFmtId="0" fontId="45" fillId="17" borderId="4" xfId="0" applyFont="1" applyFill="1" applyBorder="1" applyAlignment="1">
      <alignment horizontal="right" vertical="center" wrapText="1"/>
    </xf>
    <xf numFmtId="0" fontId="46" fillId="8" borderId="0" xfId="0" applyFont="1" applyFill="1"/>
    <xf numFmtId="0" fontId="46" fillId="0" borderId="0" xfId="0" applyFont="1"/>
    <xf numFmtId="0" fontId="47" fillId="5" borderId="2" xfId="0" applyFont="1" applyFill="1" applyBorder="1" applyAlignment="1">
      <alignment horizontal="right" vertical="center" wrapText="1"/>
    </xf>
    <xf numFmtId="0" fontId="47" fillId="5" borderId="4" xfId="0" applyFont="1" applyFill="1" applyBorder="1" applyAlignment="1">
      <alignment horizontal="right" vertical="center" wrapText="1"/>
    </xf>
    <xf numFmtId="0" fontId="47" fillId="6" borderId="2" xfId="0" applyFont="1" applyFill="1" applyBorder="1" applyAlignment="1">
      <alignment horizontal="right" vertical="center" wrapText="1"/>
    </xf>
    <xf numFmtId="0" fontId="47" fillId="6" borderId="4" xfId="0" applyFont="1" applyFill="1" applyBorder="1" applyAlignment="1">
      <alignment horizontal="right" vertical="center" wrapText="1"/>
    </xf>
    <xf numFmtId="0" fontId="47" fillId="8" borderId="0" xfId="0" applyFont="1" applyFill="1" applyAlignment="1">
      <alignment horizontal="right" vertical="center" wrapText="1"/>
    </xf>
    <xf numFmtId="0" fontId="50" fillId="18" borderId="1" xfId="0" applyFont="1" applyFill="1" applyBorder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47" fillId="18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vertical="center" wrapText="1"/>
    </xf>
    <xf numFmtId="0" fontId="60" fillId="6" borderId="2" xfId="0" applyFont="1" applyFill="1" applyBorder="1" applyAlignment="1">
      <alignment horizontal="right" vertical="center" wrapText="1"/>
    </xf>
    <xf numFmtId="0" fontId="60" fillId="6" borderId="4" xfId="0" applyFont="1" applyFill="1" applyBorder="1" applyAlignment="1">
      <alignment vertical="center" wrapText="1"/>
    </xf>
    <xf numFmtId="0" fontId="60" fillId="6" borderId="2" xfId="0" applyFont="1" applyFill="1" applyBorder="1" applyAlignment="1">
      <alignment vertical="center" wrapText="1"/>
    </xf>
    <xf numFmtId="0" fontId="47" fillId="4" borderId="2" xfId="0" applyFont="1" applyFill="1" applyBorder="1" applyAlignment="1">
      <alignment horizontal="right" vertical="center" wrapText="1"/>
    </xf>
    <xf numFmtId="0" fontId="47" fillId="4" borderId="4" xfId="0" applyFont="1" applyFill="1" applyBorder="1" applyAlignment="1">
      <alignment vertical="center" wrapText="1"/>
    </xf>
    <xf numFmtId="0" fontId="47" fillId="6" borderId="4" xfId="0" applyFont="1" applyFill="1" applyBorder="1" applyAlignment="1">
      <alignment vertical="center" wrapText="1"/>
    </xf>
    <xf numFmtId="0" fontId="47" fillId="6" borderId="2" xfId="0" applyFont="1" applyFill="1" applyBorder="1" applyAlignment="1">
      <alignment vertical="center" wrapText="1"/>
    </xf>
    <xf numFmtId="0" fontId="17" fillId="13" borderId="2" xfId="0" applyFont="1" applyFill="1" applyBorder="1" applyAlignment="1">
      <alignment horizontal="right" vertical="center" wrapText="1"/>
    </xf>
    <xf numFmtId="0" fontId="17" fillId="13" borderId="4" xfId="0" applyFont="1" applyFill="1" applyBorder="1" applyAlignment="1">
      <alignment vertical="center" wrapText="1"/>
    </xf>
    <xf numFmtId="0" fontId="47" fillId="13" borderId="2" xfId="0" applyFont="1" applyFill="1" applyBorder="1" applyAlignment="1">
      <alignment horizontal="right" vertical="center" wrapText="1"/>
    </xf>
    <xf numFmtId="0" fontId="47" fillId="13" borderId="4" xfId="0" applyFont="1" applyFill="1" applyBorder="1" applyAlignment="1">
      <alignment vertical="center" wrapText="1"/>
    </xf>
    <xf numFmtId="1" fontId="8" fillId="8" borderId="7" xfId="0" applyNumberFormat="1" applyFont="1" applyFill="1" applyBorder="1" applyAlignment="1">
      <alignment horizontal="right"/>
    </xf>
    <xf numFmtId="1" fontId="8" fillId="8" borderId="3" xfId="0" applyNumberFormat="1" applyFont="1" applyFill="1" applyBorder="1" applyAlignment="1">
      <alignment horizontal="right"/>
    </xf>
    <xf numFmtId="0" fontId="36" fillId="13" borderId="1" xfId="0" applyFont="1" applyFill="1" applyBorder="1"/>
    <xf numFmtId="0" fontId="47" fillId="3" borderId="2" xfId="0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vertical="center" wrapText="1"/>
    </xf>
    <xf numFmtId="0" fontId="47" fillId="7" borderId="2" xfId="0" applyFont="1" applyFill="1" applyBorder="1" applyAlignment="1">
      <alignment vertical="center" wrapText="1"/>
    </xf>
    <xf numFmtId="0" fontId="14" fillId="8" borderId="9" xfId="0" applyFont="1" applyFill="1" applyBorder="1" applyAlignment="1">
      <alignment vertical="center" wrapText="1"/>
    </xf>
    <xf numFmtId="0" fontId="0" fillId="0" borderId="8" xfId="0" applyBorder="1"/>
    <xf numFmtId="0" fontId="59" fillId="11" borderId="11" xfId="0" applyFont="1" applyFill="1" applyBorder="1" applyAlignment="1">
      <alignment horizontal="left" vertical="center"/>
    </xf>
    <xf numFmtId="0" fontId="59" fillId="11" borderId="12" xfId="0" applyFont="1" applyFill="1" applyBorder="1" applyAlignment="1">
      <alignment horizontal="left" vertical="center"/>
    </xf>
    <xf numFmtId="0" fontId="59" fillId="11" borderId="2" xfId="0" applyFont="1" applyFill="1" applyBorder="1" applyAlignment="1">
      <alignment horizontal="left" vertical="center"/>
    </xf>
    <xf numFmtId="0" fontId="60" fillId="11" borderId="7" xfId="0" applyFont="1" applyFill="1" applyBorder="1" applyAlignment="1">
      <alignment horizontal="left" vertical="center" wrapText="1"/>
    </xf>
    <xf numFmtId="0" fontId="60" fillId="11" borderId="3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5" fillId="8" borderId="7" xfId="0" applyFont="1" applyFill="1" applyBorder="1" applyAlignment="1">
      <alignment horizontal="left" vertical="center" wrapText="1"/>
    </xf>
    <xf numFmtId="0" fontId="45" fillId="8" borderId="3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0" fontId="1" fillId="0" borderId="0" xfId="0" applyFont="1"/>
    <xf numFmtId="0" fontId="45" fillId="16" borderId="7" xfId="0" applyFont="1" applyFill="1" applyBorder="1" applyAlignment="1">
      <alignment horizontal="left" vertical="center" wrapText="1"/>
    </xf>
    <xf numFmtId="0" fontId="45" fillId="16" borderId="3" xfId="0" applyFont="1" applyFill="1" applyBorder="1" applyAlignment="1">
      <alignment horizontal="left" vertical="center" wrapText="1"/>
    </xf>
    <xf numFmtId="0" fontId="38" fillId="8" borderId="7" xfId="0" applyFont="1" applyFill="1" applyBorder="1" applyAlignment="1">
      <alignment horizontal="left" vertical="center" wrapText="1"/>
    </xf>
    <xf numFmtId="0" fontId="38" fillId="8" borderId="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left" vertical="center"/>
    </xf>
    <xf numFmtId="0" fontId="43" fillId="16" borderId="12" xfId="0" applyFont="1" applyFill="1" applyBorder="1" applyAlignment="1">
      <alignment horizontal="left" vertical="center"/>
    </xf>
    <xf numFmtId="0" fontId="43" fillId="16" borderId="2" xfId="0" applyFont="1" applyFill="1" applyBorder="1" applyAlignment="1">
      <alignment horizontal="left" vertical="center"/>
    </xf>
    <xf numFmtId="0" fontId="44" fillId="16" borderId="7" xfId="0" applyFont="1" applyFill="1" applyBorder="1" applyAlignment="1">
      <alignment horizontal="left" vertical="center" wrapText="1"/>
    </xf>
    <xf numFmtId="0" fontId="44" fillId="16" borderId="3" xfId="0" applyFont="1" applyFill="1" applyBorder="1" applyAlignment="1">
      <alignment horizontal="left" vertical="center" wrapText="1"/>
    </xf>
    <xf numFmtId="0" fontId="40" fillId="3" borderId="11" xfId="0" applyFont="1" applyFill="1" applyBorder="1" applyAlignment="1">
      <alignment horizontal="left" vertical="center"/>
    </xf>
    <xf numFmtId="0" fontId="40" fillId="3" borderId="12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8" fillId="16" borderId="7" xfId="0" applyFont="1" applyFill="1" applyBorder="1" applyAlignment="1">
      <alignment horizontal="left" vertical="center" wrapText="1"/>
    </xf>
    <xf numFmtId="0" fontId="8" fillId="16" borderId="3" xfId="0" applyFont="1" applyFill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51" fillId="13" borderId="7" xfId="0" applyFont="1" applyFill="1" applyBorder="1" applyAlignment="1">
      <alignment vertical="center" wrapText="1"/>
    </xf>
    <xf numFmtId="0" fontId="51" fillId="13" borderId="3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 wrapText="1"/>
    </xf>
    <xf numFmtId="0" fontId="0" fillId="0" borderId="0" xfId="0"/>
    <xf numFmtId="0" fontId="3" fillId="8" borderId="11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vertical="center" wrapText="1"/>
    </xf>
    <xf numFmtId="0" fontId="31" fillId="0" borderId="8" xfId="0" applyFont="1" applyBorder="1"/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 wrapText="1"/>
    </xf>
    <xf numFmtId="0" fontId="14" fillId="8" borderId="0" xfId="0" applyFont="1" applyFill="1"/>
    <xf numFmtId="0" fontId="13" fillId="4" borderId="7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27" fillId="8" borderId="7" xfId="0" applyFont="1" applyFill="1" applyBorder="1" applyAlignment="1">
      <alignment horizontal="left" vertical="center" wrapText="1"/>
    </xf>
    <xf numFmtId="0" fontId="27" fillId="8" borderId="3" xfId="0" applyFont="1" applyFill="1" applyBorder="1" applyAlignment="1">
      <alignment horizontal="left" vertical="center" wrapText="1"/>
    </xf>
    <xf numFmtId="0" fontId="45" fillId="15" borderId="7" xfId="0" applyFont="1" applyFill="1" applyBorder="1" applyAlignment="1">
      <alignment horizontal="left" vertical="center" wrapText="1"/>
    </xf>
    <xf numFmtId="0" fontId="45" fillId="15" borderId="3" xfId="0" applyFont="1" applyFill="1" applyBorder="1" applyAlignment="1">
      <alignment horizontal="left" vertical="center" wrapText="1"/>
    </xf>
    <xf numFmtId="0" fontId="35" fillId="13" borderId="11" xfId="0" applyFont="1" applyFill="1" applyBorder="1" applyAlignment="1">
      <alignment horizontal="left" vertical="center"/>
    </xf>
    <xf numFmtId="0" fontId="35" fillId="13" borderId="12" xfId="0" applyFont="1" applyFill="1" applyBorder="1" applyAlignment="1">
      <alignment horizontal="left" vertical="center"/>
    </xf>
    <xf numFmtId="0" fontId="35" fillId="13" borderId="2" xfId="0" applyFont="1" applyFill="1" applyBorder="1" applyAlignment="1">
      <alignment horizontal="left" vertical="center"/>
    </xf>
    <xf numFmtId="0" fontId="36" fillId="13" borderId="7" xfId="0" applyFont="1" applyFill="1" applyBorder="1" applyAlignment="1">
      <alignment horizontal="left" vertical="center" wrapText="1"/>
    </xf>
    <xf numFmtId="0" fontId="36" fillId="13" borderId="3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3" fillId="17" borderId="9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left" vertical="center" wrapText="1"/>
    </xf>
    <xf numFmtId="0" fontId="13" fillId="14" borderId="3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vertical="center" wrapText="1"/>
    </xf>
    <xf numFmtId="0" fontId="6" fillId="14" borderId="11" xfId="0" applyFont="1" applyFill="1" applyBorder="1" applyAlignment="1">
      <alignment horizontal="left" vertical="center"/>
    </xf>
    <xf numFmtId="0" fontId="6" fillId="14" borderId="12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3" fillId="8" borderId="7" xfId="0" applyFont="1" applyFill="1" applyBorder="1" applyAlignment="1">
      <alignment horizontal="left" vertical="center" wrapText="1"/>
    </xf>
    <xf numFmtId="0" fontId="33" fillId="8" borderId="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42" fillId="3" borderId="2" xfId="0" applyFont="1" applyFill="1" applyBorder="1" applyAlignment="1">
      <alignment horizontal="right" vertical="center" wrapText="1"/>
    </xf>
    <xf numFmtId="0" fontId="42" fillId="3" borderId="4" xfId="0" applyFont="1" applyFill="1" applyBorder="1" applyAlignment="1">
      <alignment vertical="center" wrapText="1"/>
    </xf>
    <xf numFmtId="0" fontId="40" fillId="8" borderId="0" xfId="0" applyFont="1" applyFill="1" applyAlignment="1">
      <alignment vertical="center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00FF"/>
      <color rgb="FFBC8F00"/>
      <color rgb="FFC0504D"/>
      <color rgb="FFA03A7C"/>
      <color rgb="FFE2AC00"/>
      <color rgb="FFC09200"/>
      <color rgb="FFFFCF37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431</xdr:row>
      <xdr:rowOff>8626</xdr:rowOff>
    </xdr:from>
    <xdr:to>
      <xdr:col>1</xdr:col>
      <xdr:colOff>22393</xdr:colOff>
      <xdr:row>438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57400-B37A-44BF-8D3F-ED8DAFD9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002701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21</xdr:col>
      <xdr:colOff>197796</xdr:colOff>
      <xdr:row>7</xdr:row>
      <xdr:rowOff>111532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1022A7-B7C5-4030-AAB8-DC7066A1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234" y="0"/>
          <a:ext cx="1440000" cy="144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</xdr:col>
      <xdr:colOff>301313</xdr:colOff>
      <xdr:row>105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0FA6F-E20A-4D13-A716-A494DB959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99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108261-0354-4B86-A730-1A96878A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5449" y="0"/>
          <a:ext cx="1440000" cy="14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8626</xdr:rowOff>
    </xdr:from>
    <xdr:to>
      <xdr:col>1</xdr:col>
      <xdr:colOff>120158</xdr:colOff>
      <xdr:row>101</xdr:row>
      <xdr:rowOff>180543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1E49F-9E83-4383-B49A-F6B7BE9D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308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35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4BCAAD-4787-4D5F-85FC-36AC3284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902" y="0"/>
          <a:ext cx="1440000" cy="14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</xdr:col>
      <xdr:colOff>301313</xdr:colOff>
      <xdr:row>87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44A23-F054-4053-A330-0FC60AA8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1117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DFD381-57CE-4086-B7DB-8242EA73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5117" y="0"/>
          <a:ext cx="1440000" cy="14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0</xdr:rowOff>
    </xdr:from>
    <xdr:to>
      <xdr:col>1</xdr:col>
      <xdr:colOff>301313</xdr:colOff>
      <xdr:row>96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778F5-A8EA-49AA-B3ED-DFFBE945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11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F5BE04-19D9-456E-9F2B-A6AA50F7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25878</xdr:rowOff>
    </xdr:from>
    <xdr:to>
      <xdr:col>1</xdr:col>
      <xdr:colOff>154664</xdr:colOff>
      <xdr:row>104</xdr:row>
      <xdr:rowOff>16640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76D92-8B8A-47D7-B00E-D1E5EDCC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799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908D3-53A1-4B5C-BE60-20A36375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3253" y="0"/>
          <a:ext cx="1440000" cy="14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</xdr:col>
      <xdr:colOff>85653</xdr:colOff>
      <xdr:row>65</xdr:row>
      <xdr:rowOff>171916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5EE8-A0FD-4223-A6AD-01B510B0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867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20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BE8A18-B155-4F68-9563-8DCDAE44C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4770" y="0"/>
          <a:ext cx="1440000" cy="14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581BB-9A5E-45B1-9EAD-C45CDF3A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63049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093234-B755-4DD1-859C-069A6EBB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8083" y="0"/>
          <a:ext cx="1440000" cy="14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0</xdr:rowOff>
    </xdr:from>
    <xdr:to>
      <xdr:col>1</xdr:col>
      <xdr:colOff>284060</xdr:colOff>
      <xdr:row>101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AF56A-C2ED-475B-B398-4607F8E3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22174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31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18BE5-409A-4B7C-B259-868CDC9F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25" y="0"/>
          <a:ext cx="1440000" cy="14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284060</xdr:colOff>
      <xdr:row>71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FFEE2-53B0-4530-BECE-969E3CCF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6324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275434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737889-11AC-4A35-8C50-B922F967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921" y="0"/>
          <a:ext cx="1440000" cy="14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05FA44-EA33-48F2-98A9-142B6368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14808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6516B-C276-431E-A98B-F9791DFB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150</xdr:row>
      <xdr:rowOff>0</xdr:rowOff>
    </xdr:from>
    <xdr:to>
      <xdr:col>1</xdr:col>
      <xdr:colOff>16642</xdr:colOff>
      <xdr:row>157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D393D-771E-4831-814B-23F9A8A0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1441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379562</xdr:colOff>
      <xdr:row>0</xdr:row>
      <xdr:rowOff>0</xdr:rowOff>
    </xdr:from>
    <xdr:to>
      <xdr:col>13</xdr:col>
      <xdr:colOff>180543</xdr:colOff>
      <xdr:row>7</xdr:row>
      <xdr:rowOff>120158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4AD2ED-7D7A-4BFD-BA19-F73C084A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087" y="0"/>
          <a:ext cx="1440000" cy="144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</xdr:col>
      <xdr:colOff>301313</xdr:colOff>
      <xdr:row>99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EDFE4-0588-45FE-AA8D-2AA05A4C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6849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3FD776-F8D2-4B78-A2BC-F866CB63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0830" y="0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284</xdr:row>
      <xdr:rowOff>8625</xdr:rowOff>
    </xdr:from>
    <xdr:to>
      <xdr:col>1</xdr:col>
      <xdr:colOff>16642</xdr:colOff>
      <xdr:row>291</xdr:row>
      <xdr:rowOff>180542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6AF5-16CB-46F6-8C0B-036D27DF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6459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197797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76497-E706-4056-AFDB-F71FDD2C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672" y="0"/>
          <a:ext cx="14400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95</xdr:row>
      <xdr:rowOff>0</xdr:rowOff>
    </xdr:from>
    <xdr:to>
      <xdr:col>1</xdr:col>
      <xdr:colOff>85653</xdr:colOff>
      <xdr:row>102</xdr:row>
      <xdr:rowOff>111532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780F0-AF6E-4AA0-9B80-AB314521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716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8627</xdr:colOff>
      <xdr:row>0</xdr:row>
      <xdr:rowOff>77638</xdr:rowOff>
    </xdr:from>
    <xdr:to>
      <xdr:col>13</xdr:col>
      <xdr:colOff>206423</xdr:colOff>
      <xdr:row>8</xdr:row>
      <xdr:rowOff>8015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46B141-52C1-4729-A1BD-F11129F9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02" y="77638"/>
          <a:ext cx="14400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</xdr:col>
      <xdr:colOff>301313</xdr:colOff>
      <xdr:row>93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3C87E-7160-4BD1-A2F6-199EE96C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7293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85653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EB3D7C-DA16-43F4-AA43-78ADC81D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85653</xdr:colOff>
      <xdr:row>71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9D1E3-FFFD-4962-975D-A502D0AA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45396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18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F76343-3BC3-45CB-AD0B-79A1CB75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668" y="0"/>
          <a:ext cx="14400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</xdr:col>
      <xdr:colOff>301313</xdr:colOff>
      <xdr:row>97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F9C63-94A9-486A-B2C4-0D84D86F3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579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77026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22013-40B3-48C1-B388-34B19B8E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17253</xdr:rowOff>
    </xdr:from>
    <xdr:to>
      <xdr:col>1</xdr:col>
      <xdr:colOff>85653</xdr:colOff>
      <xdr:row>116</xdr:row>
      <xdr:rowOff>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893DB-D3DF-45EB-A743-498D3D90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4812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102906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05B636-499D-4895-ABF3-AB3188D7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064" y="0"/>
          <a:ext cx="14400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</xdr:col>
      <xdr:colOff>301313</xdr:colOff>
      <xdr:row>51</xdr:row>
      <xdr:rowOff>171917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E76BE-C22E-4516-B53A-FB58FB9A9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744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0</xdr:row>
      <xdr:rowOff>0</xdr:rowOff>
    </xdr:from>
    <xdr:to>
      <xdr:col>34</xdr:col>
      <xdr:colOff>197796</xdr:colOff>
      <xdr:row>7</xdr:row>
      <xdr:rowOff>111532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0FC88-77D7-46FD-8353-454F42E8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955" y="0"/>
          <a:ext cx="1440000" cy="14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NTERNATIONAL%20MEN'S%20RUGBY/2026/Men's%20International%20Scorers%202026.xlsx" TargetMode="External"/><Relationship Id="rId2" Type="http://schemas.openxmlformats.org/officeDocument/2006/relationships/externalLinkPath" Target="https://d.docs.live.net/97d62a7607d3ee9b/Hillsport%20Media/INTERNATIONAL%20MEN'S%20RUGBY/2026/Men's%20International%20Scorers%202026.xlsx" TargetMode="External"/><Relationship Id="rId1" Type="http://schemas.openxmlformats.org/officeDocument/2006/relationships/externalLinkPath" Target="/97d62a7607d3ee9b/Hillsport%20Media/INTERNATIONAL%20MEN'S%20RUGBY/2026/Men's%20International%20Scorer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6N"/>
      <sheetName val="TIER 1"/>
      <sheetName val="ARG"/>
      <sheetName val="AUS"/>
      <sheetName val="CAN"/>
      <sheetName val="CHI"/>
      <sheetName val="ENG"/>
      <sheetName val="FIJ"/>
      <sheetName val="FRA"/>
      <sheetName val="GEO"/>
      <sheetName val="IRE"/>
      <sheetName val="ITA"/>
      <sheetName val="JPN"/>
      <sheetName val="NAM"/>
      <sheetName val="NZL"/>
      <sheetName val="POR"/>
      <sheetName val="ROM"/>
      <sheetName val="SAM"/>
      <sheetName val="SCO"/>
      <sheetName val="RSA"/>
      <sheetName val="ESP"/>
      <sheetName val="TGA"/>
      <sheetName val="USA"/>
      <sheetName val="URU"/>
      <sheetName val="WAL"/>
      <sheetName val="RC"/>
    </sheetNames>
    <sheetDataSet>
      <sheetData sheetId="0"/>
      <sheetData sheetId="1"/>
      <sheetData sheetId="2"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  <cell r="J4" t="str">
            <v>-</v>
          </cell>
          <cell r="K4" t="str">
            <v>-</v>
          </cell>
        </row>
        <row r="6">
          <cell r="C6">
            <v>0</v>
          </cell>
          <cell r="G6">
            <v>0</v>
          </cell>
          <cell r="J6" t="str">
            <v>-</v>
          </cell>
          <cell r="K6" t="str">
            <v>-</v>
          </cell>
        </row>
        <row r="7">
          <cell r="C7">
            <v>0</v>
          </cell>
          <cell r="G7">
            <v>0</v>
          </cell>
          <cell r="J7" t="str">
            <v>-</v>
          </cell>
          <cell r="K7" t="str">
            <v>-</v>
          </cell>
        </row>
        <row r="8">
          <cell r="C8">
            <v>0</v>
          </cell>
          <cell r="G8">
            <v>0</v>
          </cell>
          <cell r="J8" t="str">
            <v>-</v>
          </cell>
          <cell r="K8" t="str">
            <v>-</v>
          </cell>
        </row>
        <row r="9">
          <cell r="C9">
            <v>0</v>
          </cell>
          <cell r="G9">
            <v>0</v>
          </cell>
        </row>
        <row r="10">
          <cell r="C10">
            <v>0</v>
          </cell>
          <cell r="G10">
            <v>0</v>
          </cell>
        </row>
        <row r="11">
          <cell r="C11">
            <v>0</v>
          </cell>
          <cell r="G11">
            <v>0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</row>
        <row r="14">
          <cell r="C14">
            <v>0</v>
          </cell>
          <cell r="G14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7">
          <cell r="C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19">
          <cell r="C19">
            <v>0</v>
          </cell>
          <cell r="G19">
            <v>0</v>
          </cell>
        </row>
        <row r="22">
          <cell r="C22">
            <v>0</v>
          </cell>
          <cell r="G22">
            <v>0</v>
          </cell>
        </row>
        <row r="23">
          <cell r="C23">
            <v>0</v>
          </cell>
          <cell r="G23">
            <v>0</v>
          </cell>
        </row>
        <row r="24">
          <cell r="C24">
            <v>0</v>
          </cell>
          <cell r="G24">
            <v>0</v>
          </cell>
        </row>
        <row r="25">
          <cell r="C25">
            <v>0</v>
          </cell>
          <cell r="G25">
            <v>0</v>
          </cell>
        </row>
        <row r="27">
          <cell r="C27">
            <v>0</v>
          </cell>
          <cell r="G27">
            <v>0</v>
          </cell>
        </row>
        <row r="28">
          <cell r="C28">
            <v>0</v>
          </cell>
          <cell r="G28">
            <v>0</v>
          </cell>
        </row>
        <row r="29">
          <cell r="C29">
            <v>0</v>
          </cell>
          <cell r="G29">
            <v>0</v>
          </cell>
        </row>
        <row r="30">
          <cell r="C30">
            <v>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4">
          <cell r="C34">
            <v>0</v>
          </cell>
          <cell r="G34">
            <v>0</v>
          </cell>
        </row>
        <row r="35">
          <cell r="C35">
            <v>0</v>
          </cell>
          <cell r="G35">
            <v>0</v>
          </cell>
        </row>
        <row r="36">
          <cell r="C36">
            <v>0</v>
          </cell>
          <cell r="G36">
            <v>0</v>
          </cell>
        </row>
        <row r="38">
          <cell r="C38">
            <v>0</v>
          </cell>
          <cell r="G38">
            <v>0</v>
          </cell>
        </row>
        <row r="39">
          <cell r="C39">
            <v>0</v>
          </cell>
          <cell r="G39">
            <v>0</v>
          </cell>
        </row>
        <row r="40">
          <cell r="C40">
            <v>0</v>
          </cell>
          <cell r="G40">
            <v>0</v>
          </cell>
        </row>
        <row r="41">
          <cell r="C41">
            <v>0</v>
          </cell>
          <cell r="G41">
            <v>0</v>
          </cell>
        </row>
        <row r="42">
          <cell r="C42">
            <v>0</v>
          </cell>
          <cell r="G42">
            <v>0</v>
          </cell>
        </row>
        <row r="44">
          <cell r="C44">
            <v>0</v>
          </cell>
          <cell r="G44">
            <v>0</v>
          </cell>
        </row>
        <row r="46">
          <cell r="C46">
            <v>0</v>
          </cell>
          <cell r="G46">
            <v>0</v>
          </cell>
        </row>
      </sheetData>
      <sheetData sheetId="3"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  <cell r="J4" t="str">
            <v>-</v>
          </cell>
          <cell r="K4" t="str">
            <v>-</v>
          </cell>
        </row>
        <row r="5">
          <cell r="C5">
            <v>0</v>
          </cell>
          <cell r="G5">
            <v>0</v>
          </cell>
          <cell r="J5" t="str">
            <v>-</v>
          </cell>
          <cell r="K5" t="str">
            <v>-</v>
          </cell>
        </row>
        <row r="6">
          <cell r="C6">
            <v>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C8">
            <v>0</v>
          </cell>
          <cell r="G8">
            <v>0</v>
          </cell>
          <cell r="J8" t="str">
            <v>-</v>
          </cell>
          <cell r="K8" t="str">
            <v>-</v>
          </cell>
        </row>
        <row r="9">
          <cell r="C9">
            <v>0</v>
          </cell>
          <cell r="G9">
            <v>0</v>
          </cell>
          <cell r="J9" t="str">
            <v>-</v>
          </cell>
          <cell r="K9" t="str">
            <v>-</v>
          </cell>
        </row>
        <row r="10">
          <cell r="C10">
            <v>0</v>
          </cell>
          <cell r="G10">
            <v>0</v>
          </cell>
          <cell r="J10" t="str">
            <v>-</v>
          </cell>
          <cell r="K10" t="str">
            <v>-</v>
          </cell>
        </row>
        <row r="11">
          <cell r="J11" t="str">
            <v>-</v>
          </cell>
          <cell r="K11" t="str">
            <v>-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  <cell r="G13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7">
          <cell r="C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19">
          <cell r="C19">
            <v>0</v>
          </cell>
          <cell r="G19">
            <v>0</v>
          </cell>
        </row>
        <row r="20">
          <cell r="C20">
            <v>0</v>
          </cell>
          <cell r="G20">
            <v>0</v>
          </cell>
        </row>
        <row r="21">
          <cell r="C21">
            <v>0</v>
          </cell>
          <cell r="G21">
            <v>0</v>
          </cell>
        </row>
        <row r="23">
          <cell r="C23">
            <v>0</v>
          </cell>
          <cell r="G23">
            <v>0</v>
          </cell>
        </row>
        <row r="24">
          <cell r="C24">
            <v>0</v>
          </cell>
          <cell r="G24">
            <v>0</v>
          </cell>
        </row>
        <row r="26">
          <cell r="C26">
            <v>0</v>
          </cell>
          <cell r="G26">
            <v>0</v>
          </cell>
        </row>
        <row r="27">
          <cell r="C27">
            <v>0</v>
          </cell>
          <cell r="G27">
            <v>0</v>
          </cell>
        </row>
        <row r="28">
          <cell r="C28">
            <v>0</v>
          </cell>
          <cell r="G28">
            <v>0</v>
          </cell>
        </row>
        <row r="29">
          <cell r="C29">
            <v>0</v>
          </cell>
          <cell r="G29">
            <v>0</v>
          </cell>
        </row>
        <row r="30">
          <cell r="C30">
            <v>0</v>
          </cell>
          <cell r="G30">
            <v>0</v>
          </cell>
        </row>
        <row r="32">
          <cell r="C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6">
          <cell r="C36">
            <v>0</v>
          </cell>
          <cell r="G36">
            <v>0</v>
          </cell>
        </row>
        <row r="37">
          <cell r="C37">
            <v>0</v>
          </cell>
          <cell r="G37">
            <v>0</v>
          </cell>
        </row>
        <row r="38">
          <cell r="C38">
            <v>0</v>
          </cell>
          <cell r="G38">
            <v>0</v>
          </cell>
        </row>
        <row r="39">
          <cell r="C39">
            <v>0</v>
          </cell>
          <cell r="G39">
            <v>0</v>
          </cell>
        </row>
        <row r="40">
          <cell r="C40">
            <v>0</v>
          </cell>
          <cell r="G40">
            <v>0</v>
          </cell>
        </row>
        <row r="43">
          <cell r="C43">
            <v>0</v>
          </cell>
          <cell r="G43">
            <v>0</v>
          </cell>
        </row>
        <row r="45">
          <cell r="C45">
            <v>0</v>
          </cell>
          <cell r="G45">
            <v>0</v>
          </cell>
        </row>
        <row r="46">
          <cell r="C46">
            <v>0</v>
          </cell>
          <cell r="G46">
            <v>0</v>
          </cell>
        </row>
        <row r="47">
          <cell r="C47">
            <v>0</v>
          </cell>
          <cell r="G47">
            <v>0</v>
          </cell>
        </row>
        <row r="49">
          <cell r="C49">
            <v>0</v>
          </cell>
          <cell r="G49">
            <v>0</v>
          </cell>
        </row>
        <row r="51">
          <cell r="C51">
            <v>0</v>
          </cell>
          <cell r="G51">
            <v>0</v>
          </cell>
        </row>
        <row r="52">
          <cell r="C52">
            <v>0</v>
          </cell>
          <cell r="G52">
            <v>0</v>
          </cell>
        </row>
        <row r="53">
          <cell r="C53">
            <v>0</v>
          </cell>
          <cell r="G53">
            <v>0</v>
          </cell>
        </row>
      </sheetData>
      <sheetData sheetId="4"/>
      <sheetData sheetId="5"/>
      <sheetData sheetId="6">
        <row r="3">
          <cell r="B3">
            <v>0</v>
          </cell>
          <cell r="C3">
            <v>4</v>
          </cell>
          <cell r="F3">
            <v>0</v>
          </cell>
          <cell r="G3">
            <v>20</v>
          </cell>
        </row>
        <row r="4">
          <cell r="J4" t="str">
            <v>-</v>
          </cell>
          <cell r="K4" t="str">
            <v>-</v>
          </cell>
        </row>
        <row r="5">
          <cell r="B5">
            <v>0</v>
          </cell>
          <cell r="F5">
            <v>0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  <cell r="J6">
            <v>12</v>
          </cell>
          <cell r="K6">
            <v>14</v>
          </cell>
        </row>
        <row r="7">
          <cell r="C7">
            <v>0</v>
          </cell>
          <cell r="G7">
            <v>0</v>
          </cell>
        </row>
        <row r="8">
          <cell r="B8">
            <v>0</v>
          </cell>
          <cell r="F8">
            <v>0</v>
          </cell>
          <cell r="J8">
            <v>3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</row>
        <row r="13">
          <cell r="B13">
            <v>0</v>
          </cell>
          <cell r="C13">
            <v>1</v>
          </cell>
          <cell r="F13">
            <v>0</v>
          </cell>
          <cell r="G13">
            <v>5</v>
          </cell>
        </row>
        <row r="14">
          <cell r="B14">
            <v>0</v>
          </cell>
          <cell r="C14">
            <v>2</v>
          </cell>
          <cell r="F14">
            <v>0</v>
          </cell>
          <cell r="G14">
            <v>10</v>
          </cell>
        </row>
        <row r="15"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27</v>
          </cell>
        </row>
        <row r="17">
          <cell r="B17">
            <v>0</v>
          </cell>
          <cell r="C17">
            <v>2</v>
          </cell>
          <cell r="F17">
            <v>0</v>
          </cell>
          <cell r="G17">
            <v>10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F20">
            <v>0</v>
          </cell>
        </row>
        <row r="21"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F23">
            <v>0</v>
          </cell>
        </row>
        <row r="24">
          <cell r="B24">
            <v>0</v>
          </cell>
          <cell r="C24">
            <v>1</v>
          </cell>
          <cell r="F24">
            <v>0</v>
          </cell>
          <cell r="G24">
            <v>5</v>
          </cell>
        </row>
        <row r="25">
          <cell r="C25">
            <v>0</v>
          </cell>
          <cell r="G25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F29">
            <v>0</v>
          </cell>
        </row>
        <row r="30">
          <cell r="B30">
            <v>0</v>
          </cell>
          <cell r="F30">
            <v>0</v>
          </cell>
        </row>
        <row r="31">
          <cell r="B31">
            <v>0</v>
          </cell>
          <cell r="C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F32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F34">
            <v>0</v>
          </cell>
        </row>
        <row r="36">
          <cell r="B36">
            <v>0</v>
          </cell>
          <cell r="C36">
            <v>2</v>
          </cell>
          <cell r="F36">
            <v>0</v>
          </cell>
          <cell r="G36">
            <v>10</v>
          </cell>
        </row>
        <row r="37">
          <cell r="B37">
            <v>0</v>
          </cell>
          <cell r="F37">
            <v>0</v>
          </cell>
        </row>
        <row r="38">
          <cell r="B38">
            <v>0</v>
          </cell>
          <cell r="C38">
            <v>0</v>
          </cell>
          <cell r="F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F39">
            <v>0</v>
          </cell>
          <cell r="G39">
            <v>8</v>
          </cell>
        </row>
        <row r="40">
          <cell r="B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1</v>
          </cell>
          <cell r="F43">
            <v>0</v>
          </cell>
          <cell r="G43">
            <v>5</v>
          </cell>
        </row>
        <row r="44">
          <cell r="B44">
            <v>0</v>
          </cell>
          <cell r="F44">
            <v>0</v>
          </cell>
        </row>
      </sheetData>
      <sheetData sheetId="7"/>
      <sheetData sheetId="8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</row>
        <row r="6">
          <cell r="B6">
            <v>4</v>
          </cell>
          <cell r="C6">
            <v>0</v>
          </cell>
          <cell r="F6">
            <v>20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0</v>
          </cell>
          <cell r="J8" t="str">
            <v>-</v>
          </cell>
          <cell r="K8" t="str">
            <v>-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G10">
            <v>0</v>
          </cell>
          <cell r="J10" t="str">
            <v>-</v>
          </cell>
          <cell r="K10" t="str">
            <v>-</v>
          </cell>
        </row>
        <row r="11">
          <cell r="B11">
            <v>5</v>
          </cell>
          <cell r="C11">
            <v>0</v>
          </cell>
          <cell r="F11">
            <v>25</v>
          </cell>
          <cell r="G11">
            <v>0</v>
          </cell>
          <cell r="J11" t="str">
            <v>-</v>
          </cell>
          <cell r="K11" t="str">
            <v>-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J13">
            <v>21</v>
          </cell>
          <cell r="K13">
            <v>25</v>
          </cell>
        </row>
        <row r="14">
          <cell r="B14">
            <v>1</v>
          </cell>
          <cell r="C14">
            <v>0</v>
          </cell>
          <cell r="F14">
            <v>5</v>
          </cell>
          <cell r="G14">
            <v>0</v>
          </cell>
          <cell r="J14" t="str">
            <v>-</v>
          </cell>
          <cell r="K14" t="str">
            <v>-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19">
          <cell r="B19">
            <v>0</v>
          </cell>
          <cell r="F19">
            <v>0</v>
          </cell>
        </row>
        <row r="20"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2">
          <cell r="B22">
            <v>1</v>
          </cell>
          <cell r="C22">
            <v>0</v>
          </cell>
          <cell r="F22">
            <v>5</v>
          </cell>
          <cell r="G22">
            <v>0</v>
          </cell>
        </row>
        <row r="23">
          <cell r="B23">
            <v>0</v>
          </cell>
          <cell r="C23">
            <v>0</v>
          </cell>
          <cell r="F23">
            <v>0</v>
          </cell>
          <cell r="G23">
            <v>0</v>
          </cell>
        </row>
        <row r="26"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8">
          <cell r="C28">
            <v>0</v>
          </cell>
          <cell r="G28">
            <v>0</v>
          </cell>
        </row>
        <row r="29">
          <cell r="B29">
            <v>0</v>
          </cell>
          <cell r="F29">
            <v>0</v>
          </cell>
        </row>
        <row r="30">
          <cell r="B30">
            <v>2</v>
          </cell>
          <cell r="C30">
            <v>0</v>
          </cell>
          <cell r="F30">
            <v>10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F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4">
          <cell r="B34">
            <v>2</v>
          </cell>
          <cell r="C34">
            <v>0</v>
          </cell>
          <cell r="F34">
            <v>10</v>
          </cell>
          <cell r="G34">
            <v>0</v>
          </cell>
        </row>
        <row r="35">
          <cell r="B35">
            <v>1</v>
          </cell>
          <cell r="C35">
            <v>0</v>
          </cell>
          <cell r="F35">
            <v>5</v>
          </cell>
          <cell r="G35">
            <v>0</v>
          </cell>
        </row>
        <row r="36"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F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F38">
            <v>0</v>
          </cell>
          <cell r="G38">
            <v>0</v>
          </cell>
        </row>
        <row r="39">
          <cell r="C39">
            <v>0</v>
          </cell>
          <cell r="G39">
            <v>0</v>
          </cell>
        </row>
        <row r="40">
          <cell r="B40">
            <v>1</v>
          </cell>
          <cell r="C40">
            <v>0</v>
          </cell>
          <cell r="F40">
            <v>5</v>
          </cell>
          <cell r="G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B42">
            <v>1</v>
          </cell>
          <cell r="C42">
            <v>0</v>
          </cell>
          <cell r="F42">
            <v>5</v>
          </cell>
          <cell r="G42">
            <v>0</v>
          </cell>
        </row>
        <row r="43"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5">
          <cell r="B45">
            <v>2</v>
          </cell>
          <cell r="C45">
            <v>0</v>
          </cell>
          <cell r="F45">
            <v>10</v>
          </cell>
          <cell r="G45">
            <v>0</v>
          </cell>
        </row>
        <row r="47">
          <cell r="C47">
            <v>0</v>
          </cell>
          <cell r="G47">
            <v>0</v>
          </cell>
        </row>
        <row r="48">
          <cell r="B48">
            <v>3</v>
          </cell>
          <cell r="C48">
            <v>0</v>
          </cell>
          <cell r="F48">
            <v>58</v>
          </cell>
          <cell r="G48">
            <v>0</v>
          </cell>
        </row>
        <row r="49">
          <cell r="C49">
            <v>0</v>
          </cell>
          <cell r="G49">
            <v>0</v>
          </cell>
        </row>
        <row r="50">
          <cell r="C50">
            <v>0</v>
          </cell>
          <cell r="G50">
            <v>0</v>
          </cell>
        </row>
        <row r="51">
          <cell r="C51">
            <v>0</v>
          </cell>
          <cell r="G51">
            <v>0</v>
          </cell>
        </row>
        <row r="52">
          <cell r="B52">
            <v>0</v>
          </cell>
          <cell r="F52">
            <v>0</v>
          </cell>
        </row>
        <row r="53">
          <cell r="C53">
            <v>0</v>
          </cell>
          <cell r="G53">
            <v>0</v>
          </cell>
        </row>
        <row r="54">
          <cell r="C54">
            <v>0</v>
          </cell>
          <cell r="G54">
            <v>0</v>
          </cell>
        </row>
        <row r="58">
          <cell r="C58">
            <v>0</v>
          </cell>
          <cell r="G58">
            <v>0</v>
          </cell>
        </row>
      </sheetData>
      <sheetData sheetId="9"/>
      <sheetData sheetId="10"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</row>
        <row r="5">
          <cell r="B5">
            <v>2</v>
          </cell>
          <cell r="C5">
            <v>0</v>
          </cell>
          <cell r="F5">
            <v>10</v>
          </cell>
          <cell r="G5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G8">
            <v>0</v>
          </cell>
          <cell r="J8">
            <v>12</v>
          </cell>
          <cell r="K8">
            <v>16</v>
          </cell>
        </row>
        <row r="9">
          <cell r="B9">
            <v>0</v>
          </cell>
          <cell r="F9">
            <v>0</v>
          </cell>
        </row>
        <row r="10">
          <cell r="J10">
            <v>2</v>
          </cell>
          <cell r="K10">
            <v>4</v>
          </cell>
        </row>
        <row r="11">
          <cell r="C11">
            <v>0</v>
          </cell>
          <cell r="G11">
            <v>0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  <cell r="G13">
            <v>0</v>
          </cell>
        </row>
        <row r="14">
          <cell r="B14">
            <v>1</v>
          </cell>
          <cell r="C14">
            <v>0</v>
          </cell>
          <cell r="F14">
            <v>34</v>
          </cell>
          <cell r="G14">
            <v>0</v>
          </cell>
        </row>
        <row r="15"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G18">
            <v>0</v>
          </cell>
        </row>
        <row r="20"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3">
          <cell r="B23">
            <v>0</v>
          </cell>
          <cell r="C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F24">
            <v>0</v>
          </cell>
          <cell r="G24">
            <v>0</v>
          </cell>
        </row>
        <row r="25">
          <cell r="C25">
            <v>0</v>
          </cell>
          <cell r="G25">
            <v>0</v>
          </cell>
        </row>
        <row r="26">
          <cell r="B26">
            <v>0</v>
          </cell>
          <cell r="F26">
            <v>0</v>
          </cell>
        </row>
        <row r="27">
          <cell r="C27">
            <v>0</v>
          </cell>
          <cell r="G27">
            <v>0</v>
          </cell>
        </row>
        <row r="29"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F30">
            <v>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F32">
            <v>0</v>
          </cell>
          <cell r="G32">
            <v>0</v>
          </cell>
        </row>
        <row r="33">
          <cell r="C33">
            <v>0</v>
          </cell>
          <cell r="G33">
            <v>0</v>
          </cell>
        </row>
        <row r="34">
          <cell r="B34">
            <v>1</v>
          </cell>
          <cell r="C34">
            <v>0</v>
          </cell>
          <cell r="F34">
            <v>5</v>
          </cell>
          <cell r="G34">
            <v>0</v>
          </cell>
        </row>
        <row r="35"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F36">
            <v>0</v>
          </cell>
          <cell r="G36">
            <v>0</v>
          </cell>
        </row>
        <row r="37">
          <cell r="C37">
            <v>0</v>
          </cell>
          <cell r="G37">
            <v>0</v>
          </cell>
        </row>
        <row r="39">
          <cell r="B39">
            <v>3</v>
          </cell>
          <cell r="C39">
            <v>0</v>
          </cell>
          <cell r="F39">
            <v>15</v>
          </cell>
          <cell r="G39">
            <v>0</v>
          </cell>
        </row>
        <row r="40"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F43">
            <v>4</v>
          </cell>
          <cell r="G43">
            <v>0</v>
          </cell>
        </row>
        <row r="44">
          <cell r="C44">
            <v>0</v>
          </cell>
          <cell r="G44">
            <v>0</v>
          </cell>
        </row>
        <row r="45">
          <cell r="B45">
            <v>0</v>
          </cell>
          <cell r="C45">
            <v>0</v>
          </cell>
          <cell r="F45">
            <v>0</v>
          </cell>
          <cell r="G45">
            <v>0</v>
          </cell>
        </row>
        <row r="46">
          <cell r="B46">
            <v>1</v>
          </cell>
          <cell r="C46">
            <v>0</v>
          </cell>
          <cell r="F46">
            <v>5</v>
          </cell>
          <cell r="G46">
            <v>0</v>
          </cell>
        </row>
        <row r="47">
          <cell r="B47">
            <v>1</v>
          </cell>
          <cell r="C47">
            <v>0</v>
          </cell>
          <cell r="F47">
            <v>5</v>
          </cell>
          <cell r="G47">
            <v>0</v>
          </cell>
        </row>
        <row r="48">
          <cell r="B48">
            <v>1</v>
          </cell>
          <cell r="C48">
            <v>0</v>
          </cell>
          <cell r="F48">
            <v>5</v>
          </cell>
          <cell r="G48">
            <v>0</v>
          </cell>
        </row>
        <row r="49">
          <cell r="C49">
            <v>0</v>
          </cell>
          <cell r="G49">
            <v>0</v>
          </cell>
        </row>
      </sheetData>
      <sheetData sheetId="11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4">
          <cell r="J4" t="str">
            <v>-</v>
          </cell>
          <cell r="K4" t="str">
            <v>-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 t="str">
            <v>-</v>
          </cell>
          <cell r="K5" t="str">
            <v>-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C8">
            <v>0</v>
          </cell>
          <cell r="G8">
            <v>0</v>
          </cell>
        </row>
        <row r="9">
          <cell r="C9">
            <v>0</v>
          </cell>
          <cell r="G9">
            <v>0</v>
          </cell>
        </row>
        <row r="10">
          <cell r="J10" t="str">
            <v>-</v>
          </cell>
          <cell r="K10" t="str">
            <v>-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  <cell r="J11" t="str">
            <v>-</v>
          </cell>
          <cell r="K11" t="str">
            <v>-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G13">
            <v>0</v>
          </cell>
        </row>
        <row r="17">
          <cell r="B17">
            <v>0</v>
          </cell>
          <cell r="C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2">
          <cell r="C22">
            <v>0</v>
          </cell>
          <cell r="G22">
            <v>0</v>
          </cell>
        </row>
        <row r="23">
          <cell r="C23">
            <v>0</v>
          </cell>
          <cell r="G23">
            <v>0</v>
          </cell>
        </row>
        <row r="24">
          <cell r="B24">
            <v>1</v>
          </cell>
          <cell r="C24">
            <v>0</v>
          </cell>
          <cell r="F24">
            <v>5</v>
          </cell>
          <cell r="G24">
            <v>0</v>
          </cell>
        </row>
        <row r="25">
          <cell r="B25">
            <v>1</v>
          </cell>
          <cell r="C25">
            <v>0</v>
          </cell>
          <cell r="F25">
            <v>5</v>
          </cell>
          <cell r="G25">
            <v>0</v>
          </cell>
        </row>
        <row r="26">
          <cell r="C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F28">
            <v>0</v>
          </cell>
          <cell r="G28">
            <v>0</v>
          </cell>
        </row>
        <row r="30">
          <cell r="B30">
            <v>1</v>
          </cell>
          <cell r="C30">
            <v>0</v>
          </cell>
          <cell r="F30">
            <v>5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F34">
            <v>0</v>
          </cell>
          <cell r="G34">
            <v>0</v>
          </cell>
        </row>
        <row r="36">
          <cell r="B36">
            <v>0</v>
          </cell>
          <cell r="C36">
            <v>0</v>
          </cell>
          <cell r="F36">
            <v>0</v>
          </cell>
          <cell r="G36">
            <v>0</v>
          </cell>
        </row>
        <row r="38">
          <cell r="B38">
            <v>0</v>
          </cell>
          <cell r="C38">
            <v>0</v>
          </cell>
          <cell r="F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F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F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F41">
            <v>0</v>
          </cell>
          <cell r="G41">
            <v>0</v>
          </cell>
        </row>
        <row r="42">
          <cell r="C42">
            <v>0</v>
          </cell>
          <cell r="G42">
            <v>0</v>
          </cell>
        </row>
        <row r="43">
          <cell r="C43">
            <v>0</v>
          </cell>
          <cell r="G43">
            <v>0</v>
          </cell>
        </row>
      </sheetData>
      <sheetData sheetId="12"/>
      <sheetData sheetId="13"/>
      <sheetData sheetId="14">
        <row r="3">
          <cell r="B3">
            <v>0</v>
          </cell>
          <cell r="F3">
            <v>0</v>
          </cell>
        </row>
        <row r="4">
          <cell r="B4">
            <v>0</v>
          </cell>
          <cell r="F4">
            <v>0</v>
          </cell>
          <cell r="J4" t="str">
            <v>-</v>
          </cell>
          <cell r="K4" t="str">
            <v>-</v>
          </cell>
        </row>
        <row r="5">
          <cell r="J5" t="str">
            <v>-</v>
          </cell>
          <cell r="K5" t="str">
            <v>-</v>
          </cell>
        </row>
        <row r="6">
          <cell r="B6">
            <v>0</v>
          </cell>
          <cell r="F6">
            <v>0</v>
          </cell>
          <cell r="J6" t="str">
            <v>-</v>
          </cell>
          <cell r="K6" t="str">
            <v>-</v>
          </cell>
        </row>
        <row r="7">
          <cell r="B7">
            <v>0</v>
          </cell>
          <cell r="F7">
            <v>0</v>
          </cell>
        </row>
        <row r="8">
          <cell r="B8">
            <v>0</v>
          </cell>
          <cell r="F8">
            <v>0</v>
          </cell>
        </row>
        <row r="9">
          <cell r="B9">
            <v>0</v>
          </cell>
          <cell r="F9">
            <v>0</v>
          </cell>
        </row>
        <row r="10">
          <cell r="B10">
            <v>0</v>
          </cell>
          <cell r="F10">
            <v>0</v>
          </cell>
        </row>
        <row r="11">
          <cell r="B11">
            <v>0</v>
          </cell>
          <cell r="F11">
            <v>0</v>
          </cell>
        </row>
        <row r="12">
          <cell r="B12">
            <v>0</v>
          </cell>
          <cell r="F12">
            <v>0</v>
          </cell>
        </row>
        <row r="13">
          <cell r="B13">
            <v>0</v>
          </cell>
          <cell r="F13">
            <v>0</v>
          </cell>
        </row>
        <row r="16">
          <cell r="B16">
            <v>0</v>
          </cell>
          <cell r="F16">
            <v>0</v>
          </cell>
        </row>
        <row r="18">
          <cell r="B18">
            <v>0</v>
          </cell>
          <cell r="F18">
            <v>0</v>
          </cell>
        </row>
        <row r="19">
          <cell r="B19">
            <v>0</v>
          </cell>
          <cell r="F19">
            <v>0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0</v>
          </cell>
        </row>
        <row r="23">
          <cell r="B23">
            <v>0</v>
          </cell>
          <cell r="F23">
            <v>0</v>
          </cell>
        </row>
        <row r="24">
          <cell r="B24">
            <v>0</v>
          </cell>
          <cell r="F24">
            <v>0</v>
          </cell>
        </row>
        <row r="25">
          <cell r="B25">
            <v>0</v>
          </cell>
          <cell r="F25">
            <v>0</v>
          </cell>
        </row>
        <row r="28">
          <cell r="B28">
            <v>0</v>
          </cell>
          <cell r="F28">
            <v>0</v>
          </cell>
        </row>
        <row r="31">
          <cell r="B31">
            <v>0</v>
          </cell>
          <cell r="F31">
            <v>0</v>
          </cell>
        </row>
        <row r="32">
          <cell r="B32">
            <v>0</v>
          </cell>
          <cell r="F32">
            <v>0</v>
          </cell>
        </row>
        <row r="33">
          <cell r="B33">
            <v>0</v>
          </cell>
          <cell r="F33">
            <v>0</v>
          </cell>
        </row>
        <row r="34">
          <cell r="B34">
            <v>0</v>
          </cell>
          <cell r="F34">
            <v>0</v>
          </cell>
        </row>
        <row r="35">
          <cell r="B35">
            <v>0</v>
          </cell>
          <cell r="F35">
            <v>0</v>
          </cell>
        </row>
        <row r="36">
          <cell r="B36">
            <v>0</v>
          </cell>
          <cell r="F36">
            <v>0</v>
          </cell>
        </row>
        <row r="38">
          <cell r="B38">
            <v>0</v>
          </cell>
          <cell r="F38">
            <v>0</v>
          </cell>
        </row>
        <row r="39">
          <cell r="B39">
            <v>0</v>
          </cell>
          <cell r="F39">
            <v>0</v>
          </cell>
        </row>
        <row r="40">
          <cell r="B40">
            <v>0</v>
          </cell>
          <cell r="F40">
            <v>0</v>
          </cell>
        </row>
        <row r="41">
          <cell r="B41">
            <v>0</v>
          </cell>
          <cell r="F41">
            <v>0</v>
          </cell>
        </row>
        <row r="42">
          <cell r="B42">
            <v>0</v>
          </cell>
          <cell r="F42">
            <v>0</v>
          </cell>
        </row>
        <row r="44">
          <cell r="B44">
            <v>0</v>
          </cell>
          <cell r="F44">
            <v>0</v>
          </cell>
        </row>
        <row r="45">
          <cell r="B45">
            <v>0</v>
          </cell>
          <cell r="F45">
            <v>0</v>
          </cell>
        </row>
      </sheetData>
      <sheetData sheetId="15"/>
      <sheetData sheetId="16"/>
      <sheetData sheetId="17"/>
      <sheetData sheetId="18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</row>
        <row r="4">
          <cell r="C4">
            <v>0</v>
          </cell>
          <cell r="G4">
            <v>0</v>
          </cell>
          <cell r="J4" t="str">
            <v>-</v>
          </cell>
          <cell r="K4" t="str">
            <v>-</v>
          </cell>
        </row>
        <row r="5">
          <cell r="J5" t="str">
            <v>-</v>
          </cell>
          <cell r="K5" t="str">
            <v>-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G7">
            <v>0</v>
          </cell>
          <cell r="J7" t="str">
            <v>-</v>
          </cell>
          <cell r="K7" t="str">
            <v>-</v>
          </cell>
        </row>
        <row r="9">
          <cell r="C9">
            <v>0</v>
          </cell>
          <cell r="G9">
            <v>0</v>
          </cell>
          <cell r="J9" t="str">
            <v>-</v>
          </cell>
          <cell r="K9" t="str">
            <v>-</v>
          </cell>
        </row>
        <row r="10">
          <cell r="C10">
            <v>0</v>
          </cell>
          <cell r="G10">
            <v>0</v>
          </cell>
        </row>
        <row r="11">
          <cell r="B11">
            <v>1</v>
          </cell>
          <cell r="C11">
            <v>0</v>
          </cell>
          <cell r="F11">
            <v>5</v>
          </cell>
          <cell r="G11">
            <v>0</v>
          </cell>
          <cell r="J11" t="str">
            <v>-</v>
          </cell>
          <cell r="K11" t="str">
            <v>-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F14">
            <v>0</v>
          </cell>
        </row>
        <row r="15">
          <cell r="C15">
            <v>0</v>
          </cell>
          <cell r="G15">
            <v>0</v>
          </cell>
        </row>
        <row r="16">
          <cell r="C16">
            <v>0</v>
          </cell>
          <cell r="G16">
            <v>0</v>
          </cell>
        </row>
        <row r="19">
          <cell r="C19">
            <v>0</v>
          </cell>
          <cell r="G19">
            <v>0</v>
          </cell>
        </row>
        <row r="20">
          <cell r="C20">
            <v>0</v>
          </cell>
          <cell r="G20">
            <v>0</v>
          </cell>
        </row>
        <row r="21">
          <cell r="C21">
            <v>0</v>
          </cell>
          <cell r="G21">
            <v>0</v>
          </cell>
        </row>
        <row r="22">
          <cell r="B22">
            <v>1</v>
          </cell>
          <cell r="C22">
            <v>0</v>
          </cell>
          <cell r="F22">
            <v>5</v>
          </cell>
          <cell r="G22">
            <v>0</v>
          </cell>
        </row>
        <row r="23">
          <cell r="C23">
            <v>0</v>
          </cell>
          <cell r="G23">
            <v>0</v>
          </cell>
        </row>
        <row r="24">
          <cell r="C24">
            <v>0</v>
          </cell>
          <cell r="G24">
            <v>0</v>
          </cell>
        </row>
        <row r="25">
          <cell r="B25">
            <v>2</v>
          </cell>
          <cell r="C25">
            <v>0</v>
          </cell>
          <cell r="F25">
            <v>10</v>
          </cell>
          <cell r="G25">
            <v>0</v>
          </cell>
        </row>
        <row r="26">
          <cell r="B26">
            <v>1</v>
          </cell>
          <cell r="C26">
            <v>0</v>
          </cell>
          <cell r="F26">
            <v>5</v>
          </cell>
          <cell r="G26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9">
          <cell r="C29">
            <v>0</v>
          </cell>
          <cell r="G29">
            <v>0</v>
          </cell>
        </row>
        <row r="30">
          <cell r="C30">
            <v>0</v>
          </cell>
          <cell r="G30">
            <v>0</v>
          </cell>
        </row>
        <row r="31">
          <cell r="C31">
            <v>0</v>
          </cell>
          <cell r="G31">
            <v>0</v>
          </cell>
        </row>
        <row r="33">
          <cell r="C33">
            <v>0</v>
          </cell>
          <cell r="G33">
            <v>0</v>
          </cell>
        </row>
        <row r="34">
          <cell r="C34">
            <v>0</v>
          </cell>
          <cell r="G34">
            <v>0</v>
          </cell>
        </row>
        <row r="35">
          <cell r="C35">
            <v>0</v>
          </cell>
          <cell r="G35">
            <v>0</v>
          </cell>
        </row>
        <row r="36">
          <cell r="B36">
            <v>1</v>
          </cell>
          <cell r="C36">
            <v>0</v>
          </cell>
          <cell r="F36">
            <v>5</v>
          </cell>
          <cell r="G36">
            <v>0</v>
          </cell>
        </row>
        <row r="37">
          <cell r="B37">
            <v>0</v>
          </cell>
          <cell r="C37">
            <v>0</v>
          </cell>
          <cell r="F37">
            <v>0</v>
          </cell>
          <cell r="G37">
            <v>0</v>
          </cell>
        </row>
        <row r="38">
          <cell r="B38">
            <v>1</v>
          </cell>
          <cell r="C38">
            <v>0</v>
          </cell>
          <cell r="G38">
            <v>0</v>
          </cell>
        </row>
        <row r="39">
          <cell r="B39">
            <v>1</v>
          </cell>
          <cell r="C39">
            <v>0</v>
          </cell>
          <cell r="F39">
            <v>5</v>
          </cell>
          <cell r="G39">
            <v>0</v>
          </cell>
        </row>
        <row r="41">
          <cell r="B41">
            <v>0</v>
          </cell>
          <cell r="F41">
            <v>0</v>
          </cell>
        </row>
        <row r="42">
          <cell r="C42">
            <v>0</v>
          </cell>
          <cell r="G42">
            <v>0</v>
          </cell>
        </row>
        <row r="43">
          <cell r="B43">
            <v>3</v>
          </cell>
          <cell r="C43">
            <v>0</v>
          </cell>
          <cell r="F43">
            <v>15</v>
          </cell>
          <cell r="G43">
            <v>0</v>
          </cell>
        </row>
        <row r="45">
          <cell r="C45">
            <v>0</v>
          </cell>
          <cell r="G45">
            <v>0</v>
          </cell>
        </row>
        <row r="46">
          <cell r="C46">
            <v>0</v>
          </cell>
          <cell r="G46">
            <v>0</v>
          </cell>
        </row>
        <row r="47">
          <cell r="B47">
            <v>1</v>
          </cell>
          <cell r="C47">
            <v>0</v>
          </cell>
          <cell r="F47">
            <v>5</v>
          </cell>
          <cell r="G47">
            <v>0</v>
          </cell>
        </row>
        <row r="48">
          <cell r="C48">
            <v>0</v>
          </cell>
          <cell r="G48">
            <v>0</v>
          </cell>
        </row>
        <row r="49">
          <cell r="C49">
            <v>0</v>
          </cell>
          <cell r="G49">
            <v>0</v>
          </cell>
        </row>
        <row r="50">
          <cell r="C50">
            <v>0</v>
          </cell>
          <cell r="G50">
            <v>0</v>
          </cell>
        </row>
        <row r="51">
          <cell r="C51">
            <v>0</v>
          </cell>
          <cell r="G51">
            <v>0</v>
          </cell>
        </row>
        <row r="52">
          <cell r="B52">
            <v>0</v>
          </cell>
          <cell r="C52">
            <v>0</v>
          </cell>
          <cell r="F52">
            <v>0</v>
          </cell>
          <cell r="G52">
            <v>0</v>
          </cell>
        </row>
      </sheetData>
      <sheetData sheetId="19">
        <row r="3">
          <cell r="B3">
            <v>0</v>
          </cell>
          <cell r="F3">
            <v>0</v>
          </cell>
        </row>
        <row r="4">
          <cell r="B4">
            <v>0</v>
          </cell>
          <cell r="F4">
            <v>0</v>
          </cell>
        </row>
        <row r="5">
          <cell r="B5">
            <v>0</v>
          </cell>
          <cell r="F5">
            <v>0</v>
          </cell>
          <cell r="J5" t="str">
            <v>-</v>
          </cell>
          <cell r="K5" t="str">
            <v>-</v>
          </cell>
        </row>
        <row r="8">
          <cell r="B8">
            <v>0</v>
          </cell>
          <cell r="F8">
            <v>0</v>
          </cell>
        </row>
        <row r="9">
          <cell r="B9">
            <v>0</v>
          </cell>
          <cell r="F9">
            <v>0</v>
          </cell>
          <cell r="J9" t="str">
            <v>-</v>
          </cell>
          <cell r="K9" t="str">
            <v>-</v>
          </cell>
        </row>
        <row r="10">
          <cell r="B10">
            <v>0</v>
          </cell>
          <cell r="F10">
            <v>0</v>
          </cell>
          <cell r="J10" t="str">
            <v>-</v>
          </cell>
          <cell r="K10" t="str">
            <v>-</v>
          </cell>
        </row>
        <row r="11">
          <cell r="B11">
            <v>0</v>
          </cell>
          <cell r="F11">
            <v>0</v>
          </cell>
        </row>
        <row r="12">
          <cell r="B12">
            <v>0</v>
          </cell>
          <cell r="F12">
            <v>0</v>
          </cell>
        </row>
        <row r="13">
          <cell r="B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6">
          <cell r="B16">
            <v>0</v>
          </cell>
          <cell r="F16">
            <v>0</v>
          </cell>
        </row>
        <row r="17">
          <cell r="B17">
            <v>0</v>
          </cell>
          <cell r="F17">
            <v>0</v>
          </cell>
        </row>
        <row r="18">
          <cell r="B18">
            <v>0</v>
          </cell>
          <cell r="F18">
            <v>0</v>
          </cell>
        </row>
        <row r="21">
          <cell r="B21">
            <v>0</v>
          </cell>
          <cell r="F21">
            <v>0</v>
          </cell>
        </row>
        <row r="22">
          <cell r="B22">
            <v>0</v>
          </cell>
          <cell r="F22">
            <v>0</v>
          </cell>
        </row>
        <row r="24">
          <cell r="B24">
            <v>0</v>
          </cell>
          <cell r="F24">
            <v>0</v>
          </cell>
        </row>
        <row r="26">
          <cell r="B26">
            <v>0</v>
          </cell>
          <cell r="F26">
            <v>0</v>
          </cell>
        </row>
        <row r="27">
          <cell r="B27">
            <v>0</v>
          </cell>
          <cell r="F27">
            <v>0</v>
          </cell>
        </row>
        <row r="28">
          <cell r="B28">
            <v>0</v>
          </cell>
          <cell r="G28">
            <v>0</v>
          </cell>
        </row>
        <row r="29">
          <cell r="B29">
            <v>0</v>
          </cell>
          <cell r="F29">
            <v>0</v>
          </cell>
        </row>
        <row r="30">
          <cell r="B30">
            <v>0</v>
          </cell>
          <cell r="F30">
            <v>0</v>
          </cell>
        </row>
        <row r="31">
          <cell r="B31">
            <v>0</v>
          </cell>
          <cell r="F31">
            <v>0</v>
          </cell>
        </row>
        <row r="32">
          <cell r="B32">
            <v>0</v>
          </cell>
          <cell r="F32">
            <v>0</v>
          </cell>
        </row>
        <row r="33">
          <cell r="B33">
            <v>0</v>
          </cell>
          <cell r="F33">
            <v>0</v>
          </cell>
        </row>
        <row r="35">
          <cell r="B35">
            <v>0</v>
          </cell>
          <cell r="F35">
            <v>0</v>
          </cell>
        </row>
        <row r="37">
          <cell r="B37">
            <v>0</v>
          </cell>
          <cell r="F37">
            <v>0</v>
          </cell>
        </row>
        <row r="38">
          <cell r="B38">
            <v>0</v>
          </cell>
          <cell r="F38">
            <v>0</v>
          </cell>
        </row>
        <row r="39">
          <cell r="B39">
            <v>0</v>
          </cell>
          <cell r="F39">
            <v>0</v>
          </cell>
        </row>
        <row r="42">
          <cell r="B42">
            <v>0</v>
          </cell>
          <cell r="F42">
            <v>0</v>
          </cell>
        </row>
        <row r="43">
          <cell r="B43">
            <v>0</v>
          </cell>
          <cell r="F43">
            <v>0</v>
          </cell>
        </row>
        <row r="44">
          <cell r="B44">
            <v>0</v>
          </cell>
          <cell r="F44">
            <v>0</v>
          </cell>
        </row>
        <row r="45">
          <cell r="B45">
            <v>0</v>
          </cell>
          <cell r="F45">
            <v>0</v>
          </cell>
        </row>
        <row r="46">
          <cell r="B46">
            <v>0</v>
          </cell>
          <cell r="F46">
            <v>0</v>
          </cell>
        </row>
        <row r="47">
          <cell r="B47">
            <v>0</v>
          </cell>
          <cell r="F47">
            <v>0</v>
          </cell>
        </row>
        <row r="48">
          <cell r="B48">
            <v>0</v>
          </cell>
          <cell r="F48">
            <v>0</v>
          </cell>
        </row>
        <row r="49">
          <cell r="B49">
            <v>0</v>
          </cell>
          <cell r="F49">
            <v>0</v>
          </cell>
        </row>
        <row r="51">
          <cell r="B51">
            <v>0</v>
          </cell>
          <cell r="F51">
            <v>0</v>
          </cell>
        </row>
        <row r="52">
          <cell r="B52">
            <v>0</v>
          </cell>
          <cell r="F52">
            <v>0</v>
          </cell>
        </row>
      </sheetData>
      <sheetData sheetId="20"/>
      <sheetData sheetId="21"/>
      <sheetData sheetId="22"/>
      <sheetData sheetId="23"/>
      <sheetData sheetId="24">
        <row r="3">
          <cell r="C3">
            <v>0</v>
          </cell>
          <cell r="G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 t="str">
            <v>-</v>
          </cell>
          <cell r="K4" t="str">
            <v>-</v>
          </cell>
        </row>
        <row r="5">
          <cell r="J5">
            <v>4</v>
          </cell>
          <cell r="K5">
            <v>4</v>
          </cell>
        </row>
        <row r="6">
          <cell r="J6">
            <v>5</v>
          </cell>
          <cell r="K6">
            <v>5</v>
          </cell>
        </row>
        <row r="7">
          <cell r="C7">
            <v>0</v>
          </cell>
          <cell r="G7">
            <v>0</v>
          </cell>
          <cell r="J7">
            <v>1</v>
          </cell>
          <cell r="K7">
            <v>2</v>
          </cell>
        </row>
        <row r="8">
          <cell r="C8">
            <v>0</v>
          </cell>
          <cell r="G8">
            <v>0</v>
          </cell>
        </row>
        <row r="9">
          <cell r="B9">
            <v>3</v>
          </cell>
          <cell r="F9">
            <v>15</v>
          </cell>
          <cell r="G9">
            <v>0</v>
          </cell>
        </row>
        <row r="10">
          <cell r="B10">
            <v>0</v>
          </cell>
          <cell r="C10">
            <v>0</v>
          </cell>
          <cell r="F10">
            <v>10</v>
          </cell>
          <cell r="G10">
            <v>0</v>
          </cell>
          <cell r="J10" t="str">
            <v>-</v>
          </cell>
          <cell r="K10" t="str">
            <v>-</v>
          </cell>
        </row>
        <row r="11">
          <cell r="B11">
            <v>0</v>
          </cell>
          <cell r="F11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F14">
            <v>11</v>
          </cell>
          <cell r="G14">
            <v>0</v>
          </cell>
        </row>
        <row r="16"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F17">
            <v>3</v>
          </cell>
          <cell r="G17">
            <v>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20">
          <cell r="B20">
            <v>1</v>
          </cell>
          <cell r="F20">
            <v>5</v>
          </cell>
        </row>
        <row r="21">
          <cell r="B21">
            <v>0</v>
          </cell>
          <cell r="C21">
            <v>0</v>
          </cell>
          <cell r="F21">
            <v>0</v>
          </cell>
          <cell r="G21">
            <v>0</v>
          </cell>
        </row>
        <row r="23"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F25">
            <v>0</v>
          </cell>
        </row>
        <row r="26">
          <cell r="B26">
            <v>0</v>
          </cell>
          <cell r="F26">
            <v>0</v>
          </cell>
        </row>
        <row r="27">
          <cell r="B27">
            <v>0</v>
          </cell>
          <cell r="C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F28">
            <v>0</v>
          </cell>
          <cell r="G28">
            <v>0</v>
          </cell>
        </row>
        <row r="29"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F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F34">
            <v>0</v>
          </cell>
        </row>
        <row r="35">
          <cell r="B35">
            <v>0</v>
          </cell>
          <cell r="C35">
            <v>0</v>
          </cell>
          <cell r="F35">
            <v>0</v>
          </cell>
          <cell r="G35">
            <v>0</v>
          </cell>
        </row>
        <row r="36">
          <cell r="C36">
            <v>0</v>
          </cell>
          <cell r="G36">
            <v>0</v>
          </cell>
        </row>
        <row r="38">
          <cell r="C38">
            <v>0</v>
          </cell>
          <cell r="G38">
            <v>0</v>
          </cell>
        </row>
        <row r="40">
          <cell r="B40">
            <v>0</v>
          </cell>
          <cell r="C40">
            <v>0</v>
          </cell>
          <cell r="F40">
            <v>0</v>
          </cell>
          <cell r="G40">
            <v>0</v>
          </cell>
        </row>
        <row r="41">
          <cell r="B41">
            <v>0</v>
          </cell>
          <cell r="F41">
            <v>0</v>
          </cell>
        </row>
        <row r="42">
          <cell r="B42">
            <v>0</v>
          </cell>
          <cell r="C42">
            <v>0</v>
          </cell>
          <cell r="F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F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F44">
            <v>0</v>
          </cell>
          <cell r="G44">
            <v>0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7674-D867-414D-977F-83EA643C8850}">
  <dimension ref="A1:S432"/>
  <sheetViews>
    <sheetView tabSelected="1" workbookViewId="0">
      <selection activeCell="X24" sqref="X24"/>
    </sheetView>
  </sheetViews>
  <sheetFormatPr defaultRowHeight="14.3" x14ac:dyDescent="0.25"/>
  <cols>
    <col min="1" max="1" width="20.625" customWidth="1"/>
    <col min="2" max="2" width="4.875" bestFit="1" customWidth="1"/>
    <col min="3" max="3" width="4.875" customWidth="1"/>
    <col min="4" max="7" width="5.625" customWidth="1"/>
    <col min="8" max="8" width="20.625" customWidth="1"/>
    <col min="9" max="9" width="4.875" bestFit="1" customWidth="1"/>
    <col min="10" max="10" width="4.875" customWidth="1"/>
    <col min="11" max="14" width="5.625" customWidth="1"/>
    <col min="15" max="15" width="18.625" customWidth="1"/>
    <col min="16" max="16" width="4.875" bestFit="1" customWidth="1"/>
    <col min="17" max="19" width="5.625" customWidth="1"/>
  </cols>
  <sheetData>
    <row r="1" spans="1:19" ht="14.95" customHeight="1" x14ac:dyDescent="0.25">
      <c r="A1" s="2" t="s">
        <v>1013</v>
      </c>
      <c r="B1" s="2"/>
      <c r="C1" s="2"/>
      <c r="D1" s="2"/>
      <c r="E1" s="2"/>
      <c r="F1" s="2"/>
    </row>
    <row r="2" spans="1:19" ht="14.95" customHeight="1" thickBot="1" x14ac:dyDescent="0.3">
      <c r="A2" s="219" t="s">
        <v>1043</v>
      </c>
    </row>
    <row r="3" spans="1:19" ht="14.95" customHeight="1" thickBot="1" x14ac:dyDescent="0.3">
      <c r="A3" s="405" t="s">
        <v>0</v>
      </c>
      <c r="B3" s="406"/>
      <c r="C3" s="400" t="s">
        <v>11</v>
      </c>
      <c r="D3" s="409" t="s">
        <v>14</v>
      </c>
      <c r="E3" s="410" t="s">
        <v>223</v>
      </c>
      <c r="F3" s="411" t="s">
        <v>500</v>
      </c>
      <c r="G3" s="400" t="s">
        <v>1</v>
      </c>
      <c r="H3" s="412" t="s">
        <v>2</v>
      </c>
      <c r="I3" s="413"/>
      <c r="J3" s="414" t="s">
        <v>11</v>
      </c>
      <c r="K3" s="422" t="s">
        <v>14</v>
      </c>
      <c r="L3" s="423" t="s">
        <v>223</v>
      </c>
      <c r="M3" s="415" t="s">
        <v>500</v>
      </c>
      <c r="N3" s="414" t="s">
        <v>1</v>
      </c>
      <c r="O3" s="424" t="s">
        <v>29</v>
      </c>
      <c r="P3" s="425"/>
      <c r="Q3" s="426" t="s">
        <v>25</v>
      </c>
      <c r="R3" s="426" t="s">
        <v>26</v>
      </c>
      <c r="S3" s="426" t="s">
        <v>6</v>
      </c>
    </row>
    <row r="4" spans="1:19" ht="14.95" customHeight="1" thickBot="1" x14ac:dyDescent="0.3">
      <c r="A4" s="132" t="s">
        <v>522</v>
      </c>
      <c r="B4" s="131" t="s">
        <v>20</v>
      </c>
      <c r="C4" s="71"/>
      <c r="D4" s="432">
        <f>Berneng6ntries</f>
        <v>4</v>
      </c>
      <c r="E4" s="433" t="s">
        <v>346</v>
      </c>
      <c r="F4" s="434"/>
      <c r="G4" s="71">
        <f>SUM(C4:F4)</f>
        <v>4</v>
      </c>
      <c r="H4" s="416" t="s">
        <v>454</v>
      </c>
      <c r="I4" s="417" t="s">
        <v>324</v>
      </c>
      <c r="J4" s="418"/>
      <c r="K4" s="435" t="s">
        <v>346</v>
      </c>
      <c r="L4" s="436">
        <f>HolmesnzlP4pts</f>
        <v>29</v>
      </c>
      <c r="M4" s="437"/>
      <c r="N4" s="418">
        <f>SUM(J4:M4)</f>
        <v>29</v>
      </c>
      <c r="O4" s="430" t="s">
        <v>575</v>
      </c>
      <c r="P4" s="428" t="s">
        <v>20</v>
      </c>
      <c r="Q4" s="262">
        <f>Harrisonengyrgls</f>
        <v>12</v>
      </c>
      <c r="R4" s="262">
        <f>Harrisonengyratt</f>
        <v>12</v>
      </c>
      <c r="S4" s="429">
        <f>SUM(Q4/R4)*100</f>
        <v>100</v>
      </c>
    </row>
    <row r="5" spans="1:19" ht="14.95" customHeight="1" thickBot="1" x14ac:dyDescent="0.3">
      <c r="A5" s="132" t="s">
        <v>456</v>
      </c>
      <c r="B5" s="131" t="s">
        <v>324</v>
      </c>
      <c r="C5" s="71"/>
      <c r="D5" s="432" t="s">
        <v>346</v>
      </c>
      <c r="E5" s="433">
        <f>PaulnzlP4tries</f>
        <v>4</v>
      </c>
      <c r="F5" s="434"/>
      <c r="G5" s="71">
        <f>SUM(C5:F5)</f>
        <v>4</v>
      </c>
      <c r="H5" s="416" t="s">
        <v>575</v>
      </c>
      <c r="I5" s="417" t="s">
        <v>20</v>
      </c>
      <c r="J5" s="418"/>
      <c r="K5" s="435">
        <f>Harrisoneng6npts</f>
        <v>24</v>
      </c>
      <c r="L5" s="436" t="s">
        <v>346</v>
      </c>
      <c r="M5" s="437"/>
      <c r="N5" s="418">
        <f>SUM(J5:M5)</f>
        <v>24</v>
      </c>
      <c r="O5" s="430" t="s">
        <v>1031</v>
      </c>
      <c r="P5" s="428" t="s">
        <v>327</v>
      </c>
      <c r="Q5" s="262">
        <f>Vogelusayrgls</f>
        <v>6</v>
      </c>
      <c r="R5" s="262">
        <f>Vogelusayratt</f>
        <v>7</v>
      </c>
      <c r="S5" s="429">
        <f>SUM(Q5/R5)*100</f>
        <v>85.714285714285708</v>
      </c>
    </row>
    <row r="6" spans="1:19" ht="14.95" customHeight="1" thickBot="1" x14ac:dyDescent="0.3">
      <c r="A6" s="132" t="s">
        <v>1025</v>
      </c>
      <c r="B6" s="131" t="s">
        <v>27</v>
      </c>
      <c r="C6" s="71"/>
      <c r="D6" s="432">
        <f>Penaudfra6ntries</f>
        <v>3</v>
      </c>
      <c r="E6" s="433" t="s">
        <v>346</v>
      </c>
      <c r="F6" s="434"/>
      <c r="G6" s="71">
        <f>SUM(C6:F6)</f>
        <v>3</v>
      </c>
      <c r="H6" s="416" t="s">
        <v>392</v>
      </c>
      <c r="I6" s="417" t="s">
        <v>27</v>
      </c>
      <c r="J6" s="418"/>
      <c r="K6" s="435">
        <f>ArbezFRA6NPTS</f>
        <v>21</v>
      </c>
      <c r="L6" s="436" t="s">
        <v>346</v>
      </c>
      <c r="M6" s="437"/>
      <c r="N6" s="418">
        <f>SUM(J6:M6)</f>
        <v>21</v>
      </c>
      <c r="O6" s="430" t="s">
        <v>194</v>
      </c>
      <c r="P6" s="428" t="s">
        <v>21</v>
      </c>
      <c r="Q6" s="262">
        <f>Nelsonscoyrgls</f>
        <v>5</v>
      </c>
      <c r="R6" s="262">
        <f>nelsonscoyratt</f>
        <v>6</v>
      </c>
      <c r="S6" s="429">
        <f>SUM(Q6/R6)*100</f>
        <v>83.333333333333343</v>
      </c>
    </row>
    <row r="7" spans="1:19" ht="14.95" customHeight="1" thickBot="1" x14ac:dyDescent="0.3">
      <c r="A7" s="132" t="s">
        <v>212</v>
      </c>
      <c r="B7" s="131" t="s">
        <v>20</v>
      </c>
      <c r="C7" s="71"/>
      <c r="D7" s="432">
        <f>Kildunneeng6ntries</f>
        <v>3</v>
      </c>
      <c r="E7" s="433" t="s">
        <v>346</v>
      </c>
      <c r="F7" s="434"/>
      <c r="G7" s="71">
        <f>SUM(C7:F7)</f>
        <v>3</v>
      </c>
      <c r="H7" s="416" t="s">
        <v>522</v>
      </c>
      <c r="I7" s="417" t="s">
        <v>20</v>
      </c>
      <c r="J7" s="418"/>
      <c r="K7" s="435">
        <f>Berneng6npts</f>
        <v>20</v>
      </c>
      <c r="L7" s="436" t="s">
        <v>346</v>
      </c>
      <c r="M7" s="437"/>
      <c r="N7" s="418">
        <f>SUM(J7:M7)</f>
        <v>20</v>
      </c>
      <c r="O7" s="427" t="s">
        <v>910</v>
      </c>
      <c r="P7" s="428" t="s">
        <v>325</v>
      </c>
      <c r="Q7" s="262">
        <f>Woodausyrgls</f>
        <v>5</v>
      </c>
      <c r="R7" s="262">
        <f>Woodausyratt</f>
        <v>6</v>
      </c>
      <c r="S7" s="429">
        <f>SUM(Q7/R7)*100</f>
        <v>83.333333333333343</v>
      </c>
    </row>
    <row r="8" spans="1:19" ht="14.95" customHeight="1" thickBot="1" x14ac:dyDescent="0.3">
      <c r="A8" s="132" t="s">
        <v>585</v>
      </c>
      <c r="B8" s="131" t="s">
        <v>19</v>
      </c>
      <c r="C8" s="71"/>
      <c r="D8" s="432">
        <f>Parsonsire6ntries</f>
        <v>3</v>
      </c>
      <c r="E8" s="433" t="s">
        <v>346</v>
      </c>
      <c r="F8" s="434"/>
      <c r="G8" s="71">
        <f>SUM(C8:F8)</f>
        <v>3</v>
      </c>
      <c r="H8" s="416" t="s">
        <v>456</v>
      </c>
      <c r="I8" s="417" t="s">
        <v>324</v>
      </c>
      <c r="J8" s="418"/>
      <c r="K8" s="435" t="s">
        <v>346</v>
      </c>
      <c r="L8" s="436">
        <f>PaulnzlP4pts</f>
        <v>20</v>
      </c>
      <c r="M8" s="437"/>
      <c r="N8" s="418">
        <f>SUM(J8:M8)</f>
        <v>20</v>
      </c>
      <c r="O8" s="430" t="s">
        <v>392</v>
      </c>
      <c r="P8" s="428" t="s">
        <v>27</v>
      </c>
      <c r="Q8" s="262">
        <f>Arbezfrayrgls</f>
        <v>8</v>
      </c>
      <c r="R8" s="262">
        <f>Arbezfrayratt</f>
        <v>10</v>
      </c>
      <c r="S8" s="429">
        <f>SUM(Q8/R8)*100</f>
        <v>80</v>
      </c>
    </row>
    <row r="9" spans="1:19" ht="14.95" customHeight="1" thickBot="1" x14ac:dyDescent="0.3">
      <c r="A9" s="132" t="s">
        <v>450</v>
      </c>
      <c r="B9" s="131" t="s">
        <v>327</v>
      </c>
      <c r="C9" s="71"/>
      <c r="D9" s="432" t="s">
        <v>346</v>
      </c>
      <c r="E9" s="433">
        <f>RogersUSAp4tries</f>
        <v>3</v>
      </c>
      <c r="F9" s="434"/>
      <c r="G9" s="71">
        <f>SUM(C9:F9)</f>
        <v>3</v>
      </c>
      <c r="H9" s="416" t="s">
        <v>1025</v>
      </c>
      <c r="I9" s="417" t="s">
        <v>27</v>
      </c>
      <c r="J9" s="418"/>
      <c r="K9" s="435">
        <f>Penaudfra6npts</f>
        <v>15</v>
      </c>
      <c r="L9" s="436" t="s">
        <v>346</v>
      </c>
      <c r="M9" s="437"/>
      <c r="N9" s="418">
        <f>SUM(J9:M9)</f>
        <v>15</v>
      </c>
      <c r="O9" s="427" t="s">
        <v>416</v>
      </c>
      <c r="P9" s="428" t="s">
        <v>20</v>
      </c>
      <c r="Q9" s="262">
        <f>Rowlandengyrgls</f>
        <v>4</v>
      </c>
      <c r="R9" s="262">
        <f>Rowlandengyratt</f>
        <v>5</v>
      </c>
      <c r="S9" s="429">
        <f>SUM(Q9/R9)*100</f>
        <v>80</v>
      </c>
    </row>
    <row r="10" spans="1:19" ht="14.95" customHeight="1" thickBot="1" x14ac:dyDescent="0.3">
      <c r="A10" s="132" t="s">
        <v>584</v>
      </c>
      <c r="B10" s="131" t="s">
        <v>20</v>
      </c>
      <c r="C10" s="71"/>
      <c r="D10" s="432">
        <f>Cokayneeng6ntries</f>
        <v>2</v>
      </c>
      <c r="E10" s="433" t="s">
        <v>346</v>
      </c>
      <c r="F10" s="434"/>
      <c r="G10" s="71">
        <f>SUM(C10:F10)</f>
        <v>2</v>
      </c>
      <c r="H10" s="416" t="s">
        <v>212</v>
      </c>
      <c r="I10" s="417" t="s">
        <v>20</v>
      </c>
      <c r="J10" s="418"/>
      <c r="K10" s="435">
        <f>Kildunneeng6npts</f>
        <v>15</v>
      </c>
      <c r="L10" s="436" t="s">
        <v>346</v>
      </c>
      <c r="M10" s="437"/>
      <c r="N10" s="418">
        <f>SUM(J10:M10)</f>
        <v>15</v>
      </c>
      <c r="O10" s="430" t="s">
        <v>454</v>
      </c>
      <c r="P10" s="428" t="s">
        <v>324</v>
      </c>
      <c r="Q10" s="262">
        <f>Holmesnzlyrgls</f>
        <v>9</v>
      </c>
      <c r="R10" s="262">
        <f>Holmesnzlyratt</f>
        <v>14</v>
      </c>
      <c r="S10" s="429">
        <f>SUM(Q10/R10)*100</f>
        <v>64.285714285714292</v>
      </c>
    </row>
    <row r="11" spans="1:19" ht="14.95" customHeight="1" thickBot="1" x14ac:dyDescent="0.3">
      <c r="A11" s="132" t="s">
        <v>665</v>
      </c>
      <c r="B11" s="131" t="s">
        <v>326</v>
      </c>
      <c r="C11" s="71"/>
      <c r="D11" s="432" t="s">
        <v>346</v>
      </c>
      <c r="E11" s="433">
        <f>Hogan_Rochestercanp4tries</f>
        <v>2</v>
      </c>
      <c r="F11" s="434"/>
      <c r="G11" s="71">
        <f>SUM(C11:F11)</f>
        <v>2</v>
      </c>
      <c r="H11" s="416" t="s">
        <v>585</v>
      </c>
      <c r="I11" s="417" t="s">
        <v>19</v>
      </c>
      <c r="J11" s="418"/>
      <c r="K11" s="435">
        <f>Parsonsire6npts</f>
        <v>15</v>
      </c>
      <c r="L11" s="436" t="s">
        <v>346</v>
      </c>
      <c r="M11" s="437"/>
      <c r="N11" s="418">
        <f>SUM(J11:M11)</f>
        <v>15</v>
      </c>
      <c r="O11" s="427" t="s">
        <v>394</v>
      </c>
      <c r="P11" s="428" t="s">
        <v>19</v>
      </c>
      <c r="Q11" s="262">
        <f>O_Brienireyrgls</f>
        <v>7</v>
      </c>
      <c r="R11" s="262">
        <f>O_Brienireyratt</f>
        <v>11</v>
      </c>
      <c r="S11" s="429">
        <f>SUM(Q11/R11)*100</f>
        <v>63.636363636363633</v>
      </c>
    </row>
    <row r="12" spans="1:19" ht="14.95" customHeight="1" thickBot="1" x14ac:dyDescent="0.3">
      <c r="A12" s="132" t="s">
        <v>454</v>
      </c>
      <c r="B12" s="131" t="s">
        <v>324</v>
      </c>
      <c r="C12" s="71"/>
      <c r="D12" s="432" t="s">
        <v>346</v>
      </c>
      <c r="E12" s="433">
        <f>HolmesnzlP4tries</f>
        <v>2</v>
      </c>
      <c r="F12" s="434"/>
      <c r="G12" s="71">
        <f>SUM(C12:F12)</f>
        <v>2</v>
      </c>
      <c r="H12" s="416" t="s">
        <v>450</v>
      </c>
      <c r="I12" s="417" t="s">
        <v>327</v>
      </c>
      <c r="J12" s="418"/>
      <c r="K12" s="435" t="s">
        <v>346</v>
      </c>
      <c r="L12" s="436">
        <f>RogersUSAP4pts</f>
        <v>15</v>
      </c>
      <c r="M12" s="437"/>
      <c r="N12" s="418">
        <f>SUM(J12:M12)</f>
        <v>15</v>
      </c>
      <c r="O12" s="430" t="s">
        <v>487</v>
      </c>
      <c r="P12" s="428" t="s">
        <v>326</v>
      </c>
      <c r="Q12" s="262">
        <f>Gallaghercanyrgls</f>
        <v>3</v>
      </c>
      <c r="R12" s="262">
        <f>gallaghercanyratt</f>
        <v>5</v>
      </c>
      <c r="S12" s="429">
        <f>SUM(Q12/R12)*100</f>
        <v>60</v>
      </c>
    </row>
    <row r="13" spans="1:19" ht="14.95" customHeight="1" thickBot="1" x14ac:dyDescent="0.3">
      <c r="A13" s="132" t="s">
        <v>619</v>
      </c>
      <c r="B13" s="131" t="s">
        <v>325</v>
      </c>
      <c r="C13" s="71">
        <f>millerasusinttries</f>
        <v>1</v>
      </c>
      <c r="D13" s="432" t="s">
        <v>346</v>
      </c>
      <c r="E13" s="433">
        <f>Millerausp4tries</f>
        <v>1</v>
      </c>
      <c r="F13" s="434"/>
      <c r="G13" s="71">
        <f>SUM(C13:F13)</f>
        <v>2</v>
      </c>
      <c r="H13" s="416" t="s">
        <v>394</v>
      </c>
      <c r="I13" s="417" t="s">
        <v>19</v>
      </c>
      <c r="J13" s="418"/>
      <c r="K13" s="435">
        <f>O_Brienire6npts</f>
        <v>14</v>
      </c>
      <c r="L13" s="436" t="s">
        <v>346</v>
      </c>
      <c r="M13" s="437"/>
      <c r="N13" s="418">
        <f>SUM(J13:M13)</f>
        <v>14</v>
      </c>
      <c r="O13" s="430" t="s">
        <v>1024</v>
      </c>
      <c r="P13" s="428" t="s">
        <v>22</v>
      </c>
      <c r="Q13" s="262">
        <f>d_Incaitayrgls</f>
        <v>1</v>
      </c>
      <c r="R13" s="431">
        <f>d_Incaitayratt</f>
        <v>1</v>
      </c>
      <c r="S13" s="429">
        <f>SUM(Q13/R13)*100</f>
        <v>100</v>
      </c>
    </row>
    <row r="14" spans="1:19" ht="14.95" customHeight="1" thickBot="1" x14ac:dyDescent="0.3">
      <c r="A14" s="132" t="s">
        <v>1020</v>
      </c>
      <c r="B14" s="131" t="s">
        <v>27</v>
      </c>
      <c r="C14" s="71"/>
      <c r="D14" s="432">
        <f>Willemsefra6ntries</f>
        <v>2</v>
      </c>
      <c r="E14" s="433" t="s">
        <v>346</v>
      </c>
      <c r="F14" s="434"/>
      <c r="G14" s="71">
        <f>SUM(C14:F14)</f>
        <v>2</v>
      </c>
      <c r="H14" s="416" t="s">
        <v>1031</v>
      </c>
      <c r="I14" s="417" t="s">
        <v>327</v>
      </c>
      <c r="J14" s="418"/>
      <c r="K14" s="435" t="s">
        <v>346</v>
      </c>
      <c r="L14" s="436">
        <f>Vogelusap4pts</f>
        <v>13</v>
      </c>
      <c r="M14" s="437"/>
      <c r="N14" s="418">
        <f>SUM(J14:M14)</f>
        <v>13</v>
      </c>
      <c r="O14" s="430" t="s">
        <v>518</v>
      </c>
      <c r="P14" s="428" t="s">
        <v>23</v>
      </c>
      <c r="Q14" s="262">
        <f>Georgewalyrgls</f>
        <v>1</v>
      </c>
      <c r="R14" s="431">
        <f>Georgewalyratt</f>
        <v>1</v>
      </c>
      <c r="S14" s="429">
        <f>SUM(Q14/R14)*100</f>
        <v>100</v>
      </c>
    </row>
    <row r="15" spans="1:19" ht="14.95" customHeight="1" thickBot="1" x14ac:dyDescent="0.3">
      <c r="A15" s="132" t="s">
        <v>625</v>
      </c>
      <c r="B15" s="131" t="s">
        <v>324</v>
      </c>
      <c r="C15" s="71"/>
      <c r="D15" s="432" t="s">
        <v>346</v>
      </c>
      <c r="E15" s="433">
        <f>Olsen_Bakernzlp4tries</f>
        <v>2</v>
      </c>
      <c r="F15" s="434"/>
      <c r="G15" s="71">
        <f>SUM(C15:F15)</f>
        <v>2</v>
      </c>
      <c r="H15" s="416" t="s">
        <v>194</v>
      </c>
      <c r="I15" s="417" t="s">
        <v>21</v>
      </c>
      <c r="J15" s="418"/>
      <c r="K15" s="435">
        <f>Nelsonsco6npts</f>
        <v>11</v>
      </c>
      <c r="L15" s="436" t="s">
        <v>346</v>
      </c>
      <c r="M15" s="437"/>
      <c r="N15" s="418">
        <f>SUM(J15:M15)</f>
        <v>11</v>
      </c>
      <c r="O15" s="430" t="s">
        <v>202</v>
      </c>
      <c r="P15" s="428" t="s">
        <v>23</v>
      </c>
      <c r="Q15" s="262">
        <f>Bevanwalyrgls</f>
        <v>1</v>
      </c>
      <c r="R15" s="431">
        <f>Bevanwalyratt</f>
        <v>2</v>
      </c>
      <c r="S15" s="429">
        <f>SUM(Q15/R15)*100</f>
        <v>50</v>
      </c>
    </row>
    <row r="16" spans="1:19" ht="14.95" customHeight="1" thickBot="1" x14ac:dyDescent="0.3">
      <c r="A16" s="132" t="s">
        <v>661</v>
      </c>
      <c r="B16" s="131" t="s">
        <v>325</v>
      </c>
      <c r="C16" s="71">
        <f>paluausinttries</f>
        <v>1</v>
      </c>
      <c r="D16" s="432" t="s">
        <v>346</v>
      </c>
      <c r="E16" s="433">
        <f>Paluausp4tries</f>
        <v>1</v>
      </c>
      <c r="F16" s="434"/>
      <c r="G16" s="71">
        <f>SUM(C16:F16)</f>
        <v>2</v>
      </c>
      <c r="H16" s="416" t="s">
        <v>584</v>
      </c>
      <c r="I16" s="417" t="s">
        <v>20</v>
      </c>
      <c r="J16" s="418"/>
      <c r="K16" s="435">
        <f>Cokayneeng6npts</f>
        <v>10</v>
      </c>
      <c r="L16" s="436" t="s">
        <v>346</v>
      </c>
      <c r="M16" s="437"/>
      <c r="N16" s="418">
        <f>SUM(J16:M16)</f>
        <v>10</v>
      </c>
      <c r="O16" s="430" t="s">
        <v>567</v>
      </c>
      <c r="P16" s="428" t="s">
        <v>27</v>
      </c>
      <c r="Q16" s="262">
        <f>+Queyroifrayrgls</f>
        <v>1</v>
      </c>
      <c r="R16" s="431">
        <f>+Queyroifrayratt</f>
        <v>2</v>
      </c>
      <c r="S16" s="429">
        <f>SUM(Q16/R16)*100</f>
        <v>50</v>
      </c>
    </row>
    <row r="17" spans="1:19" ht="14.95" customHeight="1" thickBot="1" x14ac:dyDescent="0.3">
      <c r="A17" s="132" t="s">
        <v>392</v>
      </c>
      <c r="B17" s="131" t="s">
        <v>27</v>
      </c>
      <c r="C17" s="71"/>
      <c r="D17" s="432">
        <f>ArbezFRA6NTRIES</f>
        <v>1</v>
      </c>
      <c r="E17" s="433" t="s">
        <v>346</v>
      </c>
      <c r="F17" s="434"/>
      <c r="G17" s="71">
        <f>SUM(C17:F17)</f>
        <v>1</v>
      </c>
      <c r="H17" s="416" t="s">
        <v>665</v>
      </c>
      <c r="I17" s="417" t="s">
        <v>326</v>
      </c>
      <c r="J17" s="418"/>
      <c r="K17" s="435" t="s">
        <v>346</v>
      </c>
      <c r="L17" s="436">
        <f>Hogan_Rochestercanp4pts</f>
        <v>10</v>
      </c>
      <c r="M17" s="437"/>
      <c r="N17" s="418">
        <f>SUM(J17:M17)</f>
        <v>10</v>
      </c>
      <c r="O17" s="430" t="s">
        <v>619</v>
      </c>
      <c r="P17" s="428" t="s">
        <v>325</v>
      </c>
      <c r="Q17" s="262">
        <f>millerausyrgls</f>
        <v>0</v>
      </c>
      <c r="R17" s="431">
        <f>millerausyratt</f>
        <v>1</v>
      </c>
      <c r="S17" s="429">
        <f>SUM(Q17/R17)*100</f>
        <v>0</v>
      </c>
    </row>
    <row r="18" spans="1:19" ht="14.95" customHeight="1" thickBot="1" x14ac:dyDescent="0.3">
      <c r="A18" s="132" t="s">
        <v>1022</v>
      </c>
      <c r="B18" s="131" t="s">
        <v>27</v>
      </c>
      <c r="C18" s="71"/>
      <c r="D18" s="432">
        <f>Barratfra6ntries</f>
        <v>1</v>
      </c>
      <c r="E18" s="433" t="s">
        <v>346</v>
      </c>
      <c r="F18" s="434"/>
      <c r="G18" s="71">
        <f>SUM(C18:F18)</f>
        <v>1</v>
      </c>
      <c r="H18" s="416" t="s">
        <v>619</v>
      </c>
      <c r="I18" s="417" t="s">
        <v>325</v>
      </c>
      <c r="J18" s="418">
        <f>millerasusintpts</f>
        <v>5</v>
      </c>
      <c r="K18" s="435" t="s">
        <v>346</v>
      </c>
      <c r="L18" s="436">
        <f>Millerausp4pts</f>
        <v>5</v>
      </c>
      <c r="M18" s="437"/>
      <c r="N18" s="418">
        <f>SUM(J18:M18)</f>
        <v>10</v>
      </c>
      <c r="O18" s="430"/>
      <c r="P18" s="428"/>
      <c r="Q18" s="262" t="str">
        <f>Barrett_Jnzlyrgls</f>
        <v>-</v>
      </c>
      <c r="R18" s="431" t="str">
        <f>barretjnzlyratt</f>
        <v>-</v>
      </c>
      <c r="S18" s="429"/>
    </row>
    <row r="19" spans="1:19" ht="14.95" customHeight="1" thickBot="1" x14ac:dyDescent="0.3">
      <c r="A19" s="132" t="s">
        <v>728</v>
      </c>
      <c r="B19" s="131" t="s">
        <v>27</v>
      </c>
      <c r="C19" s="71"/>
      <c r="D19" s="432">
        <f>Bourdonfra6ntries</f>
        <v>1</v>
      </c>
      <c r="E19" s="433" t="s">
        <v>346</v>
      </c>
      <c r="F19" s="434"/>
      <c r="G19" s="71">
        <f>SUM(C19:F19)</f>
        <v>1</v>
      </c>
      <c r="H19" s="416" t="s">
        <v>1020</v>
      </c>
      <c r="I19" s="417" t="s">
        <v>27</v>
      </c>
      <c r="J19" s="418"/>
      <c r="K19" s="435">
        <f>Willemsefra6npts</f>
        <v>10</v>
      </c>
      <c r="L19" s="436" t="s">
        <v>346</v>
      </c>
      <c r="M19" s="437"/>
      <c r="N19" s="418">
        <f>SUM(J19:M19)</f>
        <v>10</v>
      </c>
      <c r="O19" s="427"/>
      <c r="P19" s="428"/>
      <c r="Q19" s="262" t="str">
        <f>Burkescoyrgls</f>
        <v>-</v>
      </c>
      <c r="R19" s="431" t="str">
        <f>Burkescoyratt</f>
        <v>-</v>
      </c>
      <c r="S19" s="429"/>
    </row>
    <row r="20" spans="1:19" ht="14.95" customHeight="1" thickBot="1" x14ac:dyDescent="0.3">
      <c r="A20" s="132" t="s">
        <v>206</v>
      </c>
      <c r="B20" s="131" t="s">
        <v>20</v>
      </c>
      <c r="C20" s="71"/>
      <c r="D20" s="432">
        <f>Dombrandteng6ntries</f>
        <v>1</v>
      </c>
      <c r="E20" s="433" t="s">
        <v>346</v>
      </c>
      <c r="F20" s="434"/>
      <c r="G20" s="71">
        <f>SUM(C20:F20)</f>
        <v>1</v>
      </c>
      <c r="H20" s="416" t="s">
        <v>625</v>
      </c>
      <c r="I20" s="417" t="s">
        <v>324</v>
      </c>
      <c r="J20" s="418"/>
      <c r="K20" s="435" t="s">
        <v>346</v>
      </c>
      <c r="L20" s="436">
        <f>Olsen_Bakerp4pts</f>
        <v>10</v>
      </c>
      <c r="M20" s="437"/>
      <c r="N20" s="418">
        <f>SUM(J20:M20)</f>
        <v>10</v>
      </c>
      <c r="O20" s="430"/>
      <c r="P20" s="428"/>
      <c r="Q20" s="262" t="str">
        <f>Carreras_Sargyrgls</f>
        <v>-</v>
      </c>
      <c r="R20" s="431" t="str">
        <f>carrerassargyratt</f>
        <v>-</v>
      </c>
      <c r="S20" s="429"/>
    </row>
    <row r="21" spans="1:19" ht="14.95" customHeight="1" thickBot="1" x14ac:dyDescent="0.3">
      <c r="A21" s="132" t="s">
        <v>1018</v>
      </c>
      <c r="B21" s="131" t="s">
        <v>27</v>
      </c>
      <c r="C21" s="71"/>
      <c r="D21" s="432">
        <f>Dantyfra6ntries</f>
        <v>1</v>
      </c>
      <c r="E21" s="433" t="s">
        <v>346</v>
      </c>
      <c r="F21" s="434"/>
      <c r="G21" s="71">
        <f>SUM(C21:F21)</f>
        <v>1</v>
      </c>
      <c r="H21" s="416" t="s">
        <v>661</v>
      </c>
      <c r="I21" s="417" t="s">
        <v>325</v>
      </c>
      <c r="J21" s="418">
        <f>paluausintpts</f>
        <v>5</v>
      </c>
      <c r="K21" s="435" t="s">
        <v>346</v>
      </c>
      <c r="L21" s="436">
        <f>Paluausp4pts</f>
        <v>5</v>
      </c>
      <c r="M21" s="437"/>
      <c r="N21" s="418">
        <f>SUM(J21:M21)</f>
        <v>10</v>
      </c>
      <c r="O21" s="430"/>
      <c r="P21" s="428"/>
      <c r="Q21" s="262" t="str">
        <f>Da_Reitayrgls</f>
        <v>-</v>
      </c>
      <c r="R21" s="431" t="str">
        <f>dareitayratt</f>
        <v>-</v>
      </c>
      <c r="S21" s="429"/>
    </row>
    <row r="22" spans="1:19" ht="14.95" customHeight="1" thickBot="1" x14ac:dyDescent="0.3">
      <c r="A22" s="132" t="s">
        <v>1032</v>
      </c>
      <c r="B22" s="131" t="s">
        <v>324</v>
      </c>
      <c r="C22" s="71"/>
      <c r="D22" s="432" t="s">
        <v>346</v>
      </c>
      <c r="E22" s="433">
        <f>BruntnzlP4tries</f>
        <v>1</v>
      </c>
      <c r="F22" s="434"/>
      <c r="G22" s="71">
        <f>SUM(C22:F22)</f>
        <v>1</v>
      </c>
      <c r="H22" s="416" t="s">
        <v>910</v>
      </c>
      <c r="I22" s="417" t="s">
        <v>325</v>
      </c>
      <c r="J22" s="418">
        <f>woodausintpts</f>
        <v>8</v>
      </c>
      <c r="K22" s="435" t="s">
        <v>346</v>
      </c>
      <c r="L22" s="436">
        <f>WongausP4pts</f>
        <v>2</v>
      </c>
      <c r="M22" s="437"/>
      <c r="N22" s="418">
        <f>SUM(J22:M22)</f>
        <v>10</v>
      </c>
      <c r="O22" s="430"/>
      <c r="P22" s="428"/>
      <c r="Q22" s="262" t="str">
        <f>Donaldsonausyrgls</f>
        <v>-</v>
      </c>
      <c r="R22" s="431" t="str">
        <f>donaldsonausyratt</f>
        <v>-</v>
      </c>
      <c r="S22" s="429"/>
    </row>
    <row r="23" spans="1:19" ht="14.95" customHeight="1" thickBot="1" x14ac:dyDescent="0.3">
      <c r="A23" s="132" t="s">
        <v>1034</v>
      </c>
      <c r="B23" s="131" t="s">
        <v>326</v>
      </c>
      <c r="C23" s="71"/>
      <c r="D23" s="432" t="s">
        <v>346</v>
      </c>
      <c r="E23" s="433">
        <f>Boagcanp4tries</f>
        <v>1</v>
      </c>
      <c r="F23" s="434"/>
      <c r="G23" s="71">
        <f>SUM(C23:F23)</f>
        <v>1</v>
      </c>
      <c r="H23" s="416" t="s">
        <v>416</v>
      </c>
      <c r="I23" s="417" t="s">
        <v>20</v>
      </c>
      <c r="J23" s="418"/>
      <c r="K23" s="435">
        <f>Rowlandengpts</f>
        <v>8</v>
      </c>
      <c r="L23" s="436" t="s">
        <v>346</v>
      </c>
      <c r="M23" s="437"/>
      <c r="N23" s="418">
        <f>SUM(J23:M23)</f>
        <v>8</v>
      </c>
      <c r="O23" s="430"/>
      <c r="P23" s="428"/>
      <c r="Q23" s="262" t="str">
        <f>Foleyausyrgls</f>
        <v>-</v>
      </c>
      <c r="R23" s="431" t="str">
        <f>foleyausyratt</f>
        <v>-</v>
      </c>
      <c r="S23" s="429"/>
    </row>
    <row r="24" spans="1:19" ht="14.95" customHeight="1" thickBot="1" x14ac:dyDescent="0.3">
      <c r="A24" s="132" t="s">
        <v>977</v>
      </c>
      <c r="B24" s="131" t="s">
        <v>22</v>
      </c>
      <c r="C24" s="71"/>
      <c r="D24" s="432">
        <f>Braleyita6ntries</f>
        <v>1</v>
      </c>
      <c r="E24" s="433" t="s">
        <v>346</v>
      </c>
      <c r="F24" s="434"/>
      <c r="G24" s="71">
        <f>SUM(C24:F24)</f>
        <v>1</v>
      </c>
      <c r="H24" s="416" t="s">
        <v>1024</v>
      </c>
      <c r="I24" s="417" t="s">
        <v>22</v>
      </c>
      <c r="J24" s="418"/>
      <c r="K24" s="435">
        <f>D_Incaita6npts</f>
        <v>7</v>
      </c>
      <c r="L24" s="436" t="s">
        <v>346</v>
      </c>
      <c r="M24" s="437"/>
      <c r="N24" s="418">
        <f>SUM(J24:M24)</f>
        <v>7</v>
      </c>
      <c r="O24" s="430"/>
      <c r="P24" s="428"/>
      <c r="Q24" s="262" t="str">
        <f>Feinberg_M_zulursayrgls</f>
        <v>-</v>
      </c>
      <c r="R24" s="431" t="str">
        <f>Feinberg_M_zulursayratt</f>
        <v>-</v>
      </c>
      <c r="S24" s="429"/>
    </row>
    <row r="25" spans="1:19" ht="14.95" customHeight="1" thickBot="1" x14ac:dyDescent="0.3">
      <c r="A25" s="132" t="s">
        <v>1028</v>
      </c>
      <c r="B25" s="131" t="s">
        <v>21</v>
      </c>
      <c r="C25" s="71"/>
      <c r="D25" s="432">
        <f>Dargesco6ntries</f>
        <v>1</v>
      </c>
      <c r="E25" s="433" t="s">
        <v>346</v>
      </c>
      <c r="F25" s="434"/>
      <c r="G25" s="71">
        <f>SUM(C25:F25)</f>
        <v>1</v>
      </c>
      <c r="H25" s="416" t="s">
        <v>208</v>
      </c>
      <c r="I25" s="417" t="s">
        <v>23</v>
      </c>
      <c r="J25" s="418"/>
      <c r="K25" s="435">
        <f>penaltytrieswal6nptscorrect</f>
        <v>7</v>
      </c>
      <c r="L25" s="436" t="s">
        <v>346</v>
      </c>
      <c r="M25" s="437"/>
      <c r="N25" s="418">
        <f>SUM(J25:M25)</f>
        <v>7</v>
      </c>
      <c r="O25" s="430"/>
      <c r="P25" s="428"/>
      <c r="Q25" s="262" t="str">
        <f>Hastingsscoyrgls</f>
        <v>-</v>
      </c>
      <c r="R25" s="431" t="str">
        <f>hastingsscoyratt</f>
        <v>-</v>
      </c>
      <c r="S25" s="429"/>
    </row>
    <row r="26" spans="1:19" ht="14.95" customHeight="1" thickBot="1" x14ac:dyDescent="0.3">
      <c r="A26" s="132" t="s">
        <v>749</v>
      </c>
      <c r="B26" s="131" t="s">
        <v>20</v>
      </c>
      <c r="C26" s="71"/>
      <c r="D26" s="432">
        <f>Cliffordeng6ntriescorrect</f>
        <v>1</v>
      </c>
      <c r="E26" s="433" t="s">
        <v>346</v>
      </c>
      <c r="F26" s="434"/>
      <c r="G26" s="71">
        <f>SUM(C26:F26)</f>
        <v>1</v>
      </c>
      <c r="H26" s="416" t="s">
        <v>208</v>
      </c>
      <c r="I26" s="417" t="s">
        <v>326</v>
      </c>
      <c r="J26" s="418"/>
      <c r="K26" s="435" t="s">
        <v>346</v>
      </c>
      <c r="L26" s="436">
        <f>Penalty_Triescanpts</f>
        <v>7</v>
      </c>
      <c r="M26" s="437"/>
      <c r="N26" s="418">
        <f>SUM(J26:M26)</f>
        <v>7</v>
      </c>
      <c r="O26" s="427"/>
      <c r="P26" s="428"/>
      <c r="Q26" s="262" t="str">
        <f>Hastoyfrayrgls</f>
        <v>-</v>
      </c>
      <c r="R26" s="431" t="str">
        <f>hastoyfrayratt</f>
        <v>-</v>
      </c>
      <c r="S26" s="429"/>
    </row>
    <row r="27" spans="1:19" ht="14.95" customHeight="1" thickBot="1" x14ac:dyDescent="0.3">
      <c r="A27" s="132" t="s">
        <v>960</v>
      </c>
      <c r="B27" s="131" t="s">
        <v>327</v>
      </c>
      <c r="C27" s="71"/>
      <c r="D27" s="432" t="s">
        <v>346</v>
      </c>
      <c r="E27" s="433">
        <f>DetiveauxUSAP4tries</f>
        <v>1</v>
      </c>
      <c r="F27" s="434"/>
      <c r="G27" s="71">
        <f>SUM(C27:F27)</f>
        <v>1</v>
      </c>
      <c r="H27" s="416" t="s">
        <v>487</v>
      </c>
      <c r="I27" s="417" t="s">
        <v>326</v>
      </c>
      <c r="J27" s="418"/>
      <c r="K27" s="435" t="s">
        <v>346</v>
      </c>
      <c r="L27" s="436">
        <f>Gallaghercanp4pts</f>
        <v>6</v>
      </c>
      <c r="M27" s="437"/>
      <c r="N27" s="418">
        <f>SUM(J27:M27)</f>
        <v>6</v>
      </c>
      <c r="O27" s="427"/>
      <c r="P27" s="428"/>
      <c r="Q27" s="262" t="str">
        <f>Hornescoyrgls</f>
        <v>-</v>
      </c>
      <c r="R27" s="431" t="str">
        <f>Hornescoyratt</f>
        <v>-</v>
      </c>
      <c r="S27" s="429"/>
    </row>
    <row r="28" spans="1:19" ht="14.95" customHeight="1" thickBot="1" x14ac:dyDescent="0.3">
      <c r="A28" s="132" t="s">
        <v>1024</v>
      </c>
      <c r="B28" s="131" t="s">
        <v>22</v>
      </c>
      <c r="C28" s="71"/>
      <c r="D28" s="432">
        <f>D_Incaita6ntries</f>
        <v>1</v>
      </c>
      <c r="E28" s="433" t="s">
        <v>346</v>
      </c>
      <c r="F28" s="434"/>
      <c r="G28" s="71">
        <f>SUM(C28:F28)</f>
        <v>1</v>
      </c>
      <c r="H28" s="416" t="s">
        <v>1022</v>
      </c>
      <c r="I28" s="417" t="s">
        <v>27</v>
      </c>
      <c r="J28" s="418"/>
      <c r="K28" s="435">
        <f>Barratfra6npts</f>
        <v>5</v>
      </c>
      <c r="L28" s="436" t="s">
        <v>346</v>
      </c>
      <c r="M28" s="437"/>
      <c r="N28" s="418">
        <f>SUM(J28:M28)</f>
        <v>5</v>
      </c>
      <c r="O28" s="430"/>
      <c r="P28" s="428"/>
      <c r="Q28" s="262" t="str">
        <f>Kellawayausyrgls</f>
        <v>-</v>
      </c>
      <c r="R28" s="431" t="str">
        <f>kellawayausyratt</f>
        <v>-</v>
      </c>
      <c r="S28" s="429"/>
    </row>
    <row r="29" spans="1:19" ht="14.95" customHeight="1" thickBot="1" x14ac:dyDescent="0.3">
      <c r="A29" s="132" t="s">
        <v>477</v>
      </c>
      <c r="B29" s="131" t="s">
        <v>324</v>
      </c>
      <c r="C29" s="71"/>
      <c r="D29" s="432" t="s">
        <v>346</v>
      </c>
      <c r="E29" s="433">
        <f>du_PlessisnzlP4tries</f>
        <v>1</v>
      </c>
      <c r="F29" s="434"/>
      <c r="G29" s="71">
        <f>SUM(C29:F29)</f>
        <v>1</v>
      </c>
      <c r="H29" s="416" t="s">
        <v>728</v>
      </c>
      <c r="I29" s="417" t="s">
        <v>27</v>
      </c>
      <c r="J29" s="418"/>
      <c r="K29" s="435">
        <f>Bourdonfra6npts</f>
        <v>5</v>
      </c>
      <c r="L29" s="436" t="s">
        <v>346</v>
      </c>
      <c r="M29" s="437"/>
      <c r="N29" s="418">
        <f>SUM(J29:M29)</f>
        <v>5</v>
      </c>
      <c r="O29" s="427"/>
      <c r="P29" s="428"/>
      <c r="Q29" s="262" t="str">
        <f>Kinghornscoyrgls</f>
        <v>-</v>
      </c>
      <c r="R29" s="431" t="str">
        <f>kinghornscoyratt</f>
        <v>-</v>
      </c>
      <c r="S29" s="429"/>
    </row>
    <row r="30" spans="1:19" ht="14.95" customHeight="1" thickBot="1" x14ac:dyDescent="0.3">
      <c r="A30" s="132" t="s">
        <v>729</v>
      </c>
      <c r="B30" s="131" t="s">
        <v>27</v>
      </c>
      <c r="C30" s="71"/>
      <c r="D30" s="432">
        <f>Jelonchfra6ntries</f>
        <v>1</v>
      </c>
      <c r="E30" s="433" t="s">
        <v>346</v>
      </c>
      <c r="F30" s="434"/>
      <c r="G30" s="71">
        <f>SUM(C30:F30)</f>
        <v>1</v>
      </c>
      <c r="H30" s="416" t="s">
        <v>206</v>
      </c>
      <c r="I30" s="417" t="s">
        <v>20</v>
      </c>
      <c r="J30" s="418"/>
      <c r="K30" s="435">
        <f>Dombrandteng6npts</f>
        <v>5</v>
      </c>
      <c r="L30" s="436" t="s">
        <v>346</v>
      </c>
      <c r="M30" s="437"/>
      <c r="N30" s="418">
        <f>SUM(J30:M30)</f>
        <v>5</v>
      </c>
      <c r="O30" s="427"/>
      <c r="P30" s="428"/>
      <c r="Q30" s="262" t="str">
        <f>Le_Garrecfrayrgls</f>
        <v>-</v>
      </c>
      <c r="R30" s="431" t="str">
        <f>Le_Garrecfrayratt</f>
        <v>-</v>
      </c>
      <c r="S30" s="429"/>
    </row>
    <row r="31" spans="1:19" ht="14.95" customHeight="1" thickBot="1" x14ac:dyDescent="0.3">
      <c r="A31" s="132" t="s">
        <v>597</v>
      </c>
      <c r="B31" s="131" t="s">
        <v>27</v>
      </c>
      <c r="C31" s="71"/>
      <c r="D31" s="432">
        <f>Moefanafra6ntries</f>
        <v>1</v>
      </c>
      <c r="E31" s="433" t="s">
        <v>346</v>
      </c>
      <c r="F31" s="434"/>
      <c r="G31" s="71">
        <f>SUM(C31:F31)</f>
        <v>1</v>
      </c>
      <c r="H31" s="416" t="s">
        <v>1018</v>
      </c>
      <c r="I31" s="417" t="s">
        <v>27</v>
      </c>
      <c r="J31" s="418"/>
      <c r="K31" s="435">
        <f>Dantyfra6npts</f>
        <v>5</v>
      </c>
      <c r="L31" s="436" t="s">
        <v>346</v>
      </c>
      <c r="M31" s="437"/>
      <c r="N31" s="418">
        <f>SUM(J31:M31)</f>
        <v>5</v>
      </c>
      <c r="O31" s="430"/>
      <c r="P31" s="428"/>
      <c r="Q31" s="262" t="str">
        <f>Libbok_Mrsayrgls</f>
        <v>-</v>
      </c>
      <c r="R31" s="431" t="str">
        <f>libbokjrsayratt</f>
        <v>-</v>
      </c>
      <c r="S31" s="429"/>
    </row>
    <row r="32" spans="1:19" ht="14.95" customHeight="1" thickBot="1" x14ac:dyDescent="0.3">
      <c r="A32" s="132" t="s">
        <v>1045</v>
      </c>
      <c r="B32" s="131" t="s">
        <v>327</v>
      </c>
      <c r="C32" s="71"/>
      <c r="D32" s="432" t="s">
        <v>346</v>
      </c>
      <c r="E32" s="433">
        <f>Henrichusap4tries</f>
        <v>1</v>
      </c>
      <c r="F32" s="434"/>
      <c r="G32" s="71">
        <f>SUM(C32:F32)</f>
        <v>1</v>
      </c>
      <c r="H32" s="416" t="s">
        <v>1032</v>
      </c>
      <c r="I32" s="417" t="s">
        <v>324</v>
      </c>
      <c r="J32" s="418"/>
      <c r="K32" s="435" t="s">
        <v>346</v>
      </c>
      <c r="L32" s="436">
        <f>BruntnzlP4pts</f>
        <v>5</v>
      </c>
      <c r="M32" s="437"/>
      <c r="N32" s="418">
        <f>SUM(J32:M32)</f>
        <v>5</v>
      </c>
      <c r="O32" s="430"/>
      <c r="P32" s="428"/>
      <c r="Q32" s="262" t="str">
        <f>Lolesioausyrgls</f>
        <v>-</v>
      </c>
      <c r="R32" s="431" t="str">
        <f>lolesioausyratt</f>
        <v>-</v>
      </c>
      <c r="S32" s="429"/>
    </row>
    <row r="33" spans="1:19" ht="14.95" customHeight="1" thickBot="1" x14ac:dyDescent="0.3">
      <c r="A33" s="132" t="s">
        <v>740</v>
      </c>
      <c r="B33" s="131" t="s">
        <v>19</v>
      </c>
      <c r="C33" s="71"/>
      <c r="D33" s="432">
        <f>Hoganire6ntries</f>
        <v>1</v>
      </c>
      <c r="E33" s="433" t="s">
        <v>346</v>
      </c>
      <c r="F33" s="434"/>
      <c r="G33" s="71">
        <f>SUM(C33:F33)</f>
        <v>1</v>
      </c>
      <c r="H33" s="416" t="s">
        <v>1034</v>
      </c>
      <c r="I33" s="417" t="s">
        <v>326</v>
      </c>
      <c r="J33" s="418"/>
      <c r="K33" s="435" t="s">
        <v>346</v>
      </c>
      <c r="L33" s="436">
        <f>Boagcanp4pts</f>
        <v>5</v>
      </c>
      <c r="M33" s="437"/>
      <c r="N33" s="418">
        <f>SUM(J33:M33)</f>
        <v>5</v>
      </c>
      <c r="O33" s="427"/>
      <c r="P33" s="428"/>
      <c r="Q33" s="262" t="str">
        <f>Lucufrayrgls</f>
        <v>-</v>
      </c>
      <c r="R33" s="431" t="str">
        <f>lucufrayratt</f>
        <v>-</v>
      </c>
      <c r="S33" s="429"/>
    </row>
    <row r="34" spans="1:19" ht="14.95" customHeight="1" thickBot="1" x14ac:dyDescent="0.3">
      <c r="A34" s="132" t="s">
        <v>1036</v>
      </c>
      <c r="B34" s="131" t="s">
        <v>326</v>
      </c>
      <c r="C34" s="71"/>
      <c r="D34" s="432" t="s">
        <v>346</v>
      </c>
      <c r="E34" s="433">
        <f>Huntcanp4tries</f>
        <v>1</v>
      </c>
      <c r="F34" s="434"/>
      <c r="G34" s="71">
        <f>SUM(C34:F34)</f>
        <v>1</v>
      </c>
      <c r="H34" s="416" t="s">
        <v>977</v>
      </c>
      <c r="I34" s="417" t="s">
        <v>22</v>
      </c>
      <c r="J34" s="418"/>
      <c r="K34" s="435">
        <f>Braleyita6npts</f>
        <v>5</v>
      </c>
      <c r="L34" s="436" t="s">
        <v>346</v>
      </c>
      <c r="M34" s="437"/>
      <c r="N34" s="418">
        <f>SUM(J34:M34)</f>
        <v>5</v>
      </c>
      <c r="O34" s="430"/>
      <c r="P34" s="428"/>
      <c r="Q34" s="262" t="str">
        <f>Lynaghausyrgls</f>
        <v>-</v>
      </c>
      <c r="R34" s="431" t="str">
        <f>Lynaghausyratt</f>
        <v>-</v>
      </c>
      <c r="S34" s="429"/>
    </row>
    <row r="35" spans="1:19" ht="14.95" customHeight="1" thickBot="1" x14ac:dyDescent="0.3">
      <c r="A35" s="132" t="s">
        <v>172</v>
      </c>
      <c r="B35" s="131" t="s">
        <v>23</v>
      </c>
      <c r="C35" s="71"/>
      <c r="D35" s="432">
        <f>Jones_Kwal6ntries</f>
        <v>1</v>
      </c>
      <c r="E35" s="433" t="s">
        <v>346</v>
      </c>
      <c r="F35" s="434"/>
      <c r="G35" s="71">
        <f>SUM(C35:F35)</f>
        <v>1</v>
      </c>
      <c r="H35" s="416" t="s">
        <v>1028</v>
      </c>
      <c r="I35" s="417" t="s">
        <v>21</v>
      </c>
      <c r="J35" s="418"/>
      <c r="K35" s="435">
        <f>Dargesco6npts</f>
        <v>5</v>
      </c>
      <c r="L35" s="436" t="s">
        <v>346</v>
      </c>
      <c r="M35" s="437"/>
      <c r="N35" s="418">
        <f>SUM(J35:M35)</f>
        <v>5</v>
      </c>
      <c r="O35" s="430"/>
      <c r="P35" s="428"/>
      <c r="Q35" s="262" t="str">
        <f>Malliaargyrgls</f>
        <v>-</v>
      </c>
      <c r="R35" s="431" t="str">
        <f>malliaargyratt</f>
        <v>-</v>
      </c>
      <c r="S35" s="429"/>
    </row>
    <row r="36" spans="1:19" ht="14.95" customHeight="1" thickBot="1" x14ac:dyDescent="0.3">
      <c r="A36" s="132" t="s">
        <v>502</v>
      </c>
      <c r="B36" s="131" t="s">
        <v>20</v>
      </c>
      <c r="C36" s="71"/>
      <c r="D36" s="432">
        <f>Joneseng6ntries</f>
        <v>1</v>
      </c>
      <c r="E36" s="433" t="s">
        <v>346</v>
      </c>
      <c r="F36" s="434"/>
      <c r="G36" s="71">
        <f>SUM(C36:F36)</f>
        <v>1</v>
      </c>
      <c r="H36" s="416" t="s">
        <v>749</v>
      </c>
      <c r="I36" s="417" t="s">
        <v>20</v>
      </c>
      <c r="J36" s="418"/>
      <c r="K36" s="435">
        <f>Cliffordeng6npts</f>
        <v>5</v>
      </c>
      <c r="L36" s="436" t="s">
        <v>346</v>
      </c>
      <c r="M36" s="437"/>
      <c r="N36" s="418">
        <f>SUM(J36:M36)</f>
        <v>5</v>
      </c>
      <c r="O36" s="430"/>
      <c r="P36" s="428"/>
      <c r="Q36" s="262" t="str">
        <f>McKenzie_Dnzlyrgls</f>
        <v>-</v>
      </c>
      <c r="R36" s="431" t="str">
        <f>mckenzienzlyratt</f>
        <v>-</v>
      </c>
      <c r="S36" s="429"/>
    </row>
    <row r="37" spans="1:19" ht="14.95" customHeight="1" thickBot="1" x14ac:dyDescent="0.3">
      <c r="A37" s="132" t="s">
        <v>384</v>
      </c>
      <c r="B37" s="131" t="s">
        <v>20</v>
      </c>
      <c r="C37" s="71"/>
      <c r="D37" s="432">
        <f>Kabeyaeng6ntries</f>
        <v>1</v>
      </c>
      <c r="E37" s="433" t="s">
        <v>346</v>
      </c>
      <c r="F37" s="434"/>
      <c r="G37" s="71">
        <f>SUM(C37:F37)</f>
        <v>1</v>
      </c>
      <c r="H37" s="416" t="s">
        <v>960</v>
      </c>
      <c r="I37" s="417" t="s">
        <v>327</v>
      </c>
      <c r="J37" s="418"/>
      <c r="K37" s="435" t="s">
        <v>346</v>
      </c>
      <c r="L37" s="436">
        <f>DetiveauxUSAP4pts</f>
        <v>5</v>
      </c>
      <c r="M37" s="437"/>
      <c r="N37" s="418">
        <f>SUM(J37:M37)</f>
        <v>5</v>
      </c>
      <c r="O37" s="430"/>
      <c r="P37" s="428"/>
      <c r="Q37" s="262" t="str">
        <f>whiteausyrgls</f>
        <v>-</v>
      </c>
      <c r="R37" s="431" t="str">
        <f>whiteausyratt</f>
        <v>-</v>
      </c>
      <c r="S37" s="429"/>
    </row>
    <row r="38" spans="1:19" ht="14.95" customHeight="1" thickBot="1" x14ac:dyDescent="0.3">
      <c r="A38" s="132" t="s">
        <v>589</v>
      </c>
      <c r="B38" s="131" t="s">
        <v>27</v>
      </c>
      <c r="C38" s="71"/>
      <c r="D38" s="432">
        <f>Khalfaouifra6ntries</f>
        <v>1</v>
      </c>
      <c r="E38" s="433" t="s">
        <v>346</v>
      </c>
      <c r="F38" s="434"/>
      <c r="G38" s="71">
        <f>SUM(C38:F38)</f>
        <v>1</v>
      </c>
      <c r="H38" s="416" t="s">
        <v>477</v>
      </c>
      <c r="I38" s="417" t="s">
        <v>324</v>
      </c>
      <c r="J38" s="418"/>
      <c r="K38" s="435" t="s">
        <v>346</v>
      </c>
      <c r="L38" s="436">
        <f>du_PlessisnzlP4pts</f>
        <v>5</v>
      </c>
      <c r="M38" s="437"/>
      <c r="N38" s="418">
        <f>SUM(J38:M38)</f>
        <v>5</v>
      </c>
      <c r="O38" s="430"/>
      <c r="P38" s="428"/>
      <c r="Q38" s="262" t="str">
        <f>Page_Reloitayrgls</f>
        <v>-</v>
      </c>
      <c r="R38" s="431" t="str">
        <f>pagereloitsyratt</f>
        <v>-</v>
      </c>
      <c r="S38" s="429"/>
    </row>
    <row r="39" spans="1:19" ht="14.95" customHeight="1" thickBot="1" x14ac:dyDescent="0.3">
      <c r="A39" s="132" t="s">
        <v>1027</v>
      </c>
      <c r="B39" s="131" t="s">
        <v>19</v>
      </c>
      <c r="C39" s="71"/>
      <c r="D39" s="432">
        <f>kingire6ntries</f>
        <v>1</v>
      </c>
      <c r="E39" s="433" t="s">
        <v>346</v>
      </c>
      <c r="F39" s="434"/>
      <c r="G39" s="71">
        <f>SUM(C39:F39)</f>
        <v>1</v>
      </c>
      <c r="H39" s="416" t="s">
        <v>729</v>
      </c>
      <c r="I39" s="417" t="s">
        <v>27</v>
      </c>
      <c r="J39" s="418"/>
      <c r="K39" s="435">
        <f>Jelonchfra6npts</f>
        <v>5</v>
      </c>
      <c r="L39" s="436" t="s">
        <v>346</v>
      </c>
      <c r="M39" s="437"/>
      <c r="N39" s="418">
        <f>SUM(J39:M39)</f>
        <v>5</v>
      </c>
      <c r="O39" s="430"/>
      <c r="P39" s="428"/>
      <c r="Q39" s="262" t="str">
        <f>Pollardrsayrgls</f>
        <v>-</v>
      </c>
      <c r="R39" s="431" t="str">
        <f>pollardrsayratt</f>
        <v>-</v>
      </c>
      <c r="S39" s="429"/>
    </row>
    <row r="40" spans="1:19" ht="14.95" customHeight="1" thickBot="1" x14ac:dyDescent="0.3">
      <c r="A40" s="132" t="s">
        <v>606</v>
      </c>
      <c r="B40" s="131" t="s">
        <v>324</v>
      </c>
      <c r="C40" s="71"/>
      <c r="D40" s="432" t="s">
        <v>346</v>
      </c>
      <c r="E40" s="433">
        <f>Kingnzlp4tries</f>
        <v>1</v>
      </c>
      <c r="F40" s="434"/>
      <c r="G40" s="71">
        <f>SUM(C40:F40)</f>
        <v>1</v>
      </c>
      <c r="H40" s="416" t="s">
        <v>597</v>
      </c>
      <c r="I40" s="417" t="s">
        <v>27</v>
      </c>
      <c r="J40" s="418"/>
      <c r="K40" s="435">
        <f>Moefana6npts</f>
        <v>5</v>
      </c>
      <c r="L40" s="436" t="s">
        <v>346</v>
      </c>
      <c r="M40" s="437"/>
      <c r="N40" s="418">
        <f>SUM(J40:M40)</f>
        <v>5</v>
      </c>
      <c r="O40" s="430"/>
      <c r="P40" s="428"/>
      <c r="Q40" s="262" t="str">
        <f>Sanchezargyrgls</f>
        <v>-</v>
      </c>
      <c r="R40" s="431" t="str">
        <f>sanchexzargyratt</f>
        <v>-</v>
      </c>
      <c r="S40" s="429"/>
    </row>
    <row r="41" spans="1:19" ht="14.95" customHeight="1" thickBot="1" x14ac:dyDescent="0.3">
      <c r="A41" s="132" t="s">
        <v>762</v>
      </c>
      <c r="B41" s="131" t="s">
        <v>19</v>
      </c>
      <c r="C41" s="71"/>
      <c r="D41" s="432">
        <f>Laneire6ntries</f>
        <v>1</v>
      </c>
      <c r="E41" s="433" t="s">
        <v>346</v>
      </c>
      <c r="F41" s="434"/>
      <c r="G41" s="71">
        <f>SUM(C41:F41)</f>
        <v>1</v>
      </c>
      <c r="H41" s="416" t="s">
        <v>1045</v>
      </c>
      <c r="I41" s="417" t="s">
        <v>327</v>
      </c>
      <c r="J41" s="418"/>
      <c r="K41" s="435" t="s">
        <v>346</v>
      </c>
      <c r="L41" s="436">
        <f>Henrichusap4pts</f>
        <v>5</v>
      </c>
      <c r="M41" s="437"/>
      <c r="N41" s="418">
        <f>SUM(J41:M41)</f>
        <v>5</v>
      </c>
      <c r="O41" s="427"/>
      <c r="P41" s="428"/>
      <c r="Q41" s="262" t="str">
        <f>segondsfrayrgls</f>
        <v>-</v>
      </c>
      <c r="R41" s="431" t="str">
        <f>segondsfrayratt</f>
        <v>-</v>
      </c>
      <c r="S41" s="429"/>
    </row>
    <row r="42" spans="1:19" ht="14.95" customHeight="1" thickBot="1" x14ac:dyDescent="0.3">
      <c r="A42" s="132" t="s">
        <v>1014</v>
      </c>
      <c r="B42" s="131" t="s">
        <v>325</v>
      </c>
      <c r="C42" s="71">
        <f>ledingtonausinttries</f>
        <v>1</v>
      </c>
      <c r="D42" s="432" t="s">
        <v>346</v>
      </c>
      <c r="E42" s="433"/>
      <c r="F42" s="434"/>
      <c r="G42" s="71">
        <f>SUM(C42:F42)</f>
        <v>1</v>
      </c>
      <c r="H42" s="416" t="s">
        <v>740</v>
      </c>
      <c r="I42" s="417" t="s">
        <v>19</v>
      </c>
      <c r="J42" s="418"/>
      <c r="K42" s="435">
        <f>Hoganire6npts</f>
        <v>5</v>
      </c>
      <c r="L42" s="436" t="s">
        <v>346</v>
      </c>
      <c r="M42" s="437"/>
      <c r="N42" s="418">
        <f>SUM(J42:M42)</f>
        <v>5</v>
      </c>
      <c r="O42" s="430"/>
      <c r="P42" s="428"/>
      <c r="Q42" s="262" t="str">
        <f>segondsfrayrgls</f>
        <v>-</v>
      </c>
      <c r="R42" s="431" t="str">
        <f>segondsfrayratt</f>
        <v>-</v>
      </c>
      <c r="S42" s="429"/>
    </row>
    <row r="43" spans="1:19" ht="14.95" customHeight="1" thickBot="1" x14ac:dyDescent="0.3">
      <c r="A43" s="132" t="s">
        <v>547</v>
      </c>
      <c r="B43" s="131" t="s">
        <v>21</v>
      </c>
      <c r="C43" s="71"/>
      <c r="D43" s="432">
        <f>Lloydscpo6ntries</f>
        <v>1</v>
      </c>
      <c r="E43" s="433" t="s">
        <v>346</v>
      </c>
      <c r="F43" s="434"/>
      <c r="G43" s="71">
        <f>SUM(C43:F43)</f>
        <v>1</v>
      </c>
      <c r="H43" s="416" t="s">
        <v>1036</v>
      </c>
      <c r="I43" s="417" t="s">
        <v>326</v>
      </c>
      <c r="J43" s="418"/>
      <c r="K43" s="435" t="s">
        <v>346</v>
      </c>
      <c r="L43" s="436">
        <f>Huntcanp4pts</f>
        <v>5</v>
      </c>
      <c r="M43" s="437"/>
      <c r="N43" s="418">
        <f>SUM(J43:M43)</f>
        <v>5</v>
      </c>
      <c r="O43" s="430"/>
      <c r="P43" s="428"/>
      <c r="Q43" s="262" t="str">
        <f>Thomas_Bwalyrgls</f>
        <v>-</v>
      </c>
      <c r="R43" s="431" t="str">
        <f>Thomas_Bwalyratt</f>
        <v>-</v>
      </c>
      <c r="S43" s="429"/>
    </row>
    <row r="44" spans="1:19" ht="14.95" customHeight="1" thickBot="1" x14ac:dyDescent="0.3">
      <c r="A44" s="132" t="s">
        <v>1038</v>
      </c>
      <c r="B44" s="131" t="s">
        <v>20</v>
      </c>
      <c r="C44" s="71"/>
      <c r="D44" s="432">
        <f>Lutuieng6ntries</f>
        <v>1</v>
      </c>
      <c r="E44" s="433" t="s">
        <v>346</v>
      </c>
      <c r="F44" s="434"/>
      <c r="G44" s="71">
        <f>SUM(C44:F44)</f>
        <v>1</v>
      </c>
      <c r="H44" s="416" t="s">
        <v>172</v>
      </c>
      <c r="I44" s="417" t="s">
        <v>23</v>
      </c>
      <c r="J44" s="418"/>
      <c r="K44" s="435">
        <f>Jones_Kwal6npts</f>
        <v>5</v>
      </c>
      <c r="L44" s="436" t="s">
        <v>346</v>
      </c>
      <c r="M44" s="437"/>
      <c r="N44" s="418">
        <f>SUM(J44:M44)</f>
        <v>5</v>
      </c>
      <c r="O44" s="427"/>
      <c r="P44" s="428"/>
      <c r="Q44" s="262" t="str">
        <f>Thompsonscoyrgls</f>
        <v>-</v>
      </c>
      <c r="R44" s="431" t="str">
        <f>Thompsonscoyratt</f>
        <v>-</v>
      </c>
      <c r="S44" s="429"/>
    </row>
    <row r="45" spans="1:19" ht="14.95" customHeight="1" thickBot="1" x14ac:dyDescent="0.3">
      <c r="A45" s="132" t="s">
        <v>425</v>
      </c>
      <c r="B45" s="131" t="s">
        <v>22</v>
      </c>
      <c r="C45" s="71"/>
      <c r="D45" s="432">
        <f>Madiaita6ntries</f>
        <v>1</v>
      </c>
      <c r="E45" s="433" t="s">
        <v>346</v>
      </c>
      <c r="F45" s="434"/>
      <c r="G45" s="71">
        <f>SUM(C45:F45)</f>
        <v>1</v>
      </c>
      <c r="H45" s="416" t="s">
        <v>502</v>
      </c>
      <c r="I45" s="417" t="s">
        <v>20</v>
      </c>
      <c r="J45" s="418"/>
      <c r="K45" s="435">
        <f>Joneseng6npts</f>
        <v>5</v>
      </c>
      <c r="L45" s="436" t="s">
        <v>346</v>
      </c>
      <c r="M45" s="437"/>
      <c r="N45" s="418">
        <f>SUM(J45:M45)</f>
        <v>5</v>
      </c>
      <c r="O45" s="430"/>
      <c r="P45" s="428"/>
      <c r="Q45" s="262" t="str">
        <f>Varneyitayrgls</f>
        <v>-</v>
      </c>
      <c r="R45" s="431" t="str">
        <f>Varneyitayratt</f>
        <v>-</v>
      </c>
      <c r="S45" s="429"/>
    </row>
    <row r="46" spans="1:19" ht="14.95" customHeight="1" thickBot="1" x14ac:dyDescent="0.3">
      <c r="A46" s="132" t="s">
        <v>737</v>
      </c>
      <c r="B46" s="131" t="s">
        <v>19</v>
      </c>
      <c r="C46" s="71"/>
      <c r="D46" s="432">
        <f>McGannire6ntries</f>
        <v>1</v>
      </c>
      <c r="E46" s="433" t="s">
        <v>346</v>
      </c>
      <c r="F46" s="434"/>
      <c r="G46" s="71">
        <f>SUM(C46:F46)</f>
        <v>1</v>
      </c>
      <c r="H46" s="416" t="s">
        <v>384</v>
      </c>
      <c r="I46" s="417" t="s">
        <v>20</v>
      </c>
      <c r="J46" s="418"/>
      <c r="K46" s="435">
        <f>Kabeyaeng6npts</f>
        <v>5</v>
      </c>
      <c r="L46" s="436" t="s">
        <v>346</v>
      </c>
      <c r="M46" s="437"/>
      <c r="N46" s="418">
        <f>SUM(J46:M46)</f>
        <v>5</v>
      </c>
      <c r="O46" s="93" t="s">
        <v>577</v>
      </c>
      <c r="P46" s="2"/>
      <c r="Q46" s="2"/>
      <c r="R46" s="2"/>
    </row>
    <row r="47" spans="1:19" ht="14.95" customHeight="1" thickBot="1" x14ac:dyDescent="0.3">
      <c r="A47" s="132" t="s">
        <v>933</v>
      </c>
      <c r="B47" s="131" t="s">
        <v>19</v>
      </c>
      <c r="C47" s="71"/>
      <c r="D47" s="432">
        <f>Moloneyire6ntries</f>
        <v>1</v>
      </c>
      <c r="E47" s="433" t="s">
        <v>346</v>
      </c>
      <c r="F47" s="434"/>
      <c r="G47" s="71">
        <f>SUM(C47:F47)</f>
        <v>1</v>
      </c>
      <c r="H47" s="416" t="s">
        <v>589</v>
      </c>
      <c r="I47" s="417" t="s">
        <v>27</v>
      </c>
      <c r="J47" s="418"/>
      <c r="K47" s="435">
        <f>Khalfaouifra6npts</f>
        <v>5</v>
      </c>
      <c r="L47" s="436" t="s">
        <v>346</v>
      </c>
      <c r="M47" s="437"/>
      <c r="N47" s="418">
        <f>SUM(J47:M47)</f>
        <v>5</v>
      </c>
      <c r="O47" s="2"/>
      <c r="P47" s="2"/>
      <c r="Q47" s="2"/>
      <c r="R47" s="2"/>
    </row>
    <row r="48" spans="1:19" ht="14.95" customHeight="1" thickBot="1" x14ac:dyDescent="0.3">
      <c r="A48" s="132" t="s">
        <v>1041</v>
      </c>
      <c r="B48" s="131" t="s">
        <v>19</v>
      </c>
      <c r="C48" s="71"/>
      <c r="D48" s="432">
        <f>O’Connorire6ntries</f>
        <v>1</v>
      </c>
      <c r="E48" s="433" t="s">
        <v>346</v>
      </c>
      <c r="F48" s="434"/>
      <c r="G48" s="71">
        <f>SUM(C48:F48)</f>
        <v>1</v>
      </c>
      <c r="H48" s="416" t="s">
        <v>1027</v>
      </c>
      <c r="I48" s="417" t="s">
        <v>19</v>
      </c>
      <c r="J48" s="418"/>
      <c r="K48" s="435">
        <f>Kingire6npts</f>
        <v>5</v>
      </c>
      <c r="L48" s="436" t="s">
        <v>346</v>
      </c>
      <c r="M48" s="437"/>
      <c r="N48" s="418">
        <f>SUM(J48:M48)</f>
        <v>5</v>
      </c>
      <c r="O48" s="2"/>
      <c r="P48" s="2"/>
      <c r="Q48" s="2"/>
      <c r="R48" s="2"/>
    </row>
    <row r="49" spans="1:18" ht="14.95" customHeight="1" thickBot="1" x14ac:dyDescent="0.3">
      <c r="A49" s="132" t="s">
        <v>1015</v>
      </c>
      <c r="B49" s="131" t="s">
        <v>325</v>
      </c>
      <c r="C49" s="71">
        <f>ogormanausinttries</f>
        <v>1</v>
      </c>
      <c r="D49" s="432" t="s">
        <v>346</v>
      </c>
      <c r="E49" s="433"/>
      <c r="F49" s="434"/>
      <c r="G49" s="71">
        <f>SUM(C49:F49)</f>
        <v>1</v>
      </c>
      <c r="H49" s="416" t="s">
        <v>606</v>
      </c>
      <c r="I49" s="417" t="s">
        <v>324</v>
      </c>
      <c r="J49" s="418"/>
      <c r="K49" s="435" t="s">
        <v>346</v>
      </c>
      <c r="L49" s="436">
        <f>Kingnzlp4pts</f>
        <v>5</v>
      </c>
      <c r="M49" s="437"/>
      <c r="N49" s="418">
        <f>SUM(J49:M49)</f>
        <v>5</v>
      </c>
      <c r="O49" s="2"/>
      <c r="P49" s="2"/>
      <c r="Q49" s="2"/>
      <c r="R49" s="2"/>
    </row>
    <row r="50" spans="1:18" ht="14.95" customHeight="1" thickBot="1" x14ac:dyDescent="0.3">
      <c r="A50" s="132" t="s">
        <v>603</v>
      </c>
      <c r="B50" s="131" t="s">
        <v>326</v>
      </c>
      <c r="C50" s="71"/>
      <c r="D50" s="432" t="s">
        <v>346</v>
      </c>
      <c r="E50" s="433">
        <f>Omokhualecanp4tries</f>
        <v>1</v>
      </c>
      <c r="F50" s="434"/>
      <c r="G50" s="71">
        <f>SUM(C50:F50)</f>
        <v>1</v>
      </c>
      <c r="H50" s="416" t="s">
        <v>762</v>
      </c>
      <c r="I50" s="417" t="s">
        <v>19</v>
      </c>
      <c r="J50" s="418"/>
      <c r="K50" s="435">
        <f>Laneire6npts</f>
        <v>5</v>
      </c>
      <c r="L50" s="436" t="s">
        <v>346</v>
      </c>
      <c r="M50" s="437"/>
      <c r="N50" s="418">
        <f>SUM(J50:M50)</f>
        <v>5</v>
      </c>
      <c r="O50" s="2"/>
      <c r="P50" s="2"/>
      <c r="Q50" s="2"/>
      <c r="R50" s="2"/>
    </row>
    <row r="51" spans="1:18" ht="14.95" customHeight="1" thickBot="1" x14ac:dyDescent="0.3">
      <c r="A51" s="132" t="s">
        <v>943</v>
      </c>
      <c r="B51" s="131" t="s">
        <v>22</v>
      </c>
      <c r="C51" s="71"/>
      <c r="D51" s="432">
        <f>Minuzziita6ntries</f>
        <v>1</v>
      </c>
      <c r="E51" s="433" t="s">
        <v>346</v>
      </c>
      <c r="F51" s="434"/>
      <c r="G51" s="71">
        <f>SUM(C51:F51)</f>
        <v>1</v>
      </c>
      <c r="H51" s="416" t="s">
        <v>1014</v>
      </c>
      <c r="I51" s="417" t="s">
        <v>325</v>
      </c>
      <c r="J51" s="418">
        <f>ledingtonausintpts</f>
        <v>5</v>
      </c>
      <c r="K51" s="435" t="s">
        <v>346</v>
      </c>
      <c r="L51" s="436"/>
      <c r="M51" s="437"/>
      <c r="N51" s="418">
        <f>SUM(J51:M51)</f>
        <v>5</v>
      </c>
      <c r="O51" s="2"/>
      <c r="P51" s="2"/>
      <c r="Q51" s="2"/>
      <c r="R51" s="2"/>
    </row>
    <row r="52" spans="1:18" ht="14.95" customHeight="1" thickBot="1" x14ac:dyDescent="0.3">
      <c r="A52" s="132" t="s">
        <v>64</v>
      </c>
      <c r="B52" s="131" t="s">
        <v>20</v>
      </c>
      <c r="C52" s="71"/>
      <c r="D52" s="432">
        <f>Packer_Mengtries</f>
        <v>1</v>
      </c>
      <c r="E52" s="433" t="s">
        <v>346</v>
      </c>
      <c r="F52" s="434"/>
      <c r="G52" s="71">
        <f>SUM(C52:F52)</f>
        <v>1</v>
      </c>
      <c r="H52" s="416" t="s">
        <v>547</v>
      </c>
      <c r="I52" s="417" t="s">
        <v>21</v>
      </c>
      <c r="J52" s="418"/>
      <c r="K52" s="435">
        <f>Lloydsco6npts</f>
        <v>5</v>
      </c>
      <c r="L52" s="436" t="s">
        <v>346</v>
      </c>
      <c r="M52" s="437"/>
      <c r="N52" s="418">
        <f>SUM(J52:M52)</f>
        <v>5</v>
      </c>
      <c r="O52" s="2"/>
      <c r="P52" s="2"/>
      <c r="Q52" s="2"/>
      <c r="R52" s="2"/>
    </row>
    <row r="53" spans="1:18" ht="14.95" customHeight="1" thickBot="1" x14ac:dyDescent="0.3">
      <c r="A53" s="132" t="s">
        <v>208</v>
      </c>
      <c r="B53" s="131" t="s">
        <v>23</v>
      </c>
      <c r="C53" s="71"/>
      <c r="D53" s="432">
        <f>Penaltytrieswal6ntriescorrect</f>
        <v>1</v>
      </c>
      <c r="E53" s="433" t="s">
        <v>346</v>
      </c>
      <c r="F53" s="434"/>
      <c r="G53" s="71">
        <f>SUM(C53:F53)</f>
        <v>1</v>
      </c>
      <c r="H53" s="416" t="s">
        <v>1038</v>
      </c>
      <c r="I53" s="417" t="s">
        <v>20</v>
      </c>
      <c r="J53" s="418"/>
      <c r="K53" s="435">
        <f>Lutuieng6npts</f>
        <v>5</v>
      </c>
      <c r="L53" s="436" t="s">
        <v>346</v>
      </c>
      <c r="M53" s="437"/>
      <c r="N53" s="418">
        <f>SUM(J53:M53)</f>
        <v>5</v>
      </c>
      <c r="O53" s="2"/>
      <c r="P53" s="2"/>
      <c r="Q53" s="2"/>
      <c r="R53" s="2"/>
    </row>
    <row r="54" spans="1:18" ht="14.95" customHeight="1" thickBot="1" x14ac:dyDescent="0.3">
      <c r="A54" s="132" t="s">
        <v>208</v>
      </c>
      <c r="B54" s="131" t="s">
        <v>326</v>
      </c>
      <c r="C54" s="71"/>
      <c r="D54" s="432" t="s">
        <v>346</v>
      </c>
      <c r="E54" s="433">
        <f>Penalty_Triescantries</f>
        <v>1</v>
      </c>
      <c r="F54" s="434"/>
      <c r="G54" s="71">
        <f>SUM(C54:F54)</f>
        <v>1</v>
      </c>
      <c r="H54" s="416" t="s">
        <v>425</v>
      </c>
      <c r="I54" s="417" t="s">
        <v>22</v>
      </c>
      <c r="J54" s="418"/>
      <c r="K54" s="435">
        <f>Madiaita6npts</f>
        <v>5</v>
      </c>
      <c r="L54" s="436" t="s">
        <v>346</v>
      </c>
      <c r="M54" s="437"/>
      <c r="N54" s="418">
        <f>SUM(J54:M54)</f>
        <v>5</v>
      </c>
      <c r="O54" s="2"/>
      <c r="P54" s="2"/>
      <c r="Q54" s="2"/>
      <c r="R54" s="2"/>
    </row>
    <row r="55" spans="1:18" ht="14.95" customHeight="1" thickBot="1" x14ac:dyDescent="0.3">
      <c r="A55" s="132" t="s">
        <v>599</v>
      </c>
      <c r="B55" s="131" t="s">
        <v>327</v>
      </c>
      <c r="C55" s="71"/>
      <c r="D55" s="432" t="s">
        <v>346</v>
      </c>
      <c r="E55" s="433">
        <f>Perris_Reddingusap4tries</f>
        <v>1</v>
      </c>
      <c r="F55" s="434"/>
      <c r="G55" s="71">
        <f>SUM(C55:F55)</f>
        <v>1</v>
      </c>
      <c r="H55" s="416" t="s">
        <v>737</v>
      </c>
      <c r="I55" s="417" t="s">
        <v>19</v>
      </c>
      <c r="J55" s="418"/>
      <c r="K55" s="435">
        <f>McGannire6npts</f>
        <v>5</v>
      </c>
      <c r="L55" s="436" t="s">
        <v>346</v>
      </c>
      <c r="M55" s="437"/>
      <c r="N55" s="418">
        <f>SUM(J55:M55)</f>
        <v>5</v>
      </c>
      <c r="O55" s="2"/>
      <c r="P55" s="2"/>
      <c r="Q55" s="2"/>
      <c r="R55" s="2"/>
    </row>
    <row r="56" spans="1:18" ht="14.95" customHeight="1" thickBot="1" x14ac:dyDescent="0.3">
      <c r="A56" s="132" t="s">
        <v>1042</v>
      </c>
      <c r="B56" s="131" t="s">
        <v>19</v>
      </c>
      <c r="C56" s="71"/>
      <c r="D56" s="432">
        <f>Ringroseire6ntries</f>
        <v>1</v>
      </c>
      <c r="E56" s="433" t="s">
        <v>346</v>
      </c>
      <c r="F56" s="434"/>
      <c r="G56" s="71">
        <f>SUM(C56:F56)</f>
        <v>1</v>
      </c>
      <c r="H56" s="416" t="s">
        <v>933</v>
      </c>
      <c r="I56" s="417" t="s">
        <v>19</v>
      </c>
      <c r="J56" s="418"/>
      <c r="K56" s="435">
        <f>Moloneyire6npts</f>
        <v>5</v>
      </c>
      <c r="L56" s="436" t="s">
        <v>346</v>
      </c>
      <c r="M56" s="437"/>
      <c r="N56" s="418">
        <f>SUM(J56:M56)</f>
        <v>5</v>
      </c>
      <c r="O56" s="2"/>
      <c r="P56" s="2"/>
      <c r="Q56" s="2"/>
      <c r="R56" s="2"/>
    </row>
    <row r="57" spans="1:18" ht="14.95" customHeight="1" thickBot="1" x14ac:dyDescent="0.3">
      <c r="A57" s="132" t="s">
        <v>191</v>
      </c>
      <c r="B57" s="131" t="s">
        <v>21</v>
      </c>
      <c r="C57" s="71"/>
      <c r="D57" s="432">
        <f>Rolliesco6ntriesthisone</f>
        <v>1</v>
      </c>
      <c r="E57" s="433" t="s">
        <v>346</v>
      </c>
      <c r="F57" s="434"/>
      <c r="G57" s="71">
        <f>SUM(C57:F57)</f>
        <v>1</v>
      </c>
      <c r="H57" s="416" t="s">
        <v>1041</v>
      </c>
      <c r="I57" s="417" t="s">
        <v>19</v>
      </c>
      <c r="J57" s="418"/>
      <c r="K57" s="435">
        <f>O’Connorire6npts</f>
        <v>5</v>
      </c>
      <c r="L57" s="436" t="s">
        <v>346</v>
      </c>
      <c r="M57" s="437"/>
      <c r="N57" s="418">
        <f>SUM(J57:M57)</f>
        <v>5</v>
      </c>
      <c r="O57" s="2"/>
      <c r="P57" s="2"/>
      <c r="Q57" s="2"/>
      <c r="R57" s="2"/>
    </row>
    <row r="58" spans="1:18" ht="14.95" customHeight="1" thickBot="1" x14ac:dyDescent="0.3">
      <c r="A58" s="132" t="s">
        <v>1029</v>
      </c>
      <c r="B58" s="131" t="s">
        <v>21</v>
      </c>
      <c r="C58" s="71"/>
      <c r="D58" s="432">
        <f>Scottsco6ntries</f>
        <v>1</v>
      </c>
      <c r="E58" s="433" t="s">
        <v>346</v>
      </c>
      <c r="F58" s="434"/>
      <c r="G58" s="71">
        <f>SUM(C58:F58)</f>
        <v>1</v>
      </c>
      <c r="H58" s="416" t="s">
        <v>1015</v>
      </c>
      <c r="I58" s="417" t="s">
        <v>325</v>
      </c>
      <c r="J58" s="418">
        <f>ogormanausintpts</f>
        <v>5</v>
      </c>
      <c r="K58" s="435" t="s">
        <v>346</v>
      </c>
      <c r="L58" s="436"/>
      <c r="M58" s="437"/>
      <c r="N58" s="418">
        <f>SUM(J58:M58)</f>
        <v>5</v>
      </c>
      <c r="O58" s="2"/>
      <c r="P58" s="2"/>
      <c r="Q58" s="2"/>
      <c r="R58" s="2"/>
    </row>
    <row r="59" spans="1:18" ht="14.95" customHeight="1" thickBot="1" x14ac:dyDescent="0.3">
      <c r="A59" s="132" t="s">
        <v>205</v>
      </c>
      <c r="B59" s="131" t="s">
        <v>20</v>
      </c>
      <c r="C59" s="71"/>
      <c r="D59" s="432">
        <f>Singeng6ntries</f>
        <v>1</v>
      </c>
      <c r="E59" s="433" t="s">
        <v>346</v>
      </c>
      <c r="F59" s="434"/>
      <c r="G59" s="71">
        <f>SUM(C59:F59)</f>
        <v>1</v>
      </c>
      <c r="H59" s="416" t="s">
        <v>603</v>
      </c>
      <c r="I59" s="417" t="s">
        <v>326</v>
      </c>
      <c r="J59" s="418"/>
      <c r="K59" s="435" t="s">
        <v>346</v>
      </c>
      <c r="L59" s="436">
        <f>Omokhualecanp4pts</f>
        <v>5</v>
      </c>
      <c r="M59" s="437"/>
      <c r="N59" s="418">
        <f>SUM(J59:M59)</f>
        <v>5</v>
      </c>
      <c r="O59" s="2"/>
      <c r="P59" s="2"/>
      <c r="Q59" s="2"/>
      <c r="R59" s="2"/>
    </row>
    <row r="60" spans="1:18" ht="14.95" customHeight="1" thickBot="1" x14ac:dyDescent="0.3">
      <c r="A60" s="132" t="s">
        <v>466</v>
      </c>
      <c r="B60" s="131" t="s">
        <v>325</v>
      </c>
      <c r="C60" s="71">
        <f>stewartausinttries</f>
        <v>1</v>
      </c>
      <c r="D60" s="432" t="s">
        <v>346</v>
      </c>
      <c r="E60" s="433"/>
      <c r="F60" s="434"/>
      <c r="G60" s="71">
        <f>SUM(C60:F60)</f>
        <v>1</v>
      </c>
      <c r="H60" s="416" t="s">
        <v>943</v>
      </c>
      <c r="I60" s="417" t="s">
        <v>22</v>
      </c>
      <c r="J60" s="418"/>
      <c r="K60" s="435">
        <f>Minuzziita6npts</f>
        <v>5</v>
      </c>
      <c r="L60" s="436" t="s">
        <v>346</v>
      </c>
      <c r="M60" s="437"/>
      <c r="N60" s="418">
        <f>SUM(J60:M60)</f>
        <v>5</v>
      </c>
      <c r="O60" s="2"/>
      <c r="P60" s="2"/>
      <c r="Q60" s="2"/>
      <c r="R60" s="2"/>
    </row>
    <row r="61" spans="1:18" ht="14.95" customHeight="1" thickBot="1" x14ac:dyDescent="0.3">
      <c r="A61" s="132" t="s">
        <v>486</v>
      </c>
      <c r="B61" s="131" t="s">
        <v>327</v>
      </c>
      <c r="C61" s="71"/>
      <c r="D61" s="432" t="s">
        <v>346</v>
      </c>
      <c r="E61" s="433">
        <f>Tafunausap4tries</f>
        <v>1</v>
      </c>
      <c r="F61" s="434"/>
      <c r="G61" s="71">
        <f>SUM(C61:F61)</f>
        <v>1</v>
      </c>
      <c r="H61" s="416" t="s">
        <v>64</v>
      </c>
      <c r="I61" s="417" t="s">
        <v>20</v>
      </c>
      <c r="J61" s="418"/>
      <c r="K61" s="435">
        <f>Packer_Mengpts</f>
        <v>5</v>
      </c>
      <c r="L61" s="436" t="s">
        <v>346</v>
      </c>
      <c r="M61" s="437"/>
      <c r="N61" s="418">
        <f>SUM(J61:M61)</f>
        <v>5</v>
      </c>
      <c r="O61" s="2"/>
      <c r="P61" s="2"/>
      <c r="Q61" s="2"/>
      <c r="R61" s="2"/>
    </row>
    <row r="62" spans="1:18" ht="14.95" customHeight="1" thickBot="1" x14ac:dyDescent="0.3">
      <c r="A62" s="132" t="s">
        <v>387</v>
      </c>
      <c r="B62" s="131" t="s">
        <v>23</v>
      </c>
      <c r="C62" s="71"/>
      <c r="D62" s="432">
        <f>Tuipulotuwal6ntries</f>
        <v>1</v>
      </c>
      <c r="E62" s="433" t="s">
        <v>346</v>
      </c>
      <c r="F62" s="434"/>
      <c r="G62" s="71">
        <f>SUM(C62:F62)</f>
        <v>1</v>
      </c>
      <c r="H62" s="416" t="s">
        <v>599</v>
      </c>
      <c r="I62" s="417" t="s">
        <v>327</v>
      </c>
      <c r="J62" s="418"/>
      <c r="K62" s="435" t="s">
        <v>346</v>
      </c>
      <c r="L62" s="436">
        <f>Perris_Reddingusap4pts</f>
        <v>5</v>
      </c>
      <c r="M62" s="437"/>
      <c r="N62" s="418">
        <f>SUM(J62:M62)</f>
        <v>5</v>
      </c>
      <c r="O62" s="2"/>
      <c r="P62" s="2"/>
      <c r="Q62" s="2"/>
      <c r="R62" s="2"/>
    </row>
    <row r="63" spans="1:18" ht="14.95" customHeight="1" thickBot="1" x14ac:dyDescent="0.3">
      <c r="A63" s="132" t="s">
        <v>945</v>
      </c>
      <c r="B63" s="131" t="s">
        <v>324</v>
      </c>
      <c r="C63" s="71"/>
      <c r="D63" s="432" t="s">
        <v>346</v>
      </c>
      <c r="E63" s="433">
        <f>Tukuafunzlp4tries</f>
        <v>1</v>
      </c>
      <c r="F63" s="434"/>
      <c r="G63" s="71">
        <f>SUM(C63:F63)</f>
        <v>1</v>
      </c>
      <c r="H63" s="416" t="s">
        <v>1042</v>
      </c>
      <c r="I63" s="417" t="s">
        <v>19</v>
      </c>
      <c r="J63" s="418"/>
      <c r="K63" s="435">
        <f>Ringroseire6npts</f>
        <v>5</v>
      </c>
      <c r="L63" s="436" t="s">
        <v>346</v>
      </c>
      <c r="M63" s="437"/>
      <c r="N63" s="418">
        <f>SUM(J63:M63)</f>
        <v>5</v>
      </c>
      <c r="O63" s="2"/>
      <c r="P63" s="2"/>
      <c r="Q63" s="2"/>
      <c r="R63" s="2"/>
    </row>
    <row r="64" spans="1:18" ht="14.95" customHeight="1" thickBot="1" x14ac:dyDescent="0.3">
      <c r="A64" s="132" t="s">
        <v>608</v>
      </c>
      <c r="B64" s="131" t="s">
        <v>324</v>
      </c>
      <c r="C64" s="71"/>
      <c r="D64" s="432" t="s">
        <v>346</v>
      </c>
      <c r="E64" s="433">
        <f>Vaipulunzlp4tries</f>
        <v>1</v>
      </c>
      <c r="F64" s="434"/>
      <c r="G64" s="71">
        <f>SUM(C64:F64)</f>
        <v>1</v>
      </c>
      <c r="H64" s="416" t="s">
        <v>191</v>
      </c>
      <c r="I64" s="417" t="s">
        <v>21</v>
      </c>
      <c r="J64" s="418"/>
      <c r="K64" s="435">
        <f>Rolliesco6nptsthisone</f>
        <v>5</v>
      </c>
      <c r="L64" s="436" t="s">
        <v>346</v>
      </c>
      <c r="M64" s="437"/>
      <c r="N64" s="418">
        <f>SUM(J64:M64)</f>
        <v>5</v>
      </c>
      <c r="O64" s="2"/>
      <c r="P64" s="2"/>
      <c r="Q64" s="2"/>
      <c r="R64" s="2"/>
    </row>
    <row r="65" spans="1:18" ht="14.95" customHeight="1" thickBot="1" x14ac:dyDescent="0.3">
      <c r="A65" s="132" t="s">
        <v>419</v>
      </c>
      <c r="B65" s="131" t="s">
        <v>22</v>
      </c>
      <c r="C65" s="71"/>
      <c r="D65" s="432">
        <f>Vecchiniita6ntries</f>
        <v>1</v>
      </c>
      <c r="E65" s="433" t="s">
        <v>346</v>
      </c>
      <c r="F65" s="434"/>
      <c r="G65" s="71">
        <f>SUM(C65:F65)</f>
        <v>1</v>
      </c>
      <c r="H65" s="416" t="s">
        <v>1029</v>
      </c>
      <c r="I65" s="417" t="s">
        <v>21</v>
      </c>
      <c r="J65" s="418"/>
      <c r="K65" s="435">
        <f>Scottsco6npts</f>
        <v>5</v>
      </c>
      <c r="L65" s="436" t="s">
        <v>346</v>
      </c>
      <c r="M65" s="437"/>
      <c r="N65" s="418">
        <f>SUM(J65:M65)</f>
        <v>5</v>
      </c>
      <c r="O65" s="2"/>
      <c r="P65" s="2"/>
      <c r="Q65" s="2"/>
      <c r="R65" s="2"/>
    </row>
    <row r="66" spans="1:18" ht="14.95" customHeight="1" thickBot="1" x14ac:dyDescent="0.3">
      <c r="A66" s="132" t="s">
        <v>722</v>
      </c>
      <c r="B66" s="131" t="s">
        <v>20</v>
      </c>
      <c r="C66" s="71"/>
      <c r="D66" s="432">
        <f>Vennereng6ntries</f>
        <v>1</v>
      </c>
      <c r="E66" s="433" t="s">
        <v>346</v>
      </c>
      <c r="F66" s="434"/>
      <c r="G66" s="71">
        <f>SUM(C66:F66)</f>
        <v>1</v>
      </c>
      <c r="H66" s="416" t="s">
        <v>205</v>
      </c>
      <c r="I66" s="417" t="s">
        <v>20</v>
      </c>
      <c r="J66" s="418"/>
      <c r="K66" s="435">
        <f>Singeng6npts</f>
        <v>5</v>
      </c>
      <c r="L66" s="436" t="s">
        <v>346</v>
      </c>
      <c r="M66" s="437"/>
      <c r="N66" s="418">
        <f>SUM(J66:M66)</f>
        <v>5</v>
      </c>
      <c r="O66" s="2"/>
      <c r="P66" s="2"/>
      <c r="Q66" s="2"/>
      <c r="R66" s="2"/>
    </row>
    <row r="67" spans="1:18" ht="14.95" customHeight="1" thickBot="1" x14ac:dyDescent="0.3">
      <c r="A67" s="132" t="s">
        <v>568</v>
      </c>
      <c r="B67" s="131" t="s">
        <v>19</v>
      </c>
      <c r="C67" s="71"/>
      <c r="D67" s="432">
        <f>Waferire6ntries</f>
        <v>1</v>
      </c>
      <c r="E67" s="433" t="s">
        <v>346</v>
      </c>
      <c r="F67" s="434"/>
      <c r="G67" s="71">
        <f>SUM(C67:F67)</f>
        <v>1</v>
      </c>
      <c r="H67" s="416" t="s">
        <v>466</v>
      </c>
      <c r="I67" s="417" t="s">
        <v>325</v>
      </c>
      <c r="J67" s="418">
        <f>stewartausintpts</f>
        <v>5</v>
      </c>
      <c r="K67" s="435" t="s">
        <v>346</v>
      </c>
      <c r="L67" s="436"/>
      <c r="M67" s="437"/>
      <c r="N67" s="418">
        <f>SUM(J67:M67)</f>
        <v>5</v>
      </c>
      <c r="O67" s="2"/>
      <c r="P67" s="2"/>
      <c r="Q67" s="2"/>
      <c r="R67" s="2"/>
    </row>
    <row r="68" spans="1:18" ht="14.95" customHeight="1" thickBot="1" x14ac:dyDescent="0.3">
      <c r="A68" s="132" t="s">
        <v>733</v>
      </c>
      <c r="B68" s="131" t="s">
        <v>23</v>
      </c>
      <c r="C68" s="71"/>
      <c r="D68" s="432">
        <f>Williamswal6ntries</f>
        <v>1</v>
      </c>
      <c r="E68" s="433" t="s">
        <v>346</v>
      </c>
      <c r="F68" s="434"/>
      <c r="G68" s="71">
        <f>SUM(C68:F68)</f>
        <v>1</v>
      </c>
      <c r="H68" s="416" t="s">
        <v>486</v>
      </c>
      <c r="I68" s="417" t="s">
        <v>327</v>
      </c>
      <c r="J68" s="418"/>
      <c r="K68" s="435" t="s">
        <v>346</v>
      </c>
      <c r="L68" s="436">
        <f>Tafunausap4pts</f>
        <v>5</v>
      </c>
      <c r="M68" s="437"/>
      <c r="N68" s="418">
        <f>SUM(J68:M68)</f>
        <v>5</v>
      </c>
      <c r="O68" s="2"/>
      <c r="P68" s="2"/>
      <c r="Q68" s="2"/>
      <c r="R68" s="2"/>
    </row>
    <row r="69" spans="1:18" ht="14.95" customHeight="1" thickBot="1" x14ac:dyDescent="0.3">
      <c r="A69" s="132" t="s">
        <v>202</v>
      </c>
      <c r="B69" s="131" t="s">
        <v>23</v>
      </c>
      <c r="C69" s="71"/>
      <c r="D69" s="432">
        <f>AdamsWAL6NTRIES</f>
        <v>0</v>
      </c>
      <c r="E69" s="433" t="s">
        <v>346</v>
      </c>
      <c r="F69" s="434"/>
      <c r="G69" s="71">
        <f>SUM(C69:F69)</f>
        <v>0</v>
      </c>
      <c r="H69" s="416" t="s">
        <v>387</v>
      </c>
      <c r="I69" s="417" t="s">
        <v>23</v>
      </c>
      <c r="J69" s="418"/>
      <c r="K69" s="435">
        <f>Tuipulotuwal6npts</f>
        <v>5</v>
      </c>
      <c r="L69" s="436" t="s">
        <v>346</v>
      </c>
      <c r="M69" s="437"/>
      <c r="N69" s="418">
        <f>SUM(J69:M69)</f>
        <v>5</v>
      </c>
      <c r="O69" s="2"/>
      <c r="P69" s="2"/>
      <c r="Q69" s="2"/>
      <c r="R69" s="2"/>
    </row>
    <row r="70" spans="1:18" ht="14.95" customHeight="1" thickBot="1" x14ac:dyDescent="0.3">
      <c r="A70" s="132" t="s">
        <v>487</v>
      </c>
      <c r="B70" s="131" t="s">
        <v>326</v>
      </c>
      <c r="C70" s="71"/>
      <c r="D70" s="432" t="s">
        <v>346</v>
      </c>
      <c r="E70" s="433">
        <f>Gallaghercanp4tries</f>
        <v>0</v>
      </c>
      <c r="F70" s="434"/>
      <c r="G70" s="71">
        <f>SUM(C70:F70)</f>
        <v>0</v>
      </c>
      <c r="H70" s="416" t="s">
        <v>945</v>
      </c>
      <c r="I70" s="417" t="s">
        <v>324</v>
      </c>
      <c r="J70" s="418"/>
      <c r="K70" s="435" t="s">
        <v>346</v>
      </c>
      <c r="L70" s="436">
        <f>Tukuafunzlp4pts</f>
        <v>5</v>
      </c>
      <c r="M70" s="437"/>
      <c r="N70" s="418">
        <f>SUM(J70:M70)</f>
        <v>5</v>
      </c>
      <c r="O70" s="2"/>
      <c r="P70" s="2"/>
      <c r="Q70" s="2"/>
      <c r="R70" s="2"/>
    </row>
    <row r="71" spans="1:18" ht="14.95" customHeight="1" thickBot="1" x14ac:dyDescent="0.3">
      <c r="A71" s="132" t="s">
        <v>518</v>
      </c>
      <c r="B71" s="131" t="s">
        <v>23</v>
      </c>
      <c r="C71" s="71"/>
      <c r="D71" s="432">
        <f>Georgeeng6ntries</f>
        <v>0</v>
      </c>
      <c r="E71" s="433" t="s">
        <v>346</v>
      </c>
      <c r="F71" s="434"/>
      <c r="G71" s="71">
        <f>SUM(C71:F71)</f>
        <v>0</v>
      </c>
      <c r="H71" s="416" t="s">
        <v>608</v>
      </c>
      <c r="I71" s="417" t="s">
        <v>324</v>
      </c>
      <c r="J71" s="418"/>
      <c r="K71" s="435" t="s">
        <v>346</v>
      </c>
      <c r="L71" s="436">
        <f>Vaipulunzlp4pts</f>
        <v>5</v>
      </c>
      <c r="M71" s="437"/>
      <c r="N71" s="418">
        <f>SUM(J71:M71)</f>
        <v>5</v>
      </c>
      <c r="O71" s="2"/>
      <c r="P71" s="2"/>
      <c r="Q71" s="2"/>
      <c r="R71" s="2"/>
    </row>
    <row r="72" spans="1:18" ht="14.95" customHeight="1" thickBot="1" x14ac:dyDescent="0.3">
      <c r="A72" s="132" t="s">
        <v>575</v>
      </c>
      <c r="B72" s="131" t="s">
        <v>20</v>
      </c>
      <c r="C72" s="71"/>
      <c r="D72" s="432">
        <f>Harrisoneng6ntries</f>
        <v>0</v>
      </c>
      <c r="E72" s="433" t="s">
        <v>346</v>
      </c>
      <c r="F72" s="434"/>
      <c r="G72" s="71">
        <f>SUM(C72:F72)</f>
        <v>0</v>
      </c>
      <c r="H72" s="416" t="s">
        <v>419</v>
      </c>
      <c r="I72" s="417" t="s">
        <v>22</v>
      </c>
      <c r="J72" s="418"/>
      <c r="K72" s="435">
        <f>Vecchiniita6npts</f>
        <v>5</v>
      </c>
      <c r="L72" s="436" t="s">
        <v>346</v>
      </c>
      <c r="M72" s="437"/>
      <c r="N72" s="418">
        <f>SUM(J72:M72)</f>
        <v>5</v>
      </c>
      <c r="O72" s="2"/>
      <c r="P72" s="2"/>
      <c r="Q72" s="2"/>
      <c r="R72" s="2"/>
    </row>
    <row r="73" spans="1:18" ht="14.95" customHeight="1" thickBot="1" x14ac:dyDescent="0.3">
      <c r="A73" s="132" t="s">
        <v>194</v>
      </c>
      <c r="B73" s="131" t="s">
        <v>21</v>
      </c>
      <c r="C73" s="71"/>
      <c r="D73" s="432">
        <f>Nelsonsco6ntries</f>
        <v>0</v>
      </c>
      <c r="E73" s="433" t="s">
        <v>346</v>
      </c>
      <c r="F73" s="434"/>
      <c r="G73" s="71">
        <f>SUM(C73:F73)</f>
        <v>0</v>
      </c>
      <c r="H73" s="416" t="s">
        <v>722</v>
      </c>
      <c r="I73" s="417" t="s">
        <v>20</v>
      </c>
      <c r="J73" s="418"/>
      <c r="K73" s="435">
        <f>Vennereng6npts</f>
        <v>5</v>
      </c>
      <c r="L73" s="436" t="s">
        <v>346</v>
      </c>
      <c r="M73" s="437"/>
      <c r="N73" s="418">
        <f>SUM(J73:M73)</f>
        <v>5</v>
      </c>
      <c r="O73" s="2"/>
      <c r="P73" s="2"/>
      <c r="Q73" s="2"/>
      <c r="R73" s="2"/>
    </row>
    <row r="74" spans="1:18" ht="14.95" customHeight="1" thickBot="1" x14ac:dyDescent="0.3">
      <c r="A74" s="132" t="s">
        <v>394</v>
      </c>
      <c r="B74" s="131" t="s">
        <v>19</v>
      </c>
      <c r="C74" s="71"/>
      <c r="D74" s="432">
        <f>O_Brienire6ntries</f>
        <v>0</v>
      </c>
      <c r="E74" s="433" t="s">
        <v>346</v>
      </c>
      <c r="F74" s="434"/>
      <c r="G74" s="71">
        <f>SUM(C74:F74)</f>
        <v>0</v>
      </c>
      <c r="H74" s="416" t="s">
        <v>568</v>
      </c>
      <c r="I74" s="417" t="s">
        <v>19</v>
      </c>
      <c r="J74" s="418"/>
      <c r="K74" s="435">
        <f>Waferire6npts</f>
        <v>5</v>
      </c>
      <c r="L74" s="436" t="s">
        <v>346</v>
      </c>
      <c r="M74" s="437"/>
      <c r="N74" s="418">
        <f>SUM(J74:M74)</f>
        <v>5</v>
      </c>
      <c r="O74" s="2"/>
      <c r="P74" s="2"/>
      <c r="Q74" s="2"/>
      <c r="R74" s="2"/>
    </row>
    <row r="75" spans="1:18" ht="14.95" customHeight="1" thickBot="1" x14ac:dyDescent="0.3">
      <c r="A75" s="132" t="s">
        <v>567</v>
      </c>
      <c r="B75" s="131" t="s">
        <v>27</v>
      </c>
      <c r="C75" s="71"/>
      <c r="D75" s="432">
        <f>Queyroifra6ntries</f>
        <v>0</v>
      </c>
      <c r="E75" s="433" t="s">
        <v>346</v>
      </c>
      <c r="F75" s="434"/>
      <c r="G75" s="71">
        <f>SUM(C75:F75)</f>
        <v>0</v>
      </c>
      <c r="H75" s="416" t="s">
        <v>733</v>
      </c>
      <c r="I75" s="417" t="s">
        <v>23</v>
      </c>
      <c r="J75" s="418"/>
      <c r="K75" s="435">
        <f>Williamswal6npts</f>
        <v>5</v>
      </c>
      <c r="L75" s="436" t="s">
        <v>346</v>
      </c>
      <c r="M75" s="437"/>
      <c r="N75" s="418">
        <f>SUM(J75:M75)</f>
        <v>5</v>
      </c>
      <c r="O75" s="2"/>
      <c r="P75" s="2"/>
      <c r="Q75" s="2"/>
      <c r="R75" s="2"/>
    </row>
    <row r="76" spans="1:18" ht="14.95" customHeight="1" thickBot="1" x14ac:dyDescent="0.3">
      <c r="A76" s="132" t="s">
        <v>416</v>
      </c>
      <c r="B76" s="131" t="s">
        <v>20</v>
      </c>
      <c r="C76" s="71"/>
      <c r="D76" s="432">
        <f>Rowlandengtries</f>
        <v>0</v>
      </c>
      <c r="E76" s="433" t="s">
        <v>346</v>
      </c>
      <c r="F76" s="434"/>
      <c r="G76" s="71">
        <f>SUM(C76:F76)</f>
        <v>0</v>
      </c>
      <c r="H76" s="416" t="s">
        <v>202</v>
      </c>
      <c r="I76" s="417" t="s">
        <v>23</v>
      </c>
      <c r="J76" s="418"/>
      <c r="K76" s="435">
        <f>AdamsWAL6NPTS</f>
        <v>2</v>
      </c>
      <c r="L76" s="436" t="s">
        <v>346</v>
      </c>
      <c r="M76" s="437"/>
      <c r="N76" s="418">
        <f>SUM(J76:M76)</f>
        <v>2</v>
      </c>
      <c r="O76" s="2"/>
      <c r="P76" s="2"/>
      <c r="Q76" s="2"/>
      <c r="R76" s="2"/>
    </row>
    <row r="77" spans="1:18" ht="14.95" customHeight="1" thickBot="1" x14ac:dyDescent="0.3">
      <c r="A77" s="132" t="s">
        <v>1031</v>
      </c>
      <c r="B77" s="131" t="s">
        <v>327</v>
      </c>
      <c r="C77" s="71"/>
      <c r="D77" s="432" t="s">
        <v>346</v>
      </c>
      <c r="E77" s="433">
        <f>Vogelusap4tries</f>
        <v>0</v>
      </c>
      <c r="F77" s="434"/>
      <c r="G77" s="71">
        <f>SUM(C77:F77)</f>
        <v>0</v>
      </c>
      <c r="H77" s="416" t="s">
        <v>518</v>
      </c>
      <c r="I77" s="417" t="s">
        <v>23</v>
      </c>
      <c r="J77" s="418"/>
      <c r="K77" s="435">
        <f>Georgewal6npts</f>
        <v>2</v>
      </c>
      <c r="L77" s="436" t="s">
        <v>346</v>
      </c>
      <c r="M77" s="437"/>
      <c r="N77" s="418">
        <f>SUM(J77:M77)</f>
        <v>2</v>
      </c>
      <c r="O77" s="2"/>
      <c r="P77" s="2"/>
      <c r="Q77" s="2"/>
      <c r="R77" s="2"/>
    </row>
    <row r="78" spans="1:18" ht="14.95" customHeight="1" thickBot="1" x14ac:dyDescent="0.3">
      <c r="A78" s="132" t="s">
        <v>910</v>
      </c>
      <c r="B78" s="131" t="s">
        <v>325</v>
      </c>
      <c r="C78" s="71">
        <f>woodausinttries</f>
        <v>0</v>
      </c>
      <c r="D78" s="432" t="s">
        <v>346</v>
      </c>
      <c r="E78" s="433">
        <f>WongausP4tries</f>
        <v>0</v>
      </c>
      <c r="F78" s="434"/>
      <c r="G78" s="71">
        <f>SUM(C78:F78)</f>
        <v>0</v>
      </c>
      <c r="H78" s="416" t="s">
        <v>567</v>
      </c>
      <c r="I78" s="417" t="s">
        <v>27</v>
      </c>
      <c r="J78" s="418"/>
      <c r="K78" s="435">
        <f>Queyroifra6npts</f>
        <v>2</v>
      </c>
      <c r="L78" s="436" t="s">
        <v>346</v>
      </c>
      <c r="M78" s="437"/>
      <c r="N78" s="418">
        <f>SUM(J78:M78)</f>
        <v>2</v>
      </c>
      <c r="O78" s="2"/>
      <c r="P78" s="2"/>
      <c r="Q78" s="2"/>
      <c r="R78" s="2"/>
    </row>
    <row r="79" spans="1:18" ht="14.95" customHeight="1" thickBot="1" x14ac:dyDescent="0.3">
      <c r="A79" s="132"/>
      <c r="B79" s="131"/>
      <c r="C79" s="71"/>
      <c r="D79" s="432"/>
      <c r="E79" s="433"/>
      <c r="F79" s="434"/>
      <c r="G79" s="71">
        <f>SUM(C79:F79)</f>
        <v>0</v>
      </c>
      <c r="H79" s="416"/>
      <c r="I79" s="417"/>
      <c r="J79" s="418"/>
      <c r="K79" s="435"/>
      <c r="L79" s="436"/>
      <c r="M79" s="437"/>
      <c r="N79" s="418">
        <f>SUM(J79:M79)</f>
        <v>0</v>
      </c>
      <c r="O79" s="2"/>
      <c r="P79" s="2"/>
      <c r="Q79" s="2"/>
      <c r="R79" s="2"/>
    </row>
    <row r="80" spans="1:18" ht="14.95" customHeight="1" thickBot="1" x14ac:dyDescent="0.3">
      <c r="A80" s="132"/>
      <c r="B80" s="131"/>
      <c r="C80" s="71"/>
      <c r="D80" s="432"/>
      <c r="E80" s="433"/>
      <c r="F80" s="434"/>
      <c r="G80" s="71">
        <f>SUM(C80:F80)</f>
        <v>0</v>
      </c>
      <c r="H80" s="416"/>
      <c r="I80" s="417"/>
      <c r="J80" s="418"/>
      <c r="K80" s="435"/>
      <c r="L80" s="436"/>
      <c r="M80" s="437"/>
      <c r="N80" s="418">
        <f>SUM(J80:M80)</f>
        <v>0</v>
      </c>
      <c r="O80" s="2"/>
      <c r="P80" s="2"/>
      <c r="Q80" s="2"/>
      <c r="R80" s="2"/>
    </row>
    <row r="81" spans="1:18" ht="14.95" customHeight="1" thickBot="1" x14ac:dyDescent="0.3">
      <c r="A81" s="132"/>
      <c r="B81" s="131"/>
      <c r="C81" s="71"/>
      <c r="D81" s="432"/>
      <c r="E81" s="433"/>
      <c r="F81" s="434"/>
      <c r="G81" s="71">
        <f>SUM(C81:F81)</f>
        <v>0</v>
      </c>
      <c r="H81" s="416"/>
      <c r="I81" s="417"/>
      <c r="J81" s="418"/>
      <c r="K81" s="435"/>
      <c r="L81" s="436"/>
      <c r="M81" s="437"/>
      <c r="N81" s="418">
        <f>SUM(J81:M81)</f>
        <v>0</v>
      </c>
      <c r="O81" s="2"/>
      <c r="P81" s="2"/>
      <c r="Q81" s="2"/>
      <c r="R81" s="2"/>
    </row>
    <row r="82" spans="1:18" ht="14.95" customHeight="1" thickBot="1" x14ac:dyDescent="0.3">
      <c r="A82" s="132"/>
      <c r="B82" s="131"/>
      <c r="C82" s="71"/>
      <c r="D82" s="432"/>
      <c r="E82" s="433"/>
      <c r="F82" s="434"/>
      <c r="G82" s="71">
        <f>SUM(C82:F82)</f>
        <v>0</v>
      </c>
      <c r="H82" s="416"/>
      <c r="I82" s="417"/>
      <c r="J82" s="418"/>
      <c r="K82" s="435"/>
      <c r="L82" s="436"/>
      <c r="M82" s="437"/>
      <c r="N82" s="418">
        <f>SUM(J82:M82)</f>
        <v>0</v>
      </c>
      <c r="O82" s="2"/>
      <c r="P82" s="2"/>
      <c r="Q82" s="2"/>
      <c r="R82" s="2"/>
    </row>
    <row r="83" spans="1:18" ht="14.95" customHeight="1" thickBot="1" x14ac:dyDescent="0.3">
      <c r="A83" s="132"/>
      <c r="B83" s="131"/>
      <c r="C83" s="71"/>
      <c r="D83" s="432"/>
      <c r="E83" s="433"/>
      <c r="F83" s="434"/>
      <c r="G83" s="71">
        <f>SUM(C83:F83)</f>
        <v>0</v>
      </c>
      <c r="H83" s="416"/>
      <c r="I83" s="417"/>
      <c r="J83" s="418"/>
      <c r="K83" s="435"/>
      <c r="L83" s="436"/>
      <c r="M83" s="437"/>
      <c r="N83" s="418">
        <f>SUM(J83:M83)</f>
        <v>0</v>
      </c>
      <c r="O83" s="2"/>
      <c r="P83" s="2"/>
      <c r="Q83" s="2"/>
      <c r="R83" s="2"/>
    </row>
    <row r="84" spans="1:18" ht="14.95" customHeight="1" thickBot="1" x14ac:dyDescent="0.3">
      <c r="A84" s="132"/>
      <c r="B84" s="131"/>
      <c r="C84" s="71"/>
      <c r="D84" s="432"/>
      <c r="E84" s="433"/>
      <c r="F84" s="434"/>
      <c r="G84" s="71">
        <f>SUM(C84:F84)</f>
        <v>0</v>
      </c>
      <c r="H84" s="416"/>
      <c r="I84" s="417"/>
      <c r="J84" s="418"/>
      <c r="K84" s="435"/>
      <c r="L84" s="436"/>
      <c r="M84" s="437"/>
      <c r="N84" s="418">
        <f>SUM(J84:M84)</f>
        <v>0</v>
      </c>
      <c r="O84" s="2"/>
      <c r="P84" s="2"/>
      <c r="Q84" s="2"/>
      <c r="R84" s="2"/>
    </row>
    <row r="85" spans="1:18" ht="14.95" customHeight="1" thickBot="1" x14ac:dyDescent="0.3">
      <c r="A85" s="132"/>
      <c r="B85" s="131"/>
      <c r="C85" s="71"/>
      <c r="D85" s="432"/>
      <c r="E85" s="433"/>
      <c r="F85" s="434"/>
      <c r="G85" s="71">
        <f>SUM(C85:F85)</f>
        <v>0</v>
      </c>
      <c r="H85" s="416"/>
      <c r="I85" s="417"/>
      <c r="J85" s="418"/>
      <c r="K85" s="435"/>
      <c r="L85" s="436"/>
      <c r="M85" s="437"/>
      <c r="N85" s="418">
        <f>SUM(J85:M85)</f>
        <v>0</v>
      </c>
      <c r="O85" s="2"/>
      <c r="P85" s="2"/>
      <c r="Q85" s="2"/>
      <c r="R85" s="2"/>
    </row>
    <row r="86" spans="1:18" ht="14.95" customHeight="1" thickBot="1" x14ac:dyDescent="0.3">
      <c r="A86" s="132"/>
      <c r="B86" s="131"/>
      <c r="C86" s="71"/>
      <c r="D86" s="432"/>
      <c r="E86" s="433"/>
      <c r="F86" s="434"/>
      <c r="G86" s="71">
        <f>SUM(C86:F86)</f>
        <v>0</v>
      </c>
      <c r="H86" s="416"/>
      <c r="I86" s="417"/>
      <c r="J86" s="418"/>
      <c r="K86" s="435"/>
      <c r="L86" s="436"/>
      <c r="M86" s="437"/>
      <c r="N86" s="418">
        <f>SUM(J86:M86)</f>
        <v>0</v>
      </c>
      <c r="O86" s="2"/>
      <c r="P86" s="2"/>
      <c r="Q86" s="2"/>
      <c r="R86" s="2"/>
    </row>
    <row r="87" spans="1:18" ht="14.95" customHeight="1" thickBot="1" x14ac:dyDescent="0.3">
      <c r="A87" s="132"/>
      <c r="B87" s="131"/>
      <c r="C87" s="71"/>
      <c r="D87" s="432"/>
      <c r="E87" s="433"/>
      <c r="F87" s="434"/>
      <c r="G87" s="71">
        <f>SUM(C87:F87)</f>
        <v>0</v>
      </c>
      <c r="H87" s="416"/>
      <c r="I87" s="417"/>
      <c r="J87" s="418"/>
      <c r="K87" s="435"/>
      <c r="L87" s="436"/>
      <c r="M87" s="437"/>
      <c r="N87" s="418">
        <f>SUM(J87:M87)</f>
        <v>0</v>
      </c>
      <c r="O87" s="2"/>
      <c r="P87" s="2"/>
      <c r="Q87" s="2"/>
      <c r="R87" s="2"/>
    </row>
    <row r="88" spans="1:18" ht="14.95" customHeight="1" thickBot="1" x14ac:dyDescent="0.3">
      <c r="A88" s="132"/>
      <c r="B88" s="131"/>
      <c r="C88" s="71"/>
      <c r="D88" s="432"/>
      <c r="E88" s="433"/>
      <c r="F88" s="434"/>
      <c r="G88" s="71">
        <f>SUM(C88:F88)</f>
        <v>0</v>
      </c>
      <c r="H88" s="416"/>
      <c r="I88" s="417"/>
      <c r="J88" s="418"/>
      <c r="K88" s="435"/>
      <c r="L88" s="436"/>
      <c r="M88" s="437"/>
      <c r="N88" s="418">
        <f>SUM(J88:M88)</f>
        <v>0</v>
      </c>
      <c r="O88" s="2"/>
      <c r="P88" s="2"/>
      <c r="Q88" s="2"/>
      <c r="R88" s="2"/>
    </row>
    <row r="89" spans="1:18" ht="14.95" customHeight="1" thickBot="1" x14ac:dyDescent="0.3">
      <c r="A89" s="132"/>
      <c r="B89" s="131"/>
      <c r="C89" s="71"/>
      <c r="D89" s="432"/>
      <c r="E89" s="433"/>
      <c r="F89" s="434"/>
      <c r="G89" s="71">
        <f>SUM(C89:F89)</f>
        <v>0</v>
      </c>
      <c r="H89" s="416"/>
      <c r="I89" s="417"/>
      <c r="J89" s="418"/>
      <c r="K89" s="435"/>
      <c r="L89" s="436"/>
      <c r="M89" s="437"/>
      <c r="N89" s="418">
        <f>SUM(J89:M89)</f>
        <v>0</v>
      </c>
      <c r="O89" s="2"/>
      <c r="P89" s="2"/>
      <c r="Q89" s="2"/>
      <c r="R89" s="2"/>
    </row>
    <row r="90" spans="1:18" ht="14.95" customHeight="1" thickBot="1" x14ac:dyDescent="0.3">
      <c r="A90" s="132"/>
      <c r="B90" s="131"/>
      <c r="C90" s="71"/>
      <c r="D90" s="432"/>
      <c r="E90" s="433"/>
      <c r="F90" s="434"/>
      <c r="G90" s="71">
        <f>SUM(C90:F90)</f>
        <v>0</v>
      </c>
      <c r="H90" s="416"/>
      <c r="I90" s="417"/>
      <c r="J90" s="418"/>
      <c r="K90" s="435"/>
      <c r="L90" s="436"/>
      <c r="M90" s="437"/>
      <c r="N90" s="418">
        <f>SUM(J90:M90)</f>
        <v>0</v>
      </c>
      <c r="O90" s="2"/>
      <c r="P90" s="2"/>
      <c r="Q90" s="2"/>
      <c r="R90" s="2"/>
    </row>
    <row r="91" spans="1:18" ht="14.95" customHeight="1" thickBot="1" x14ac:dyDescent="0.3">
      <c r="A91" s="132"/>
      <c r="B91" s="131"/>
      <c r="C91" s="71"/>
      <c r="D91" s="432"/>
      <c r="E91" s="433"/>
      <c r="F91" s="434"/>
      <c r="G91" s="71">
        <f>SUM(C91:F91)</f>
        <v>0</v>
      </c>
      <c r="H91" s="416"/>
      <c r="I91" s="417"/>
      <c r="J91" s="418"/>
      <c r="K91" s="435"/>
      <c r="L91" s="436"/>
      <c r="M91" s="437"/>
      <c r="N91" s="418">
        <f>SUM(J91:M91)</f>
        <v>0</v>
      </c>
      <c r="O91" s="2"/>
      <c r="P91" s="2"/>
      <c r="Q91" s="2"/>
      <c r="R91" s="2"/>
    </row>
    <row r="92" spans="1:18" ht="14.95" customHeight="1" thickBot="1" x14ac:dyDescent="0.3">
      <c r="A92" s="132"/>
      <c r="B92" s="131"/>
      <c r="C92" s="71"/>
      <c r="D92" s="432"/>
      <c r="E92" s="433"/>
      <c r="F92" s="434"/>
      <c r="G92" s="71">
        <f>SUM(C92:F92)</f>
        <v>0</v>
      </c>
      <c r="H92" s="416"/>
      <c r="I92" s="417"/>
      <c r="J92" s="418"/>
      <c r="K92" s="435"/>
      <c r="L92" s="436"/>
      <c r="M92" s="437"/>
      <c r="N92" s="418">
        <f>SUM(J92:M92)</f>
        <v>0</v>
      </c>
      <c r="O92" s="2"/>
      <c r="P92" s="2"/>
      <c r="Q92" s="2"/>
      <c r="R92" s="2"/>
    </row>
    <row r="93" spans="1:18" ht="14.95" customHeight="1" thickBot="1" x14ac:dyDescent="0.3">
      <c r="A93" s="132"/>
      <c r="B93" s="131"/>
      <c r="C93" s="71"/>
      <c r="D93" s="432"/>
      <c r="E93" s="433"/>
      <c r="F93" s="434"/>
      <c r="G93" s="71">
        <f>SUM(C93:F93)</f>
        <v>0</v>
      </c>
      <c r="H93" s="416"/>
      <c r="I93" s="417"/>
      <c r="J93" s="418"/>
      <c r="K93" s="435"/>
      <c r="L93" s="436"/>
      <c r="M93" s="437"/>
      <c r="N93" s="418">
        <f>SUM(J93:M93)</f>
        <v>0</v>
      </c>
      <c r="O93" s="2"/>
      <c r="P93" s="2"/>
      <c r="Q93" s="2"/>
      <c r="R93" s="2"/>
    </row>
    <row r="94" spans="1:18" ht="14.95" customHeight="1" thickBot="1" x14ac:dyDescent="0.3">
      <c r="A94" s="132"/>
      <c r="B94" s="131"/>
      <c r="C94" s="71"/>
      <c r="D94" s="432"/>
      <c r="E94" s="433"/>
      <c r="F94" s="434"/>
      <c r="G94" s="71">
        <f>SUM(C94:F94)</f>
        <v>0</v>
      </c>
      <c r="H94" s="416"/>
      <c r="I94" s="417"/>
      <c r="J94" s="418"/>
      <c r="K94" s="435"/>
      <c r="L94" s="436"/>
      <c r="M94" s="437"/>
      <c r="N94" s="418">
        <f>SUM(J94:M94)</f>
        <v>0</v>
      </c>
      <c r="O94" s="2"/>
      <c r="P94" s="2"/>
      <c r="Q94" s="2"/>
      <c r="R94" s="2"/>
    </row>
    <row r="95" spans="1:18" ht="14.95" customHeight="1" thickBot="1" x14ac:dyDescent="0.3">
      <c r="A95" s="132"/>
      <c r="B95" s="131"/>
      <c r="C95" s="71"/>
      <c r="D95" s="432"/>
      <c r="E95" s="433"/>
      <c r="F95" s="434"/>
      <c r="G95" s="71">
        <f>SUM(C95:F95)</f>
        <v>0</v>
      </c>
      <c r="H95" s="416"/>
      <c r="I95" s="417"/>
      <c r="J95" s="418"/>
      <c r="K95" s="435"/>
      <c r="L95" s="436"/>
      <c r="M95" s="437"/>
      <c r="N95" s="418">
        <f>SUM(J95:M95)</f>
        <v>0</v>
      </c>
      <c r="O95" s="2"/>
      <c r="P95" s="2"/>
      <c r="Q95" s="2"/>
      <c r="R95" s="2"/>
    </row>
    <row r="96" spans="1:18" ht="14.95" customHeight="1" thickBot="1" x14ac:dyDescent="0.3">
      <c r="A96" s="132"/>
      <c r="B96" s="131"/>
      <c r="C96" s="71"/>
      <c r="D96" s="432"/>
      <c r="E96" s="433"/>
      <c r="F96" s="434"/>
      <c r="G96" s="71">
        <f>SUM(C96:F96)</f>
        <v>0</v>
      </c>
      <c r="H96" s="416"/>
      <c r="I96" s="417"/>
      <c r="J96" s="418"/>
      <c r="K96" s="435"/>
      <c r="L96" s="436"/>
      <c r="M96" s="437"/>
      <c r="N96" s="418">
        <f>SUM(J96:M96)</f>
        <v>0</v>
      </c>
      <c r="O96" s="2"/>
      <c r="P96" s="2"/>
      <c r="Q96" s="2"/>
      <c r="R96" s="2"/>
    </row>
    <row r="97" spans="1:18" ht="14.95" customHeight="1" thickBot="1" x14ac:dyDescent="0.3">
      <c r="A97" s="132"/>
      <c r="B97" s="131"/>
      <c r="C97" s="71"/>
      <c r="D97" s="432"/>
      <c r="E97" s="433"/>
      <c r="F97" s="434"/>
      <c r="G97" s="71">
        <f>SUM(C97:F97)</f>
        <v>0</v>
      </c>
      <c r="H97" s="416"/>
      <c r="I97" s="417"/>
      <c r="J97" s="418"/>
      <c r="K97" s="435"/>
      <c r="L97" s="436"/>
      <c r="M97" s="437"/>
      <c r="N97" s="418">
        <f>SUM(J97:M97)</f>
        <v>0</v>
      </c>
      <c r="O97" s="2"/>
      <c r="P97" s="2"/>
      <c r="Q97" s="2"/>
      <c r="R97" s="2"/>
    </row>
    <row r="98" spans="1:18" ht="14.95" customHeight="1" thickBot="1" x14ac:dyDescent="0.3">
      <c r="A98" s="132"/>
      <c r="B98" s="131"/>
      <c r="C98" s="71"/>
      <c r="D98" s="432"/>
      <c r="E98" s="433"/>
      <c r="F98" s="434"/>
      <c r="G98" s="71">
        <f>SUM(C98:F98)</f>
        <v>0</v>
      </c>
      <c r="H98" s="416"/>
      <c r="I98" s="417"/>
      <c r="J98" s="418"/>
      <c r="K98" s="435"/>
      <c r="L98" s="436"/>
      <c r="M98" s="437"/>
      <c r="N98" s="418">
        <f>SUM(J98:M98)</f>
        <v>0</v>
      </c>
      <c r="O98" s="2"/>
      <c r="P98" s="2"/>
      <c r="Q98" s="2"/>
      <c r="R98" s="2"/>
    </row>
    <row r="99" spans="1:18" ht="14.95" customHeight="1" thickBot="1" x14ac:dyDescent="0.3">
      <c r="A99" s="132"/>
      <c r="B99" s="131"/>
      <c r="C99" s="71"/>
      <c r="D99" s="432"/>
      <c r="E99" s="433"/>
      <c r="F99" s="434"/>
      <c r="G99" s="71">
        <f>SUM(C99:F99)</f>
        <v>0</v>
      </c>
      <c r="H99" s="416"/>
      <c r="I99" s="417"/>
      <c r="J99" s="418"/>
      <c r="K99" s="435"/>
      <c r="L99" s="436"/>
      <c r="M99" s="437"/>
      <c r="N99" s="418">
        <f>SUM(J99:M99)</f>
        <v>0</v>
      </c>
      <c r="O99" s="2"/>
      <c r="P99" s="2"/>
      <c r="Q99" s="2"/>
      <c r="R99" s="2"/>
    </row>
    <row r="100" spans="1:18" ht="14.95" customHeight="1" thickBot="1" x14ac:dyDescent="0.3">
      <c r="A100" s="132"/>
      <c r="B100" s="131"/>
      <c r="C100" s="71"/>
      <c r="D100" s="432"/>
      <c r="E100" s="433"/>
      <c r="F100" s="434"/>
      <c r="G100" s="71">
        <f>SUM(C100:F100)</f>
        <v>0</v>
      </c>
      <c r="H100" s="416"/>
      <c r="I100" s="417"/>
      <c r="J100" s="418"/>
      <c r="K100" s="435"/>
      <c r="L100" s="436"/>
      <c r="M100" s="437"/>
      <c r="N100" s="418">
        <f>SUM(J100:M100)</f>
        <v>0</v>
      </c>
      <c r="O100" s="2"/>
      <c r="P100" s="2"/>
      <c r="Q100" s="2"/>
      <c r="R100" s="2"/>
    </row>
    <row r="101" spans="1:18" ht="14.95" customHeight="1" thickBot="1" x14ac:dyDescent="0.3">
      <c r="A101" s="132"/>
      <c r="B101" s="131"/>
      <c r="C101" s="71"/>
      <c r="D101" s="432"/>
      <c r="E101" s="433"/>
      <c r="F101" s="434"/>
      <c r="G101" s="71">
        <f>SUM(C101:F101)</f>
        <v>0</v>
      </c>
      <c r="H101" s="416"/>
      <c r="I101" s="417"/>
      <c r="J101" s="418"/>
      <c r="K101" s="435"/>
      <c r="L101" s="436"/>
      <c r="M101" s="437"/>
      <c r="N101" s="418">
        <f>SUM(J101:M101)</f>
        <v>0</v>
      </c>
      <c r="O101" s="2"/>
      <c r="P101" s="2"/>
      <c r="Q101" s="2"/>
      <c r="R101" s="2"/>
    </row>
    <row r="102" spans="1:18" ht="14.95" customHeight="1" thickBot="1" x14ac:dyDescent="0.3">
      <c r="A102" s="132"/>
      <c r="B102" s="131"/>
      <c r="C102" s="71"/>
      <c r="D102" s="432"/>
      <c r="E102" s="433"/>
      <c r="F102" s="434"/>
      <c r="G102" s="71">
        <f>SUM(C102:F102)</f>
        <v>0</v>
      </c>
      <c r="H102" s="416"/>
      <c r="I102" s="417"/>
      <c r="J102" s="418"/>
      <c r="K102" s="435"/>
      <c r="L102" s="436"/>
      <c r="M102" s="437"/>
      <c r="N102" s="418">
        <f>SUM(J102:M102)</f>
        <v>0</v>
      </c>
      <c r="O102" s="2"/>
      <c r="P102" s="2"/>
      <c r="Q102" s="2"/>
      <c r="R102" s="2"/>
    </row>
    <row r="103" spans="1:18" ht="14.95" customHeight="1" thickBot="1" x14ac:dyDescent="0.3">
      <c r="A103" s="132"/>
      <c r="B103" s="131"/>
      <c r="C103" s="71"/>
      <c r="D103" s="432"/>
      <c r="E103" s="433"/>
      <c r="F103" s="434"/>
      <c r="G103" s="71">
        <f>SUM(C103:F103)</f>
        <v>0</v>
      </c>
      <c r="H103" s="416"/>
      <c r="I103" s="417"/>
      <c r="J103" s="418"/>
      <c r="K103" s="435"/>
      <c r="L103" s="436"/>
      <c r="M103" s="437"/>
      <c r="N103" s="418">
        <f>SUM(J103:M103)</f>
        <v>0</v>
      </c>
      <c r="O103" s="2"/>
      <c r="P103" s="2"/>
      <c r="Q103" s="2"/>
      <c r="R103" s="2"/>
    </row>
    <row r="104" spans="1:18" ht="14.95" customHeight="1" thickBot="1" x14ac:dyDescent="0.3">
      <c r="A104" s="132"/>
      <c r="B104" s="131"/>
      <c r="C104" s="71"/>
      <c r="D104" s="432"/>
      <c r="E104" s="433"/>
      <c r="F104" s="434"/>
      <c r="G104" s="71">
        <f>SUM(C104:F104)</f>
        <v>0</v>
      </c>
      <c r="H104" s="416"/>
      <c r="I104" s="417"/>
      <c r="J104" s="418"/>
      <c r="K104" s="435"/>
      <c r="L104" s="436"/>
      <c r="M104" s="437"/>
      <c r="N104" s="418">
        <f>SUM(J104:M104)</f>
        <v>0</v>
      </c>
      <c r="O104" s="2"/>
      <c r="P104" s="2"/>
      <c r="Q104" s="2"/>
      <c r="R104" s="2"/>
    </row>
    <row r="105" spans="1:18" ht="14.95" customHeight="1" thickBot="1" x14ac:dyDescent="0.3">
      <c r="A105" s="132"/>
      <c r="B105" s="131"/>
      <c r="C105" s="71"/>
      <c r="D105" s="432"/>
      <c r="E105" s="433"/>
      <c r="F105" s="434"/>
      <c r="G105" s="71">
        <f>SUM(C105:F105)</f>
        <v>0</v>
      </c>
      <c r="H105" s="416"/>
      <c r="I105" s="417"/>
      <c r="J105" s="418"/>
      <c r="K105" s="435"/>
      <c r="L105" s="436"/>
      <c r="M105" s="437"/>
      <c r="N105" s="418">
        <f>SUM(J105:M105)</f>
        <v>0</v>
      </c>
      <c r="O105" s="2"/>
      <c r="P105" s="2"/>
      <c r="Q105" s="2"/>
      <c r="R105" s="2"/>
    </row>
    <row r="106" spans="1:18" ht="14.95" customHeight="1" thickBot="1" x14ac:dyDescent="0.3">
      <c r="A106" s="132"/>
      <c r="B106" s="131"/>
      <c r="C106" s="71"/>
      <c r="D106" s="432"/>
      <c r="E106" s="433"/>
      <c r="F106" s="434"/>
      <c r="G106" s="71">
        <f>SUM(C106:F106)</f>
        <v>0</v>
      </c>
      <c r="H106" s="416"/>
      <c r="I106" s="417"/>
      <c r="J106" s="418"/>
      <c r="K106" s="435"/>
      <c r="L106" s="436"/>
      <c r="M106" s="437"/>
      <c r="N106" s="418">
        <f>SUM(J106:M106)</f>
        <v>0</v>
      </c>
      <c r="O106" s="2"/>
      <c r="P106" s="2"/>
      <c r="Q106" s="2"/>
      <c r="R106" s="2"/>
    </row>
    <row r="107" spans="1:18" ht="14.95" customHeight="1" thickBot="1" x14ac:dyDescent="0.3">
      <c r="A107" s="132"/>
      <c r="B107" s="131"/>
      <c r="C107" s="71"/>
      <c r="D107" s="432"/>
      <c r="E107" s="433"/>
      <c r="F107" s="434"/>
      <c r="G107" s="71">
        <f>SUM(C107:F107)</f>
        <v>0</v>
      </c>
      <c r="H107" s="416"/>
      <c r="I107" s="417"/>
      <c r="J107" s="418"/>
      <c r="K107" s="435"/>
      <c r="L107" s="436"/>
      <c r="M107" s="437"/>
      <c r="N107" s="418">
        <f>SUM(J107:M107)</f>
        <v>0</v>
      </c>
      <c r="O107" s="2"/>
      <c r="P107" s="2"/>
      <c r="Q107" s="2"/>
      <c r="R107" s="2"/>
    </row>
    <row r="108" spans="1:18" ht="14.95" customHeight="1" thickBot="1" x14ac:dyDescent="0.3">
      <c r="A108" s="132"/>
      <c r="B108" s="131"/>
      <c r="C108" s="71"/>
      <c r="D108" s="432"/>
      <c r="E108" s="433"/>
      <c r="F108" s="434"/>
      <c r="G108" s="71">
        <f>SUM(C108:F108)</f>
        <v>0</v>
      </c>
      <c r="H108" s="416"/>
      <c r="I108" s="417"/>
      <c r="J108" s="418"/>
      <c r="K108" s="435"/>
      <c r="L108" s="436"/>
      <c r="M108" s="437"/>
      <c r="N108" s="418">
        <f>SUM(J108:M108)</f>
        <v>0</v>
      </c>
      <c r="O108" s="2"/>
      <c r="P108" s="2"/>
      <c r="Q108" s="2"/>
      <c r="R108" s="2"/>
    </row>
    <row r="109" spans="1:18" ht="14.95" customHeight="1" thickBot="1" x14ac:dyDescent="0.3">
      <c r="A109" s="132"/>
      <c r="B109" s="131"/>
      <c r="C109" s="71"/>
      <c r="D109" s="432"/>
      <c r="E109" s="433"/>
      <c r="F109" s="434"/>
      <c r="G109" s="71">
        <f>SUM(C109:F109)</f>
        <v>0</v>
      </c>
      <c r="H109" s="416"/>
      <c r="I109" s="417"/>
      <c r="J109" s="418"/>
      <c r="K109" s="435"/>
      <c r="L109" s="436"/>
      <c r="M109" s="437"/>
      <c r="N109" s="418">
        <f>SUM(J109:M109)</f>
        <v>0</v>
      </c>
      <c r="O109" s="2"/>
      <c r="P109" s="2"/>
      <c r="Q109" s="2"/>
      <c r="R109" s="2"/>
    </row>
    <row r="110" spans="1:18" ht="14.95" customHeight="1" thickBot="1" x14ac:dyDescent="0.3">
      <c r="A110" s="132"/>
      <c r="B110" s="131"/>
      <c r="C110" s="71"/>
      <c r="D110" s="432"/>
      <c r="E110" s="433"/>
      <c r="F110" s="434"/>
      <c r="G110" s="71">
        <f>SUM(C110:F110)</f>
        <v>0</v>
      </c>
      <c r="H110" s="416"/>
      <c r="I110" s="417"/>
      <c r="J110" s="418"/>
      <c r="K110" s="435"/>
      <c r="L110" s="436"/>
      <c r="M110" s="437"/>
      <c r="N110" s="418">
        <f>SUM(J110:M110)</f>
        <v>0</v>
      </c>
      <c r="O110" s="2"/>
      <c r="P110" s="2"/>
      <c r="Q110" s="2"/>
      <c r="R110" s="2"/>
    </row>
    <row r="111" spans="1:18" ht="14.95" customHeight="1" thickBot="1" x14ac:dyDescent="0.3">
      <c r="A111" s="132"/>
      <c r="B111" s="131"/>
      <c r="C111" s="71"/>
      <c r="D111" s="432"/>
      <c r="E111" s="433"/>
      <c r="F111" s="434"/>
      <c r="G111" s="71">
        <f>SUM(C111:F111)</f>
        <v>0</v>
      </c>
      <c r="H111" s="416"/>
      <c r="I111" s="417"/>
      <c r="J111" s="418"/>
      <c r="K111" s="435"/>
      <c r="L111" s="436"/>
      <c r="M111" s="437"/>
      <c r="N111" s="418">
        <f>SUM(J111:M111)</f>
        <v>0</v>
      </c>
      <c r="O111" s="2"/>
      <c r="P111" s="2"/>
      <c r="Q111" s="2"/>
      <c r="R111" s="2"/>
    </row>
    <row r="112" spans="1:18" ht="14.95" customHeight="1" thickBot="1" x14ac:dyDescent="0.3">
      <c r="A112" s="132"/>
      <c r="B112" s="131"/>
      <c r="C112" s="71"/>
      <c r="D112" s="432"/>
      <c r="E112" s="433"/>
      <c r="F112" s="434"/>
      <c r="G112" s="71">
        <f>SUM(C112:F112)</f>
        <v>0</v>
      </c>
      <c r="H112" s="416"/>
      <c r="I112" s="417"/>
      <c r="J112" s="418"/>
      <c r="K112" s="435"/>
      <c r="L112" s="436"/>
      <c r="M112" s="437"/>
      <c r="N112" s="418">
        <f>SUM(J112:M112)</f>
        <v>0</v>
      </c>
      <c r="O112" s="2"/>
      <c r="P112" s="2"/>
      <c r="Q112" s="2"/>
      <c r="R112" s="2"/>
    </row>
    <row r="113" spans="1:18" ht="14.95" customHeight="1" thickBot="1" x14ac:dyDescent="0.3">
      <c r="A113" s="132"/>
      <c r="B113" s="131"/>
      <c r="C113" s="71"/>
      <c r="D113" s="432"/>
      <c r="E113" s="433"/>
      <c r="F113" s="434"/>
      <c r="G113" s="71">
        <f>SUM(C113:F113)</f>
        <v>0</v>
      </c>
      <c r="H113" s="416"/>
      <c r="I113" s="417"/>
      <c r="J113" s="418"/>
      <c r="K113" s="435"/>
      <c r="L113" s="436"/>
      <c r="M113" s="437"/>
      <c r="N113" s="418">
        <f>SUM(J113:M113)</f>
        <v>0</v>
      </c>
      <c r="O113" s="2"/>
      <c r="P113" s="2"/>
      <c r="Q113" s="2"/>
      <c r="R113" s="2"/>
    </row>
    <row r="114" spans="1:18" ht="14.95" customHeight="1" thickBot="1" x14ac:dyDescent="0.3">
      <c r="A114" s="132"/>
      <c r="B114" s="131"/>
      <c r="C114" s="71"/>
      <c r="D114" s="432"/>
      <c r="E114" s="433"/>
      <c r="F114" s="434"/>
      <c r="G114" s="71">
        <f>SUM(C114:F114)</f>
        <v>0</v>
      </c>
      <c r="H114" s="416"/>
      <c r="I114" s="417"/>
      <c r="J114" s="418"/>
      <c r="K114" s="435"/>
      <c r="L114" s="436"/>
      <c r="M114" s="437"/>
      <c r="N114" s="418">
        <f>SUM(J114:M114)</f>
        <v>0</v>
      </c>
      <c r="O114" s="2"/>
      <c r="P114" s="2"/>
      <c r="Q114" s="2"/>
      <c r="R114" s="2"/>
    </row>
    <row r="115" spans="1:18" ht="14.95" customHeight="1" thickBot="1" x14ac:dyDescent="0.3">
      <c r="A115" s="132"/>
      <c r="B115" s="131"/>
      <c r="C115" s="71"/>
      <c r="D115" s="432"/>
      <c r="E115" s="433"/>
      <c r="F115" s="434"/>
      <c r="G115" s="71">
        <f>SUM(C115:F115)</f>
        <v>0</v>
      </c>
      <c r="H115" s="416"/>
      <c r="I115" s="417"/>
      <c r="J115" s="418"/>
      <c r="K115" s="435"/>
      <c r="L115" s="436"/>
      <c r="M115" s="437"/>
      <c r="N115" s="418">
        <f>SUM(J115:M115)</f>
        <v>0</v>
      </c>
      <c r="O115" s="2"/>
      <c r="P115" s="2"/>
      <c r="Q115" s="2"/>
      <c r="R115" s="2"/>
    </row>
    <row r="116" spans="1:18" ht="14.95" customHeight="1" thickBot="1" x14ac:dyDescent="0.3">
      <c r="A116" s="132"/>
      <c r="B116" s="131"/>
      <c r="C116" s="71"/>
      <c r="D116" s="432"/>
      <c r="E116" s="433"/>
      <c r="F116" s="434"/>
      <c r="G116" s="71">
        <f>SUM(C116:F116)</f>
        <v>0</v>
      </c>
      <c r="H116" s="416"/>
      <c r="I116" s="417"/>
      <c r="J116" s="418"/>
      <c r="K116" s="435"/>
      <c r="L116" s="436"/>
      <c r="M116" s="437"/>
      <c r="N116" s="418">
        <f>SUM(J116:M116)</f>
        <v>0</v>
      </c>
      <c r="O116" s="2"/>
      <c r="P116" s="2"/>
      <c r="Q116" s="2"/>
      <c r="R116" s="2"/>
    </row>
    <row r="117" spans="1:18" ht="14.95" customHeight="1" thickBot="1" x14ac:dyDescent="0.3">
      <c r="A117" s="132"/>
      <c r="B117" s="131"/>
      <c r="C117" s="71"/>
      <c r="D117" s="432"/>
      <c r="E117" s="433"/>
      <c r="F117" s="434"/>
      <c r="G117" s="71">
        <f>SUM(C117:F117)</f>
        <v>0</v>
      </c>
      <c r="H117" s="416"/>
      <c r="I117" s="417"/>
      <c r="J117" s="418"/>
      <c r="K117" s="435"/>
      <c r="L117" s="436"/>
      <c r="M117" s="437"/>
      <c r="N117" s="418">
        <f>SUM(J117:M117)</f>
        <v>0</v>
      </c>
      <c r="O117" s="2"/>
      <c r="P117" s="2"/>
      <c r="Q117" s="2"/>
      <c r="R117" s="2"/>
    </row>
    <row r="118" spans="1:18" ht="14.95" customHeight="1" thickBot="1" x14ac:dyDescent="0.3">
      <c r="A118" s="132"/>
      <c r="B118" s="131"/>
      <c r="C118" s="71"/>
      <c r="D118" s="432"/>
      <c r="E118" s="433"/>
      <c r="F118" s="434"/>
      <c r="G118" s="71">
        <f>SUM(C118:F118)</f>
        <v>0</v>
      </c>
      <c r="H118" s="416"/>
      <c r="I118" s="417"/>
      <c r="J118" s="418"/>
      <c r="K118" s="435"/>
      <c r="L118" s="436"/>
      <c r="M118" s="437"/>
      <c r="N118" s="418">
        <f>SUM(J118:M118)</f>
        <v>0</v>
      </c>
      <c r="O118" s="2"/>
      <c r="P118" s="2"/>
      <c r="Q118" s="2"/>
      <c r="R118" s="2"/>
    </row>
    <row r="119" spans="1:18" ht="14.95" customHeight="1" thickBot="1" x14ac:dyDescent="0.3">
      <c r="A119" s="132"/>
      <c r="B119" s="131"/>
      <c r="C119" s="71"/>
      <c r="D119" s="432"/>
      <c r="E119" s="433"/>
      <c r="F119" s="434"/>
      <c r="G119" s="71">
        <f>SUM(C119:F119)</f>
        <v>0</v>
      </c>
      <c r="H119" s="416"/>
      <c r="I119" s="417"/>
      <c r="J119" s="418"/>
      <c r="K119" s="435"/>
      <c r="L119" s="436"/>
      <c r="M119" s="437"/>
      <c r="N119" s="418">
        <f>SUM(J119:M119)</f>
        <v>0</v>
      </c>
      <c r="O119" s="2"/>
      <c r="P119" s="2"/>
      <c r="Q119" s="2"/>
      <c r="R119" s="2"/>
    </row>
    <row r="120" spans="1:18" ht="14.95" customHeight="1" thickBot="1" x14ac:dyDescent="0.3">
      <c r="A120" s="132"/>
      <c r="B120" s="131"/>
      <c r="C120" s="71"/>
      <c r="D120" s="432"/>
      <c r="E120" s="433"/>
      <c r="F120" s="434"/>
      <c r="G120" s="71">
        <f>SUM(C120:F120)</f>
        <v>0</v>
      </c>
      <c r="H120" s="416"/>
      <c r="I120" s="417"/>
      <c r="J120" s="418"/>
      <c r="K120" s="435"/>
      <c r="L120" s="436"/>
      <c r="M120" s="437"/>
      <c r="N120" s="418">
        <f>SUM(J120:M120)</f>
        <v>0</v>
      </c>
      <c r="O120" s="2"/>
      <c r="P120" s="2"/>
      <c r="Q120" s="2"/>
      <c r="R120" s="2"/>
    </row>
    <row r="121" spans="1:18" ht="14.95" customHeight="1" thickBot="1" x14ac:dyDescent="0.3">
      <c r="A121" s="132"/>
      <c r="B121" s="131"/>
      <c r="C121" s="71"/>
      <c r="D121" s="432"/>
      <c r="E121" s="433"/>
      <c r="F121" s="434"/>
      <c r="G121" s="71">
        <f>SUM(C121:F121)</f>
        <v>0</v>
      </c>
      <c r="H121" s="416"/>
      <c r="I121" s="417"/>
      <c r="J121" s="418"/>
      <c r="K121" s="435"/>
      <c r="L121" s="436"/>
      <c r="M121" s="437"/>
      <c r="N121" s="418">
        <f>SUM(J121:M121)</f>
        <v>0</v>
      </c>
      <c r="O121" s="2"/>
      <c r="P121" s="2"/>
      <c r="Q121" s="2"/>
      <c r="R121" s="2"/>
    </row>
    <row r="122" spans="1:18" ht="14.95" customHeight="1" thickBot="1" x14ac:dyDescent="0.3">
      <c r="A122" s="132"/>
      <c r="B122" s="131"/>
      <c r="C122" s="71"/>
      <c r="D122" s="432"/>
      <c r="E122" s="433"/>
      <c r="F122" s="434"/>
      <c r="G122" s="71">
        <f>SUM(C122:F122)</f>
        <v>0</v>
      </c>
      <c r="H122" s="416"/>
      <c r="I122" s="417"/>
      <c r="J122" s="418"/>
      <c r="K122" s="435"/>
      <c r="L122" s="436"/>
      <c r="M122" s="437"/>
      <c r="N122" s="418">
        <f>SUM(J122:M122)</f>
        <v>0</v>
      </c>
      <c r="O122" s="2"/>
      <c r="P122" s="2"/>
      <c r="Q122" s="2"/>
      <c r="R122" s="2"/>
    </row>
    <row r="123" spans="1:18" ht="14.95" customHeight="1" thickBot="1" x14ac:dyDescent="0.3">
      <c r="A123" s="132"/>
      <c r="B123" s="131"/>
      <c r="C123" s="71"/>
      <c r="D123" s="432"/>
      <c r="E123" s="433"/>
      <c r="F123" s="434"/>
      <c r="G123" s="71">
        <f>SUM(C123:F123)</f>
        <v>0</v>
      </c>
      <c r="H123" s="416"/>
      <c r="I123" s="417"/>
      <c r="J123" s="418"/>
      <c r="K123" s="435"/>
      <c r="L123" s="436"/>
      <c r="M123" s="437"/>
      <c r="N123" s="418">
        <f>SUM(J123:M123)</f>
        <v>0</v>
      </c>
      <c r="O123" s="2"/>
      <c r="P123" s="2"/>
      <c r="Q123" s="2"/>
      <c r="R123" s="2"/>
    </row>
    <row r="124" spans="1:18" ht="14.95" customHeight="1" thickBot="1" x14ac:dyDescent="0.3">
      <c r="A124" s="132"/>
      <c r="B124" s="131"/>
      <c r="C124" s="71"/>
      <c r="D124" s="432"/>
      <c r="E124" s="433"/>
      <c r="F124" s="434"/>
      <c r="G124" s="71">
        <f>SUM(C124:F124)</f>
        <v>0</v>
      </c>
      <c r="H124" s="416"/>
      <c r="I124" s="417"/>
      <c r="J124" s="418"/>
      <c r="K124" s="435"/>
      <c r="L124" s="436"/>
      <c r="M124" s="437"/>
      <c r="N124" s="418">
        <f>SUM(J124:M124)</f>
        <v>0</v>
      </c>
      <c r="O124" s="2"/>
      <c r="P124" s="2"/>
      <c r="Q124" s="2"/>
      <c r="R124" s="2"/>
    </row>
    <row r="125" spans="1:18" ht="14.95" customHeight="1" thickBot="1" x14ac:dyDescent="0.3">
      <c r="A125" s="132"/>
      <c r="B125" s="131"/>
      <c r="C125" s="71"/>
      <c r="D125" s="432"/>
      <c r="E125" s="433"/>
      <c r="F125" s="434"/>
      <c r="G125" s="71">
        <f>SUM(C125:F125)</f>
        <v>0</v>
      </c>
      <c r="H125" s="416"/>
      <c r="I125" s="417"/>
      <c r="J125" s="418"/>
      <c r="K125" s="435"/>
      <c r="L125" s="436"/>
      <c r="M125" s="437"/>
      <c r="N125" s="418">
        <f>SUM(J125:M125)</f>
        <v>0</v>
      </c>
      <c r="O125" s="2"/>
      <c r="P125" s="2"/>
      <c r="Q125" s="2"/>
      <c r="R125" s="2"/>
    </row>
    <row r="126" spans="1:18" ht="14.95" customHeight="1" thickBot="1" x14ac:dyDescent="0.3">
      <c r="A126" s="132"/>
      <c r="B126" s="131"/>
      <c r="C126" s="71"/>
      <c r="D126" s="432"/>
      <c r="E126" s="433"/>
      <c r="F126" s="434"/>
      <c r="G126" s="71">
        <f>SUM(C126:F126)</f>
        <v>0</v>
      </c>
      <c r="H126" s="416"/>
      <c r="I126" s="417"/>
      <c r="J126" s="418"/>
      <c r="K126" s="435"/>
      <c r="L126" s="436"/>
      <c r="M126" s="437"/>
      <c r="N126" s="418">
        <f>SUM(J126:M126)</f>
        <v>0</v>
      </c>
      <c r="O126" s="2"/>
      <c r="P126" s="2"/>
      <c r="Q126" s="2"/>
      <c r="R126" s="2"/>
    </row>
    <row r="127" spans="1:18" ht="14.95" customHeight="1" thickBot="1" x14ac:dyDescent="0.3">
      <c r="A127" s="132"/>
      <c r="B127" s="131"/>
      <c r="C127" s="71"/>
      <c r="D127" s="432"/>
      <c r="E127" s="433"/>
      <c r="F127" s="434"/>
      <c r="G127" s="71">
        <f>SUM(C127:F127)</f>
        <v>0</v>
      </c>
      <c r="H127" s="416"/>
      <c r="I127" s="417"/>
      <c r="J127" s="418"/>
      <c r="K127" s="435"/>
      <c r="L127" s="436"/>
      <c r="M127" s="437"/>
      <c r="N127" s="418">
        <f>SUM(J127:M127)</f>
        <v>0</v>
      </c>
      <c r="O127" s="2"/>
      <c r="P127" s="2"/>
      <c r="Q127" s="2"/>
      <c r="R127" s="2"/>
    </row>
    <row r="128" spans="1:18" ht="14.95" customHeight="1" thickBot="1" x14ac:dyDescent="0.3">
      <c r="A128" s="132"/>
      <c r="B128" s="131"/>
      <c r="C128" s="71"/>
      <c r="D128" s="432"/>
      <c r="E128" s="433"/>
      <c r="F128" s="434"/>
      <c r="G128" s="71">
        <f>SUM(C128:F128)</f>
        <v>0</v>
      </c>
      <c r="H128" s="416"/>
      <c r="I128" s="417"/>
      <c r="J128" s="418"/>
      <c r="K128" s="435"/>
      <c r="L128" s="436"/>
      <c r="M128" s="437"/>
      <c r="N128" s="418">
        <f>SUM(J128:M128)</f>
        <v>0</v>
      </c>
      <c r="O128" s="2"/>
      <c r="P128" s="2"/>
      <c r="Q128" s="2"/>
      <c r="R128" s="2"/>
    </row>
    <row r="129" spans="1:18" ht="14.95" customHeight="1" thickBot="1" x14ac:dyDescent="0.3">
      <c r="A129" s="132"/>
      <c r="B129" s="131"/>
      <c r="C129" s="71"/>
      <c r="D129" s="432"/>
      <c r="E129" s="433"/>
      <c r="F129" s="434"/>
      <c r="G129" s="71">
        <f>SUM(C129:F129)</f>
        <v>0</v>
      </c>
      <c r="H129" s="416"/>
      <c r="I129" s="417"/>
      <c r="J129" s="418"/>
      <c r="K129" s="435"/>
      <c r="L129" s="436"/>
      <c r="M129" s="437"/>
      <c r="N129" s="418">
        <f>SUM(J129:M129)</f>
        <v>0</v>
      </c>
      <c r="O129" s="2"/>
      <c r="P129" s="2"/>
      <c r="Q129" s="2"/>
      <c r="R129" s="2"/>
    </row>
    <row r="130" spans="1:18" ht="14.95" customHeight="1" thickBot="1" x14ac:dyDescent="0.3">
      <c r="A130" s="132"/>
      <c r="B130" s="131"/>
      <c r="C130" s="71"/>
      <c r="D130" s="432"/>
      <c r="E130" s="433"/>
      <c r="F130" s="434"/>
      <c r="G130" s="71">
        <f>SUM(C130:F130)</f>
        <v>0</v>
      </c>
      <c r="H130" s="416"/>
      <c r="I130" s="417"/>
      <c r="J130" s="418"/>
      <c r="K130" s="435"/>
      <c r="L130" s="436"/>
      <c r="M130" s="437"/>
      <c r="N130" s="418">
        <f>SUM(J130:M130)</f>
        <v>0</v>
      </c>
      <c r="O130" s="2"/>
      <c r="P130" s="2"/>
      <c r="Q130" s="2"/>
      <c r="R130" s="2"/>
    </row>
    <row r="131" spans="1:18" ht="14.95" customHeight="1" thickBot="1" x14ac:dyDescent="0.3">
      <c r="A131" s="132"/>
      <c r="B131" s="131"/>
      <c r="C131" s="71"/>
      <c r="D131" s="432"/>
      <c r="E131" s="433"/>
      <c r="F131" s="434"/>
      <c r="G131" s="71">
        <f>SUM(C131:F131)</f>
        <v>0</v>
      </c>
      <c r="H131" s="416"/>
      <c r="I131" s="417"/>
      <c r="J131" s="418"/>
      <c r="K131" s="435"/>
      <c r="L131" s="436"/>
      <c r="M131" s="437"/>
      <c r="N131" s="418">
        <f>SUM(J131:M131)</f>
        <v>0</v>
      </c>
      <c r="O131" s="2"/>
      <c r="P131" s="2"/>
      <c r="Q131" s="2"/>
      <c r="R131" s="2"/>
    </row>
    <row r="132" spans="1:18" ht="14.95" customHeight="1" thickBot="1" x14ac:dyDescent="0.3">
      <c r="A132" s="132"/>
      <c r="B132" s="131"/>
      <c r="C132" s="71"/>
      <c r="D132" s="432"/>
      <c r="E132" s="433"/>
      <c r="F132" s="434"/>
      <c r="G132" s="71">
        <f>SUM(C132:F132)</f>
        <v>0</v>
      </c>
      <c r="H132" s="416"/>
      <c r="I132" s="417"/>
      <c r="J132" s="418"/>
      <c r="K132" s="435"/>
      <c r="L132" s="436"/>
      <c r="M132" s="437"/>
      <c r="N132" s="418">
        <f>SUM(J132:M132)</f>
        <v>0</v>
      </c>
      <c r="O132" s="2"/>
      <c r="P132" s="2"/>
      <c r="Q132" s="2"/>
      <c r="R132" s="2"/>
    </row>
    <row r="133" spans="1:18" ht="14.95" customHeight="1" thickBot="1" x14ac:dyDescent="0.3">
      <c r="A133" s="132"/>
      <c r="B133" s="131"/>
      <c r="C133" s="71"/>
      <c r="D133" s="432"/>
      <c r="E133" s="433"/>
      <c r="F133" s="434"/>
      <c r="G133" s="71">
        <f>SUM(C133:F133)</f>
        <v>0</v>
      </c>
      <c r="H133" s="416"/>
      <c r="I133" s="417"/>
      <c r="J133" s="418"/>
      <c r="K133" s="435"/>
      <c r="L133" s="436"/>
      <c r="M133" s="437"/>
      <c r="N133" s="418">
        <f>SUM(J133:M133)</f>
        <v>0</v>
      </c>
      <c r="O133" s="2"/>
      <c r="P133" s="2"/>
      <c r="Q133" s="2"/>
      <c r="R133" s="2"/>
    </row>
    <row r="134" spans="1:18" ht="14.95" customHeight="1" thickBot="1" x14ac:dyDescent="0.3">
      <c r="A134" s="132"/>
      <c r="B134" s="131"/>
      <c r="C134" s="71"/>
      <c r="D134" s="432"/>
      <c r="E134" s="433"/>
      <c r="F134" s="434"/>
      <c r="G134" s="71">
        <f>SUM(C134:F134)</f>
        <v>0</v>
      </c>
      <c r="H134" s="416"/>
      <c r="I134" s="417"/>
      <c r="J134" s="418"/>
      <c r="K134" s="435"/>
      <c r="L134" s="436"/>
      <c r="M134" s="437"/>
      <c r="N134" s="418">
        <f>SUM(J134:M134)</f>
        <v>0</v>
      </c>
      <c r="O134" s="2"/>
      <c r="P134" s="2"/>
      <c r="Q134" s="2"/>
      <c r="R134" s="2"/>
    </row>
    <row r="135" spans="1:18" ht="14.95" customHeight="1" thickBot="1" x14ac:dyDescent="0.3">
      <c r="A135" s="132"/>
      <c r="B135" s="131"/>
      <c r="C135" s="71"/>
      <c r="D135" s="432"/>
      <c r="E135" s="433"/>
      <c r="F135" s="434"/>
      <c r="G135" s="71">
        <f>SUM(C135:F135)</f>
        <v>0</v>
      </c>
      <c r="H135" s="416"/>
      <c r="I135" s="417"/>
      <c r="J135" s="418"/>
      <c r="K135" s="435"/>
      <c r="L135" s="436"/>
      <c r="M135" s="437"/>
      <c r="N135" s="418">
        <f>SUM(J135:M135)</f>
        <v>0</v>
      </c>
      <c r="O135" s="2"/>
      <c r="P135" s="2"/>
      <c r="Q135" s="2"/>
      <c r="R135" s="2"/>
    </row>
    <row r="136" spans="1:18" ht="14.95" customHeight="1" thickBot="1" x14ac:dyDescent="0.3">
      <c r="A136" s="132"/>
      <c r="B136" s="131"/>
      <c r="C136" s="71"/>
      <c r="D136" s="432"/>
      <c r="E136" s="433"/>
      <c r="F136" s="434"/>
      <c r="G136" s="71">
        <f>SUM(C136:F136)</f>
        <v>0</v>
      </c>
      <c r="H136" s="416"/>
      <c r="I136" s="417"/>
      <c r="J136" s="418"/>
      <c r="K136" s="435"/>
      <c r="L136" s="436"/>
      <c r="M136" s="437"/>
      <c r="N136" s="418">
        <f>SUM(J136:M136)</f>
        <v>0</v>
      </c>
      <c r="O136" s="2"/>
      <c r="P136" s="2"/>
      <c r="Q136" s="2"/>
      <c r="R136" s="2"/>
    </row>
    <row r="137" spans="1:18" ht="14.95" customHeight="1" thickBot="1" x14ac:dyDescent="0.3">
      <c r="A137" s="132"/>
      <c r="B137" s="131"/>
      <c r="C137" s="71"/>
      <c r="D137" s="432"/>
      <c r="E137" s="433"/>
      <c r="F137" s="434"/>
      <c r="G137" s="71">
        <f>SUM(C137:F137)</f>
        <v>0</v>
      </c>
      <c r="H137" s="416"/>
      <c r="I137" s="417"/>
      <c r="J137" s="418"/>
      <c r="K137" s="435"/>
      <c r="L137" s="436"/>
      <c r="M137" s="437"/>
      <c r="N137" s="418">
        <f>SUM(J137:M137)</f>
        <v>0</v>
      </c>
      <c r="O137" s="2"/>
      <c r="P137" s="2"/>
      <c r="Q137" s="2"/>
      <c r="R137" s="2"/>
    </row>
    <row r="138" spans="1:18" ht="14.95" customHeight="1" thickBot="1" x14ac:dyDescent="0.3">
      <c r="A138" s="132"/>
      <c r="B138" s="131"/>
      <c r="C138" s="71"/>
      <c r="D138" s="432"/>
      <c r="E138" s="433"/>
      <c r="F138" s="434"/>
      <c r="G138" s="71">
        <f>SUM(C138:F138)</f>
        <v>0</v>
      </c>
      <c r="H138" s="416"/>
      <c r="I138" s="417"/>
      <c r="J138" s="418"/>
      <c r="K138" s="435"/>
      <c r="L138" s="436"/>
      <c r="M138" s="437"/>
      <c r="N138" s="418">
        <f>SUM(J138:M138)</f>
        <v>0</v>
      </c>
      <c r="O138" s="2"/>
      <c r="P138" s="2"/>
      <c r="Q138" s="2"/>
      <c r="R138" s="2"/>
    </row>
    <row r="139" spans="1:18" ht="14.95" customHeight="1" thickBot="1" x14ac:dyDescent="0.3">
      <c r="A139" s="132"/>
      <c r="B139" s="131"/>
      <c r="C139" s="71"/>
      <c r="D139" s="432"/>
      <c r="E139" s="433"/>
      <c r="F139" s="434"/>
      <c r="G139" s="71">
        <f>SUM(C139:F139)</f>
        <v>0</v>
      </c>
      <c r="H139" s="416"/>
      <c r="I139" s="417"/>
      <c r="J139" s="418"/>
      <c r="K139" s="435"/>
      <c r="L139" s="436"/>
      <c r="M139" s="437"/>
      <c r="N139" s="418">
        <f>SUM(J139:M139)</f>
        <v>0</v>
      </c>
      <c r="O139" s="2"/>
      <c r="P139" s="2"/>
      <c r="Q139" s="2"/>
      <c r="R139" s="2"/>
    </row>
    <row r="140" spans="1:18" ht="14.95" customHeight="1" thickBot="1" x14ac:dyDescent="0.3">
      <c r="A140" s="132"/>
      <c r="B140" s="131"/>
      <c r="C140" s="71"/>
      <c r="D140" s="432"/>
      <c r="E140" s="433"/>
      <c r="F140" s="434"/>
      <c r="G140" s="71">
        <f>SUM(C140:F140)</f>
        <v>0</v>
      </c>
      <c r="H140" s="416"/>
      <c r="I140" s="417"/>
      <c r="J140" s="418"/>
      <c r="K140" s="435"/>
      <c r="L140" s="436"/>
      <c r="M140" s="437"/>
      <c r="N140" s="418">
        <f>SUM(J140:M140)</f>
        <v>0</v>
      </c>
      <c r="O140" s="2"/>
      <c r="P140" s="2"/>
      <c r="Q140" s="2"/>
      <c r="R140" s="2"/>
    </row>
    <row r="141" spans="1:18" ht="14.95" customHeight="1" thickBot="1" x14ac:dyDescent="0.3">
      <c r="A141" s="132"/>
      <c r="B141" s="131"/>
      <c r="C141" s="71"/>
      <c r="D141" s="432"/>
      <c r="E141" s="433"/>
      <c r="F141" s="434"/>
      <c r="G141" s="71">
        <f>SUM(C141:F141)</f>
        <v>0</v>
      </c>
      <c r="H141" s="416"/>
      <c r="I141" s="417"/>
      <c r="J141" s="418"/>
      <c r="K141" s="435"/>
      <c r="L141" s="436"/>
      <c r="M141" s="437"/>
      <c r="N141" s="418">
        <f>SUM(J141:M141)</f>
        <v>0</v>
      </c>
      <c r="O141" s="2"/>
      <c r="P141" s="2"/>
      <c r="Q141" s="2"/>
      <c r="R141" s="2"/>
    </row>
    <row r="142" spans="1:18" ht="14.95" customHeight="1" thickBot="1" x14ac:dyDescent="0.3">
      <c r="A142" s="132"/>
      <c r="B142" s="131"/>
      <c r="C142" s="71"/>
      <c r="D142" s="432"/>
      <c r="E142" s="433"/>
      <c r="F142" s="434"/>
      <c r="G142" s="71">
        <f>SUM(C142:F142)</f>
        <v>0</v>
      </c>
      <c r="H142" s="416"/>
      <c r="I142" s="417"/>
      <c r="J142" s="418"/>
      <c r="K142" s="435"/>
      <c r="L142" s="436"/>
      <c r="M142" s="437"/>
      <c r="N142" s="418">
        <f>SUM(J142:M142)</f>
        <v>0</v>
      </c>
      <c r="O142" s="2"/>
      <c r="P142" s="2"/>
      <c r="Q142" s="2"/>
      <c r="R142" s="2"/>
    </row>
    <row r="143" spans="1:18" ht="14.95" customHeight="1" thickBot="1" x14ac:dyDescent="0.3">
      <c r="A143" s="132"/>
      <c r="B143" s="131"/>
      <c r="C143" s="71"/>
      <c r="D143" s="432"/>
      <c r="E143" s="433"/>
      <c r="F143" s="434"/>
      <c r="G143" s="71">
        <f>SUM(C143:F143)</f>
        <v>0</v>
      </c>
      <c r="H143" s="416"/>
      <c r="I143" s="417"/>
      <c r="J143" s="418"/>
      <c r="K143" s="435"/>
      <c r="L143" s="436"/>
      <c r="M143" s="437"/>
      <c r="N143" s="418">
        <f>SUM(J143:M143)</f>
        <v>0</v>
      </c>
      <c r="O143" s="2"/>
      <c r="P143" s="2"/>
      <c r="Q143" s="2"/>
      <c r="R143" s="2"/>
    </row>
    <row r="144" spans="1:18" ht="14.95" customHeight="1" thickBot="1" x14ac:dyDescent="0.3">
      <c r="A144" s="132"/>
      <c r="B144" s="131"/>
      <c r="C144" s="71"/>
      <c r="D144" s="432"/>
      <c r="E144" s="433"/>
      <c r="F144" s="434"/>
      <c r="G144" s="71">
        <f>SUM(C144:F144)</f>
        <v>0</v>
      </c>
      <c r="H144" s="416"/>
      <c r="I144" s="417"/>
      <c r="J144" s="418"/>
      <c r="K144" s="435"/>
      <c r="L144" s="436"/>
      <c r="M144" s="437"/>
      <c r="N144" s="418">
        <f>SUM(J144:M144)</f>
        <v>0</v>
      </c>
      <c r="O144" s="2"/>
      <c r="P144" s="2"/>
      <c r="Q144" s="2"/>
      <c r="R144" s="2"/>
    </row>
    <row r="145" spans="1:18" ht="14.95" customHeight="1" thickBot="1" x14ac:dyDescent="0.3">
      <c r="A145" s="132"/>
      <c r="B145" s="131"/>
      <c r="C145" s="71"/>
      <c r="D145" s="432"/>
      <c r="E145" s="433"/>
      <c r="F145" s="434"/>
      <c r="G145" s="71">
        <f>SUM(C145:F145)</f>
        <v>0</v>
      </c>
      <c r="H145" s="416"/>
      <c r="I145" s="417"/>
      <c r="J145" s="418"/>
      <c r="K145" s="435"/>
      <c r="L145" s="436"/>
      <c r="M145" s="437"/>
      <c r="N145" s="418">
        <f>SUM(J145:M145)</f>
        <v>0</v>
      </c>
      <c r="O145" s="2"/>
      <c r="P145" s="2"/>
      <c r="Q145" s="2"/>
      <c r="R145" s="2"/>
    </row>
    <row r="146" spans="1:18" ht="14.95" customHeight="1" thickBot="1" x14ac:dyDescent="0.3">
      <c r="A146" s="132"/>
      <c r="B146" s="131"/>
      <c r="C146" s="71"/>
      <c r="D146" s="432"/>
      <c r="E146" s="433"/>
      <c r="F146" s="434"/>
      <c r="G146" s="71">
        <f>SUM(C146:F146)</f>
        <v>0</v>
      </c>
      <c r="H146" s="416"/>
      <c r="I146" s="417"/>
      <c r="J146" s="418"/>
      <c r="K146" s="435"/>
      <c r="L146" s="436"/>
      <c r="M146" s="437"/>
      <c r="N146" s="418">
        <f>SUM(J146:M146)</f>
        <v>0</v>
      </c>
      <c r="O146" s="2"/>
      <c r="P146" s="2"/>
      <c r="Q146" s="2"/>
      <c r="R146" s="2"/>
    </row>
    <row r="147" spans="1:18" ht="14.95" customHeight="1" thickBot="1" x14ac:dyDescent="0.3">
      <c r="A147" s="132"/>
      <c r="B147" s="131"/>
      <c r="C147" s="71"/>
      <c r="D147" s="432"/>
      <c r="E147" s="433"/>
      <c r="F147" s="434"/>
      <c r="G147" s="71">
        <f>SUM(C147:F147)</f>
        <v>0</v>
      </c>
      <c r="H147" s="416"/>
      <c r="I147" s="417"/>
      <c r="J147" s="418"/>
      <c r="K147" s="435"/>
      <c r="L147" s="436"/>
      <c r="M147" s="437"/>
      <c r="N147" s="418">
        <f>SUM(J147:M147)</f>
        <v>0</v>
      </c>
      <c r="O147" s="2"/>
      <c r="P147" s="2"/>
      <c r="Q147" s="2"/>
      <c r="R147" s="2"/>
    </row>
    <row r="148" spans="1:18" ht="14.95" customHeight="1" thickBot="1" x14ac:dyDescent="0.3">
      <c r="A148" s="132"/>
      <c r="B148" s="131"/>
      <c r="C148" s="71"/>
      <c r="D148" s="432"/>
      <c r="E148" s="433"/>
      <c r="F148" s="434"/>
      <c r="G148" s="71">
        <f>SUM(C148:F148)</f>
        <v>0</v>
      </c>
      <c r="H148" s="416"/>
      <c r="I148" s="417"/>
      <c r="J148" s="418"/>
      <c r="K148" s="435"/>
      <c r="L148" s="436"/>
      <c r="M148" s="437"/>
      <c r="N148" s="418">
        <f>SUM(J148:M148)</f>
        <v>0</v>
      </c>
      <c r="O148" s="2"/>
      <c r="P148" s="2"/>
      <c r="Q148" s="2"/>
      <c r="R148" s="2"/>
    </row>
    <row r="149" spans="1:18" ht="14.95" customHeight="1" thickBot="1" x14ac:dyDescent="0.3">
      <c r="A149" s="132"/>
      <c r="B149" s="131"/>
      <c r="C149" s="71"/>
      <c r="D149" s="432"/>
      <c r="E149" s="433"/>
      <c r="F149" s="434"/>
      <c r="G149" s="71">
        <f>SUM(C149:F149)</f>
        <v>0</v>
      </c>
      <c r="H149" s="416"/>
      <c r="I149" s="417"/>
      <c r="J149" s="418"/>
      <c r="K149" s="435"/>
      <c r="L149" s="436"/>
      <c r="M149" s="437"/>
      <c r="N149" s="418">
        <f>SUM(J149:M149)</f>
        <v>0</v>
      </c>
      <c r="O149" s="2"/>
      <c r="P149" s="2"/>
      <c r="Q149" s="2"/>
      <c r="R149" s="2"/>
    </row>
    <row r="150" spans="1:18" ht="14.95" customHeight="1" thickBot="1" x14ac:dyDescent="0.3">
      <c r="A150" s="132"/>
      <c r="B150" s="131"/>
      <c r="C150" s="71"/>
      <c r="D150" s="432"/>
      <c r="E150" s="433"/>
      <c r="F150" s="434"/>
      <c r="G150" s="71">
        <f>SUM(C150:F150)</f>
        <v>0</v>
      </c>
      <c r="H150" s="416"/>
      <c r="I150" s="417"/>
      <c r="J150" s="418"/>
      <c r="K150" s="435"/>
      <c r="L150" s="436"/>
      <c r="M150" s="437"/>
      <c r="N150" s="418">
        <f>SUM(J150:M150)</f>
        <v>0</v>
      </c>
      <c r="O150" s="2"/>
      <c r="P150" s="2"/>
      <c r="Q150" s="2"/>
      <c r="R150" s="2"/>
    </row>
    <row r="151" spans="1:18" ht="14.95" customHeight="1" thickBot="1" x14ac:dyDescent="0.3">
      <c r="A151" s="132"/>
      <c r="B151" s="131"/>
      <c r="C151" s="71"/>
      <c r="D151" s="432"/>
      <c r="E151" s="433"/>
      <c r="F151" s="434"/>
      <c r="G151" s="71">
        <f>SUM(C151:F151)</f>
        <v>0</v>
      </c>
      <c r="H151" s="416"/>
      <c r="I151" s="417"/>
      <c r="J151" s="418"/>
      <c r="K151" s="435"/>
      <c r="L151" s="436"/>
      <c r="M151" s="437"/>
      <c r="N151" s="418">
        <f>SUM(J151:M151)</f>
        <v>0</v>
      </c>
      <c r="O151" s="2"/>
      <c r="P151" s="2"/>
      <c r="Q151" s="2"/>
      <c r="R151" s="2"/>
    </row>
    <row r="152" spans="1:18" ht="14.95" customHeight="1" thickBot="1" x14ac:dyDescent="0.3">
      <c r="A152" s="132"/>
      <c r="B152" s="131"/>
      <c r="C152" s="71"/>
      <c r="D152" s="432"/>
      <c r="E152" s="433"/>
      <c r="F152" s="434"/>
      <c r="G152" s="71">
        <f>SUM(C152:F152)</f>
        <v>0</v>
      </c>
      <c r="H152" s="416"/>
      <c r="I152" s="417"/>
      <c r="J152" s="418"/>
      <c r="K152" s="435"/>
      <c r="L152" s="436"/>
      <c r="M152" s="437"/>
      <c r="N152" s="418">
        <f>SUM(J152:M152)</f>
        <v>0</v>
      </c>
      <c r="O152" s="2"/>
      <c r="P152" s="2"/>
      <c r="Q152" s="2"/>
      <c r="R152" s="2"/>
    </row>
    <row r="153" spans="1:18" ht="14.95" customHeight="1" thickBot="1" x14ac:dyDescent="0.3">
      <c r="A153" s="132"/>
      <c r="B153" s="131"/>
      <c r="C153" s="71"/>
      <c r="D153" s="432"/>
      <c r="E153" s="433"/>
      <c r="F153" s="434"/>
      <c r="G153" s="71">
        <f>SUM(C153:F153)</f>
        <v>0</v>
      </c>
      <c r="H153" s="416"/>
      <c r="I153" s="417"/>
      <c r="J153" s="418"/>
      <c r="K153" s="435"/>
      <c r="L153" s="436"/>
      <c r="M153" s="437"/>
      <c r="N153" s="418">
        <f>SUM(J153:M153)</f>
        <v>0</v>
      </c>
      <c r="O153" s="2"/>
      <c r="P153" s="2"/>
      <c r="Q153" s="2"/>
      <c r="R153" s="2"/>
    </row>
    <row r="154" spans="1:18" ht="14.95" customHeight="1" thickBot="1" x14ac:dyDescent="0.3">
      <c r="A154" s="132"/>
      <c r="B154" s="131"/>
      <c r="C154" s="71"/>
      <c r="D154" s="432"/>
      <c r="E154" s="433"/>
      <c r="F154" s="434"/>
      <c r="G154" s="71">
        <f>SUM(C154:F154)</f>
        <v>0</v>
      </c>
      <c r="H154" s="416"/>
      <c r="I154" s="417"/>
      <c r="J154" s="418"/>
      <c r="K154" s="435"/>
      <c r="L154" s="436"/>
      <c r="M154" s="437"/>
      <c r="N154" s="418">
        <f>SUM(J154:M154)</f>
        <v>0</v>
      </c>
      <c r="O154" s="2"/>
      <c r="P154" s="2"/>
      <c r="Q154" s="2"/>
      <c r="R154" s="2"/>
    </row>
    <row r="155" spans="1:18" ht="14.95" customHeight="1" thickBot="1" x14ac:dyDescent="0.3">
      <c r="A155" s="132"/>
      <c r="B155" s="131"/>
      <c r="C155" s="71"/>
      <c r="D155" s="432"/>
      <c r="E155" s="433"/>
      <c r="F155" s="434"/>
      <c r="G155" s="71">
        <f>SUM(C155:F155)</f>
        <v>0</v>
      </c>
      <c r="H155" s="416"/>
      <c r="I155" s="417"/>
      <c r="J155" s="418"/>
      <c r="K155" s="435"/>
      <c r="L155" s="436"/>
      <c r="M155" s="437"/>
      <c r="N155" s="418">
        <f>SUM(J155:M155)</f>
        <v>0</v>
      </c>
      <c r="O155" s="2"/>
      <c r="P155" s="2"/>
      <c r="Q155" s="2"/>
      <c r="R155" s="2"/>
    </row>
    <row r="156" spans="1:18" ht="14.95" customHeight="1" thickBot="1" x14ac:dyDescent="0.3">
      <c r="A156" s="132"/>
      <c r="B156" s="131"/>
      <c r="C156" s="71"/>
      <c r="D156" s="432"/>
      <c r="E156" s="433"/>
      <c r="F156" s="434"/>
      <c r="G156" s="71">
        <f>SUM(C156:F156)</f>
        <v>0</v>
      </c>
      <c r="H156" s="416"/>
      <c r="I156" s="417"/>
      <c r="J156" s="418"/>
      <c r="K156" s="435"/>
      <c r="L156" s="436"/>
      <c r="M156" s="437"/>
      <c r="N156" s="418">
        <f>SUM(J156:M156)</f>
        <v>0</v>
      </c>
      <c r="O156" s="2"/>
      <c r="P156" s="2"/>
      <c r="Q156" s="2"/>
      <c r="R156" s="2"/>
    </row>
    <row r="157" spans="1:18" ht="14.95" customHeight="1" thickBot="1" x14ac:dyDescent="0.3">
      <c r="A157" s="132"/>
      <c r="B157" s="131"/>
      <c r="C157" s="71"/>
      <c r="D157" s="432"/>
      <c r="E157" s="433"/>
      <c r="F157" s="434"/>
      <c r="G157" s="71">
        <f>SUM(C157:F157)</f>
        <v>0</v>
      </c>
      <c r="H157" s="416"/>
      <c r="I157" s="417"/>
      <c r="J157" s="418"/>
      <c r="K157" s="435"/>
      <c r="L157" s="436"/>
      <c r="M157" s="437"/>
      <c r="N157" s="418">
        <f>SUM(J157:M157)</f>
        <v>0</v>
      </c>
      <c r="O157" s="2"/>
      <c r="P157" s="2"/>
      <c r="Q157" s="2"/>
      <c r="R157" s="2"/>
    </row>
    <row r="158" spans="1:18" ht="14.95" customHeight="1" thickBot="1" x14ac:dyDescent="0.3">
      <c r="A158" s="132"/>
      <c r="B158" s="131"/>
      <c r="C158" s="71"/>
      <c r="D158" s="432"/>
      <c r="E158" s="433"/>
      <c r="F158" s="434"/>
      <c r="G158" s="71">
        <f>SUM(C158:F158)</f>
        <v>0</v>
      </c>
      <c r="H158" s="416"/>
      <c r="I158" s="417"/>
      <c r="J158" s="418"/>
      <c r="K158" s="435"/>
      <c r="L158" s="436"/>
      <c r="M158" s="437"/>
      <c r="N158" s="418">
        <f>SUM(J158:M158)</f>
        <v>0</v>
      </c>
      <c r="O158" s="2"/>
      <c r="P158" s="2"/>
      <c r="Q158" s="2"/>
      <c r="R158" s="2"/>
    </row>
    <row r="159" spans="1:18" ht="14.95" customHeight="1" thickBot="1" x14ac:dyDescent="0.3">
      <c r="A159" s="132"/>
      <c r="B159" s="131"/>
      <c r="C159" s="71"/>
      <c r="D159" s="432"/>
      <c r="E159" s="433"/>
      <c r="F159" s="434"/>
      <c r="G159" s="71">
        <f>SUM(C159:F159)</f>
        <v>0</v>
      </c>
      <c r="H159" s="416"/>
      <c r="I159" s="417"/>
      <c r="J159" s="418"/>
      <c r="K159" s="435"/>
      <c r="L159" s="436"/>
      <c r="M159" s="437"/>
      <c r="N159" s="418">
        <f>SUM(J159:M159)</f>
        <v>0</v>
      </c>
      <c r="O159" s="2"/>
      <c r="P159" s="2"/>
      <c r="Q159" s="2"/>
      <c r="R159" s="2"/>
    </row>
    <row r="160" spans="1:18" ht="14.95" customHeight="1" thickBot="1" x14ac:dyDescent="0.3">
      <c r="A160" s="132"/>
      <c r="B160" s="131"/>
      <c r="C160" s="71"/>
      <c r="D160" s="432"/>
      <c r="E160" s="433"/>
      <c r="F160" s="434"/>
      <c r="G160" s="71">
        <f>SUM(C160:F160)</f>
        <v>0</v>
      </c>
      <c r="H160" s="416"/>
      <c r="I160" s="417"/>
      <c r="J160" s="418"/>
      <c r="K160" s="435"/>
      <c r="L160" s="436"/>
      <c r="M160" s="437"/>
      <c r="N160" s="418">
        <f>SUM(J160:M160)</f>
        <v>0</v>
      </c>
      <c r="O160" s="2"/>
      <c r="P160" s="2"/>
      <c r="Q160" s="2"/>
      <c r="R160" s="2"/>
    </row>
    <row r="161" spans="1:18" ht="14.95" customHeight="1" thickBot="1" x14ac:dyDescent="0.3">
      <c r="A161" s="132"/>
      <c r="B161" s="131"/>
      <c r="C161" s="71"/>
      <c r="D161" s="432"/>
      <c r="E161" s="433"/>
      <c r="F161" s="434"/>
      <c r="G161" s="71">
        <f>SUM(C161:F161)</f>
        <v>0</v>
      </c>
      <c r="H161" s="416"/>
      <c r="I161" s="417"/>
      <c r="J161" s="418"/>
      <c r="K161" s="435"/>
      <c r="L161" s="436"/>
      <c r="M161" s="437"/>
      <c r="N161" s="418">
        <f>SUM(J161:M161)</f>
        <v>0</v>
      </c>
      <c r="O161" s="2"/>
      <c r="P161" s="2"/>
      <c r="Q161" s="2"/>
      <c r="R161" s="2"/>
    </row>
    <row r="162" spans="1:18" ht="14.95" customHeight="1" thickBot="1" x14ac:dyDescent="0.3">
      <c r="A162" s="132"/>
      <c r="B162" s="131"/>
      <c r="C162" s="71"/>
      <c r="D162" s="432"/>
      <c r="E162" s="433"/>
      <c r="F162" s="434"/>
      <c r="G162" s="71">
        <f>SUM(C162:F162)</f>
        <v>0</v>
      </c>
      <c r="H162" s="416"/>
      <c r="I162" s="417"/>
      <c r="J162" s="418"/>
      <c r="K162" s="435"/>
      <c r="L162" s="436"/>
      <c r="M162" s="437"/>
      <c r="N162" s="418">
        <f>SUM(J162:M162)</f>
        <v>0</v>
      </c>
      <c r="O162" s="2"/>
      <c r="P162" s="2"/>
      <c r="Q162" s="2"/>
      <c r="R162" s="2"/>
    </row>
    <row r="163" spans="1:18" ht="14.95" customHeight="1" thickBot="1" x14ac:dyDescent="0.3">
      <c r="A163" s="132"/>
      <c r="B163" s="131"/>
      <c r="C163" s="71"/>
      <c r="D163" s="432"/>
      <c r="E163" s="433"/>
      <c r="F163" s="434"/>
      <c r="G163" s="71">
        <f>SUM(C163:F163)</f>
        <v>0</v>
      </c>
      <c r="H163" s="416"/>
      <c r="I163" s="417"/>
      <c r="J163" s="418"/>
      <c r="K163" s="435"/>
      <c r="L163" s="436"/>
      <c r="M163" s="437"/>
      <c r="N163" s="418">
        <f>SUM(J163:M163)</f>
        <v>0</v>
      </c>
      <c r="O163" s="2"/>
      <c r="P163" s="2"/>
      <c r="Q163" s="2"/>
      <c r="R163" s="2"/>
    </row>
    <row r="164" spans="1:18" ht="14.95" customHeight="1" thickBot="1" x14ac:dyDescent="0.3">
      <c r="A164" s="132"/>
      <c r="B164" s="131"/>
      <c r="C164" s="71"/>
      <c r="D164" s="432"/>
      <c r="E164" s="433"/>
      <c r="F164" s="434"/>
      <c r="G164" s="71">
        <f>SUM(C164:F164)</f>
        <v>0</v>
      </c>
      <c r="H164" s="416"/>
      <c r="I164" s="417"/>
      <c r="J164" s="418"/>
      <c r="K164" s="435"/>
      <c r="L164" s="436"/>
      <c r="M164" s="437"/>
      <c r="N164" s="418">
        <f>SUM(J164:M164)</f>
        <v>0</v>
      </c>
      <c r="O164" s="2"/>
      <c r="P164" s="2"/>
      <c r="Q164" s="2"/>
      <c r="R164" s="2"/>
    </row>
    <row r="165" spans="1:18" ht="14.95" customHeight="1" thickBot="1" x14ac:dyDescent="0.3">
      <c r="A165" s="132"/>
      <c r="B165" s="131"/>
      <c r="C165" s="71"/>
      <c r="D165" s="432"/>
      <c r="E165" s="433"/>
      <c r="F165" s="434"/>
      <c r="G165" s="71">
        <f>SUM(C165:F165)</f>
        <v>0</v>
      </c>
      <c r="H165" s="416"/>
      <c r="I165" s="417"/>
      <c r="J165" s="418"/>
      <c r="K165" s="435"/>
      <c r="L165" s="436"/>
      <c r="M165" s="437"/>
      <c r="N165" s="418">
        <f>SUM(J165:M165)</f>
        <v>0</v>
      </c>
      <c r="O165" s="2"/>
      <c r="P165" s="2"/>
      <c r="Q165" s="2"/>
      <c r="R165" s="2"/>
    </row>
    <row r="166" spans="1:18" ht="14.95" customHeight="1" thickBot="1" x14ac:dyDescent="0.3">
      <c r="A166" s="132"/>
      <c r="B166" s="131"/>
      <c r="C166" s="71"/>
      <c r="D166" s="432"/>
      <c r="E166" s="433"/>
      <c r="F166" s="434"/>
      <c r="G166" s="71">
        <f>SUM(C166:F166)</f>
        <v>0</v>
      </c>
      <c r="H166" s="416"/>
      <c r="I166" s="417"/>
      <c r="J166" s="418"/>
      <c r="K166" s="435"/>
      <c r="L166" s="436"/>
      <c r="M166" s="437"/>
      <c r="N166" s="418">
        <f>SUM(J166:M166)</f>
        <v>0</v>
      </c>
      <c r="O166" s="2"/>
      <c r="P166" s="2"/>
      <c r="Q166" s="2"/>
      <c r="R166" s="2"/>
    </row>
    <row r="167" spans="1:18" ht="14.95" customHeight="1" thickBot="1" x14ac:dyDescent="0.3">
      <c r="A167" s="132"/>
      <c r="B167" s="131"/>
      <c r="C167" s="71"/>
      <c r="D167" s="432"/>
      <c r="E167" s="433"/>
      <c r="F167" s="434"/>
      <c r="G167" s="71">
        <f>SUM(C167:F167)</f>
        <v>0</v>
      </c>
      <c r="H167" s="416"/>
      <c r="I167" s="417"/>
      <c r="J167" s="418"/>
      <c r="K167" s="435"/>
      <c r="L167" s="436"/>
      <c r="M167" s="437"/>
      <c r="N167" s="418">
        <f>SUM(J167:M167)</f>
        <v>0</v>
      </c>
      <c r="O167" s="2"/>
      <c r="P167" s="2"/>
      <c r="Q167" s="2"/>
      <c r="R167" s="2"/>
    </row>
    <row r="168" spans="1:18" ht="14.95" customHeight="1" thickBot="1" x14ac:dyDescent="0.3">
      <c r="A168" s="132"/>
      <c r="B168" s="131"/>
      <c r="C168" s="71"/>
      <c r="D168" s="432"/>
      <c r="E168" s="433"/>
      <c r="F168" s="434"/>
      <c r="G168" s="71">
        <f>SUM(C168:F168)</f>
        <v>0</v>
      </c>
      <c r="H168" s="416"/>
      <c r="I168" s="417"/>
      <c r="J168" s="418"/>
      <c r="K168" s="435"/>
      <c r="L168" s="436"/>
      <c r="M168" s="437"/>
      <c r="N168" s="418">
        <f>SUM(J168:M168)</f>
        <v>0</v>
      </c>
      <c r="O168" s="2"/>
      <c r="P168" s="2"/>
      <c r="Q168" s="2"/>
      <c r="R168" s="2"/>
    </row>
    <row r="169" spans="1:18" ht="14.95" customHeight="1" thickBot="1" x14ac:dyDescent="0.3">
      <c r="A169" s="132"/>
      <c r="B169" s="131"/>
      <c r="C169" s="71"/>
      <c r="D169" s="432"/>
      <c r="E169" s="433"/>
      <c r="F169" s="434"/>
      <c r="G169" s="71">
        <f>SUM(C169:F169)</f>
        <v>0</v>
      </c>
      <c r="H169" s="416"/>
      <c r="I169" s="417"/>
      <c r="J169" s="418"/>
      <c r="K169" s="435"/>
      <c r="L169" s="436"/>
      <c r="M169" s="437"/>
      <c r="N169" s="418">
        <f>SUM(J169:M169)</f>
        <v>0</v>
      </c>
      <c r="O169" s="2"/>
      <c r="P169" s="2"/>
      <c r="Q169" s="2"/>
      <c r="R169" s="2"/>
    </row>
    <row r="170" spans="1:18" ht="14.95" customHeight="1" thickBot="1" x14ac:dyDescent="0.3">
      <c r="A170" s="132"/>
      <c r="B170" s="131"/>
      <c r="C170" s="71"/>
      <c r="D170" s="432"/>
      <c r="E170" s="433"/>
      <c r="F170" s="434"/>
      <c r="G170" s="71">
        <f>SUM(C170:F170)</f>
        <v>0</v>
      </c>
      <c r="H170" s="416"/>
      <c r="I170" s="417"/>
      <c r="J170" s="418"/>
      <c r="K170" s="435"/>
      <c r="L170" s="436"/>
      <c r="M170" s="437"/>
      <c r="N170" s="418">
        <f>SUM(J170:M170)</f>
        <v>0</v>
      </c>
      <c r="O170" s="2"/>
      <c r="P170" s="2"/>
      <c r="Q170" s="2"/>
      <c r="R170" s="2"/>
    </row>
    <row r="171" spans="1:18" ht="14.95" customHeight="1" thickBot="1" x14ac:dyDescent="0.3">
      <c r="A171" s="132"/>
      <c r="B171" s="131"/>
      <c r="C171" s="71"/>
      <c r="D171" s="432"/>
      <c r="E171" s="433"/>
      <c r="F171" s="434"/>
      <c r="G171" s="71">
        <f>SUM(C171:F171)</f>
        <v>0</v>
      </c>
      <c r="H171" s="416"/>
      <c r="I171" s="417"/>
      <c r="J171" s="418"/>
      <c r="K171" s="435"/>
      <c r="L171" s="436"/>
      <c r="M171" s="437"/>
      <c r="N171" s="418">
        <f>SUM(J171:M171)</f>
        <v>0</v>
      </c>
      <c r="O171" s="2"/>
      <c r="P171" s="2"/>
      <c r="Q171" s="2"/>
      <c r="R171" s="2"/>
    </row>
    <row r="172" spans="1:18" ht="14.95" customHeight="1" thickBot="1" x14ac:dyDescent="0.3">
      <c r="A172" s="132"/>
      <c r="B172" s="131"/>
      <c r="C172" s="71"/>
      <c r="D172" s="432"/>
      <c r="E172" s="433"/>
      <c r="F172" s="434"/>
      <c r="G172" s="71">
        <f>SUM(C172:F172)</f>
        <v>0</v>
      </c>
      <c r="H172" s="416"/>
      <c r="I172" s="417"/>
      <c r="J172" s="418"/>
      <c r="K172" s="435"/>
      <c r="L172" s="436"/>
      <c r="M172" s="437"/>
      <c r="N172" s="418">
        <f>SUM(J172:M172)</f>
        <v>0</v>
      </c>
      <c r="O172" s="2"/>
      <c r="P172" s="2"/>
      <c r="Q172" s="2"/>
      <c r="R172" s="2"/>
    </row>
    <row r="173" spans="1:18" ht="14.95" customHeight="1" thickBot="1" x14ac:dyDescent="0.3">
      <c r="A173" s="132"/>
      <c r="B173" s="131"/>
      <c r="C173" s="71"/>
      <c r="D173" s="432"/>
      <c r="E173" s="433"/>
      <c r="F173" s="434"/>
      <c r="G173" s="71">
        <f>SUM(C173:F173)</f>
        <v>0</v>
      </c>
      <c r="H173" s="416"/>
      <c r="I173" s="417"/>
      <c r="J173" s="418"/>
      <c r="K173" s="435"/>
      <c r="L173" s="436"/>
      <c r="M173" s="437"/>
      <c r="N173" s="418">
        <f>SUM(J173:M173)</f>
        <v>0</v>
      </c>
      <c r="O173" s="2"/>
      <c r="P173" s="2"/>
      <c r="Q173" s="2"/>
      <c r="R173" s="2"/>
    </row>
    <row r="174" spans="1:18" ht="14.95" customHeight="1" thickBot="1" x14ac:dyDescent="0.3">
      <c r="A174" s="132"/>
      <c r="B174" s="131"/>
      <c r="C174" s="71"/>
      <c r="D174" s="432"/>
      <c r="E174" s="433"/>
      <c r="F174" s="434"/>
      <c r="G174" s="71">
        <f>SUM(C174:F174)</f>
        <v>0</v>
      </c>
      <c r="H174" s="416"/>
      <c r="I174" s="417"/>
      <c r="J174" s="418"/>
      <c r="K174" s="435"/>
      <c r="L174" s="436"/>
      <c r="M174" s="437"/>
      <c r="N174" s="418">
        <f>SUM(J174:M174)</f>
        <v>0</v>
      </c>
      <c r="O174" s="2"/>
      <c r="P174" s="2"/>
      <c r="Q174" s="2"/>
      <c r="R174" s="2"/>
    </row>
    <row r="175" spans="1:18" ht="14.95" customHeight="1" thickBot="1" x14ac:dyDescent="0.3">
      <c r="A175" s="132"/>
      <c r="B175" s="131"/>
      <c r="C175" s="71"/>
      <c r="D175" s="432"/>
      <c r="E175" s="433"/>
      <c r="F175" s="434"/>
      <c r="G175" s="71">
        <f>SUM(C175:F175)</f>
        <v>0</v>
      </c>
      <c r="H175" s="416"/>
      <c r="I175" s="417"/>
      <c r="J175" s="418"/>
      <c r="K175" s="435"/>
      <c r="L175" s="436"/>
      <c r="M175" s="437"/>
      <c r="N175" s="418">
        <f>SUM(J175:M175)</f>
        <v>0</v>
      </c>
      <c r="O175" s="2"/>
      <c r="P175" s="2"/>
      <c r="Q175" s="2"/>
      <c r="R175" s="2"/>
    </row>
    <row r="176" spans="1:18" ht="14.95" customHeight="1" thickBot="1" x14ac:dyDescent="0.3">
      <c r="A176" s="132"/>
      <c r="B176" s="131"/>
      <c r="C176" s="71"/>
      <c r="D176" s="432"/>
      <c r="E176" s="433"/>
      <c r="F176" s="434"/>
      <c r="G176" s="71">
        <f>SUM(C176:F176)</f>
        <v>0</v>
      </c>
      <c r="H176" s="416"/>
      <c r="I176" s="417"/>
      <c r="J176" s="418"/>
      <c r="K176" s="435"/>
      <c r="L176" s="436"/>
      <c r="M176" s="437"/>
      <c r="N176" s="418">
        <f>SUM(J176:M176)</f>
        <v>0</v>
      </c>
      <c r="O176" s="2"/>
      <c r="P176" s="2"/>
      <c r="Q176" s="2"/>
      <c r="R176" s="2"/>
    </row>
    <row r="177" spans="1:18" ht="14.95" customHeight="1" thickBot="1" x14ac:dyDescent="0.3">
      <c r="A177" s="132"/>
      <c r="B177" s="131"/>
      <c r="C177" s="71"/>
      <c r="D177" s="432"/>
      <c r="E177" s="433"/>
      <c r="F177" s="434"/>
      <c r="G177" s="71">
        <f>SUM(C177:F177)</f>
        <v>0</v>
      </c>
      <c r="H177" s="416"/>
      <c r="I177" s="417"/>
      <c r="J177" s="418"/>
      <c r="K177" s="435"/>
      <c r="L177" s="436"/>
      <c r="M177" s="437"/>
      <c r="N177" s="418">
        <f>SUM(J177:M177)</f>
        <v>0</v>
      </c>
      <c r="O177" s="2"/>
      <c r="P177" s="2"/>
      <c r="Q177" s="2"/>
      <c r="R177" s="2"/>
    </row>
    <row r="178" spans="1:18" ht="14.95" customHeight="1" thickBot="1" x14ac:dyDescent="0.3">
      <c r="A178" s="132"/>
      <c r="B178" s="131"/>
      <c r="C178" s="71"/>
      <c r="D178" s="432"/>
      <c r="E178" s="433"/>
      <c r="F178" s="434"/>
      <c r="G178" s="71">
        <f>SUM(C178:F178)</f>
        <v>0</v>
      </c>
      <c r="H178" s="416"/>
      <c r="I178" s="417"/>
      <c r="J178" s="418"/>
      <c r="K178" s="435"/>
      <c r="L178" s="436"/>
      <c r="M178" s="437"/>
      <c r="N178" s="418">
        <f>SUM(J178:M178)</f>
        <v>0</v>
      </c>
      <c r="O178" s="2"/>
      <c r="P178" s="2"/>
      <c r="Q178" s="2"/>
      <c r="R178" s="2"/>
    </row>
    <row r="179" spans="1:18" ht="14.95" customHeight="1" thickBot="1" x14ac:dyDescent="0.3">
      <c r="A179" s="132"/>
      <c r="B179" s="131"/>
      <c r="C179" s="71"/>
      <c r="D179" s="432"/>
      <c r="E179" s="433"/>
      <c r="F179" s="434"/>
      <c r="G179" s="71">
        <f>SUM(C179:F179)</f>
        <v>0</v>
      </c>
      <c r="H179" s="416"/>
      <c r="I179" s="417"/>
      <c r="J179" s="418"/>
      <c r="K179" s="435"/>
      <c r="L179" s="436"/>
      <c r="M179" s="437"/>
      <c r="N179" s="418">
        <f>SUM(J179:M179)</f>
        <v>0</v>
      </c>
      <c r="O179" s="2"/>
      <c r="P179" s="2"/>
      <c r="Q179" s="2"/>
      <c r="R179" s="2"/>
    </row>
    <row r="180" spans="1:18" ht="14.95" customHeight="1" thickBot="1" x14ac:dyDescent="0.3">
      <c r="A180" s="132"/>
      <c r="B180" s="131"/>
      <c r="C180" s="71"/>
      <c r="D180" s="432"/>
      <c r="E180" s="433"/>
      <c r="F180" s="434"/>
      <c r="G180" s="71">
        <f>SUM(C180:F180)</f>
        <v>0</v>
      </c>
      <c r="H180" s="416"/>
      <c r="I180" s="417"/>
      <c r="J180" s="418"/>
      <c r="K180" s="435"/>
      <c r="L180" s="436"/>
      <c r="M180" s="437"/>
      <c r="N180" s="418">
        <f>SUM(J180:M180)</f>
        <v>0</v>
      </c>
      <c r="O180" s="2"/>
      <c r="P180" s="2"/>
      <c r="Q180" s="2"/>
      <c r="R180" s="2"/>
    </row>
    <row r="181" spans="1:18" ht="14.95" customHeight="1" thickBot="1" x14ac:dyDescent="0.3">
      <c r="A181" s="132"/>
      <c r="B181" s="131"/>
      <c r="C181" s="71"/>
      <c r="D181" s="432"/>
      <c r="E181" s="433"/>
      <c r="F181" s="434"/>
      <c r="G181" s="71">
        <f>SUM(C181:F181)</f>
        <v>0</v>
      </c>
      <c r="H181" s="416"/>
      <c r="I181" s="417"/>
      <c r="J181" s="418"/>
      <c r="K181" s="435"/>
      <c r="L181" s="436"/>
      <c r="M181" s="437"/>
      <c r="N181" s="418">
        <f>SUM(J181:M181)</f>
        <v>0</v>
      </c>
      <c r="O181" s="2"/>
      <c r="P181" s="2"/>
      <c r="Q181" s="2"/>
      <c r="R181" s="2"/>
    </row>
    <row r="182" spans="1:18" ht="14.95" customHeight="1" thickBot="1" x14ac:dyDescent="0.3">
      <c r="A182" s="132"/>
      <c r="B182" s="131"/>
      <c r="C182" s="71"/>
      <c r="D182" s="432"/>
      <c r="E182" s="433"/>
      <c r="F182" s="434"/>
      <c r="G182" s="71">
        <f>SUM(C182:F182)</f>
        <v>0</v>
      </c>
      <c r="H182" s="416"/>
      <c r="I182" s="417"/>
      <c r="J182" s="418"/>
      <c r="K182" s="435"/>
      <c r="L182" s="436"/>
      <c r="M182" s="437"/>
      <c r="N182" s="418">
        <f>SUM(J182:M182)</f>
        <v>0</v>
      </c>
      <c r="O182" s="2"/>
      <c r="P182" s="2"/>
      <c r="Q182" s="2"/>
      <c r="R182" s="2"/>
    </row>
    <row r="183" spans="1:18" ht="14.95" customHeight="1" thickBot="1" x14ac:dyDescent="0.3">
      <c r="A183" s="132"/>
      <c r="B183" s="131"/>
      <c r="C183" s="71"/>
      <c r="D183" s="432"/>
      <c r="E183" s="433"/>
      <c r="F183" s="434"/>
      <c r="G183" s="71">
        <f>SUM(C183:F183)</f>
        <v>0</v>
      </c>
      <c r="H183" s="416"/>
      <c r="I183" s="417"/>
      <c r="J183" s="418"/>
      <c r="K183" s="435"/>
      <c r="L183" s="436"/>
      <c r="M183" s="437"/>
      <c r="N183" s="418">
        <f>SUM(J183:M183)</f>
        <v>0</v>
      </c>
      <c r="O183" s="2"/>
      <c r="P183" s="2"/>
      <c r="Q183" s="2"/>
      <c r="R183" s="2"/>
    </row>
    <row r="184" spans="1:18" ht="14.95" customHeight="1" thickBot="1" x14ac:dyDescent="0.3">
      <c r="A184" s="132"/>
      <c r="B184" s="131"/>
      <c r="C184" s="71"/>
      <c r="D184" s="432"/>
      <c r="E184" s="433"/>
      <c r="F184" s="434"/>
      <c r="G184" s="71">
        <f>SUM(C184:F184)</f>
        <v>0</v>
      </c>
      <c r="H184" s="416"/>
      <c r="I184" s="417"/>
      <c r="J184" s="418"/>
      <c r="K184" s="435"/>
      <c r="L184" s="436"/>
      <c r="M184" s="437"/>
      <c r="N184" s="418">
        <f>SUM(J184:M184)</f>
        <v>0</v>
      </c>
      <c r="O184" s="2"/>
      <c r="P184" s="2"/>
      <c r="Q184" s="2"/>
      <c r="R184" s="2"/>
    </row>
    <row r="185" spans="1:18" ht="14.95" customHeight="1" thickBot="1" x14ac:dyDescent="0.3">
      <c r="A185" s="132"/>
      <c r="B185" s="131"/>
      <c r="C185" s="71"/>
      <c r="D185" s="432"/>
      <c r="E185" s="433"/>
      <c r="F185" s="434"/>
      <c r="G185" s="71">
        <f>SUM(C185:F185)</f>
        <v>0</v>
      </c>
      <c r="H185" s="416"/>
      <c r="I185" s="417"/>
      <c r="J185" s="418"/>
      <c r="K185" s="435"/>
      <c r="L185" s="436"/>
      <c r="M185" s="437"/>
      <c r="N185" s="418">
        <f>SUM(J185:M185)</f>
        <v>0</v>
      </c>
      <c r="O185" s="2"/>
      <c r="P185" s="2"/>
      <c r="Q185" s="2"/>
      <c r="R185" s="2"/>
    </row>
    <row r="186" spans="1:18" ht="14.95" customHeight="1" thickBot="1" x14ac:dyDescent="0.3">
      <c r="A186" s="132"/>
      <c r="B186" s="131"/>
      <c r="C186" s="71"/>
      <c r="D186" s="432"/>
      <c r="E186" s="433"/>
      <c r="F186" s="434"/>
      <c r="G186" s="71">
        <f>SUM(C186:F186)</f>
        <v>0</v>
      </c>
      <c r="H186" s="416"/>
      <c r="I186" s="417"/>
      <c r="J186" s="418"/>
      <c r="K186" s="435"/>
      <c r="L186" s="436"/>
      <c r="M186" s="437"/>
      <c r="N186" s="418">
        <f>SUM(J186:M186)</f>
        <v>0</v>
      </c>
      <c r="O186" s="2"/>
      <c r="P186" s="2"/>
      <c r="Q186" s="2"/>
      <c r="R186" s="2"/>
    </row>
    <row r="187" spans="1:18" ht="14.95" customHeight="1" thickBot="1" x14ac:dyDescent="0.3">
      <c r="A187" s="132"/>
      <c r="B187" s="131"/>
      <c r="C187" s="71"/>
      <c r="D187" s="432"/>
      <c r="E187" s="433"/>
      <c r="F187" s="434"/>
      <c r="G187" s="71">
        <f>SUM(C187:F187)</f>
        <v>0</v>
      </c>
      <c r="H187" s="416"/>
      <c r="I187" s="417"/>
      <c r="J187" s="418"/>
      <c r="K187" s="435"/>
      <c r="L187" s="436"/>
      <c r="M187" s="437"/>
      <c r="N187" s="418">
        <f>SUM(J187:M187)</f>
        <v>0</v>
      </c>
      <c r="O187" s="2"/>
      <c r="P187" s="2"/>
      <c r="Q187" s="2"/>
      <c r="R187" s="2"/>
    </row>
    <row r="188" spans="1:18" ht="14.95" customHeight="1" thickBot="1" x14ac:dyDescent="0.3">
      <c r="A188" s="132"/>
      <c r="B188" s="131"/>
      <c r="C188" s="71"/>
      <c r="D188" s="432"/>
      <c r="E188" s="433"/>
      <c r="F188" s="434"/>
      <c r="G188" s="71">
        <f>SUM(C188:F188)</f>
        <v>0</v>
      </c>
      <c r="H188" s="416"/>
      <c r="I188" s="417"/>
      <c r="J188" s="418"/>
      <c r="K188" s="435"/>
      <c r="L188" s="436"/>
      <c r="M188" s="437"/>
      <c r="N188" s="418">
        <f>SUM(J188:M188)</f>
        <v>0</v>
      </c>
      <c r="O188" s="2"/>
      <c r="P188" s="2"/>
      <c r="Q188" s="2"/>
      <c r="R188" s="2"/>
    </row>
    <row r="189" spans="1:18" ht="14.95" customHeight="1" thickBot="1" x14ac:dyDescent="0.3">
      <c r="A189" s="132"/>
      <c r="B189" s="131"/>
      <c r="C189" s="71"/>
      <c r="D189" s="432"/>
      <c r="E189" s="433"/>
      <c r="F189" s="434"/>
      <c r="G189" s="71">
        <f>SUM(C189:F189)</f>
        <v>0</v>
      </c>
      <c r="H189" s="416"/>
      <c r="I189" s="417"/>
      <c r="J189" s="418"/>
      <c r="K189" s="435"/>
      <c r="L189" s="436"/>
      <c r="M189" s="437"/>
      <c r="N189" s="418">
        <f>SUM(J189:M189)</f>
        <v>0</v>
      </c>
      <c r="O189" s="2"/>
      <c r="P189" s="2"/>
      <c r="Q189" s="2"/>
      <c r="R189" s="2"/>
    </row>
    <row r="190" spans="1:18" ht="14.95" customHeight="1" thickBot="1" x14ac:dyDescent="0.3">
      <c r="A190" s="132"/>
      <c r="B190" s="131"/>
      <c r="C190" s="71"/>
      <c r="D190" s="432"/>
      <c r="E190" s="433"/>
      <c r="F190" s="434"/>
      <c r="G190" s="71">
        <f>SUM(C190:F190)</f>
        <v>0</v>
      </c>
      <c r="H190" s="416"/>
      <c r="I190" s="417"/>
      <c r="J190" s="418"/>
      <c r="K190" s="435"/>
      <c r="L190" s="436"/>
      <c r="M190" s="437"/>
      <c r="N190" s="418">
        <f>SUM(J190:M190)</f>
        <v>0</v>
      </c>
      <c r="O190" s="2"/>
      <c r="P190" s="2"/>
      <c r="Q190" s="2"/>
      <c r="R190" s="2"/>
    </row>
    <row r="191" spans="1:18" ht="14.95" customHeight="1" thickBot="1" x14ac:dyDescent="0.3">
      <c r="A191" s="132"/>
      <c r="B191" s="131"/>
      <c r="C191" s="71"/>
      <c r="D191" s="432"/>
      <c r="E191" s="433"/>
      <c r="F191" s="434"/>
      <c r="G191" s="71">
        <f>SUM(C191:F191)</f>
        <v>0</v>
      </c>
      <c r="H191" s="416"/>
      <c r="I191" s="417"/>
      <c r="J191" s="418"/>
      <c r="K191" s="435"/>
      <c r="L191" s="436"/>
      <c r="M191" s="437"/>
      <c r="N191" s="418">
        <f>SUM(J191:M191)</f>
        <v>0</v>
      </c>
      <c r="O191" s="2"/>
      <c r="P191" s="2"/>
      <c r="Q191" s="2"/>
      <c r="R191" s="2"/>
    </row>
    <row r="192" spans="1:18" ht="14.95" customHeight="1" thickBot="1" x14ac:dyDescent="0.3">
      <c r="A192" s="132"/>
      <c r="B192" s="131"/>
      <c r="C192" s="71"/>
      <c r="D192" s="432"/>
      <c r="E192" s="433"/>
      <c r="F192" s="434"/>
      <c r="G192" s="71">
        <f>SUM(C192:F192)</f>
        <v>0</v>
      </c>
      <c r="H192" s="416"/>
      <c r="I192" s="417"/>
      <c r="J192" s="418"/>
      <c r="K192" s="435"/>
      <c r="L192" s="436"/>
      <c r="M192" s="437"/>
      <c r="N192" s="418">
        <f>SUM(J192:M192)</f>
        <v>0</v>
      </c>
      <c r="O192" s="2"/>
      <c r="P192" s="2"/>
      <c r="Q192" s="2"/>
      <c r="R192" s="2"/>
    </row>
    <row r="193" spans="1:18" ht="14.95" customHeight="1" thickBot="1" x14ac:dyDescent="0.3">
      <c r="A193" s="132"/>
      <c r="B193" s="131"/>
      <c r="C193" s="71"/>
      <c r="D193" s="432"/>
      <c r="E193" s="433"/>
      <c r="F193" s="434"/>
      <c r="G193" s="71">
        <f>SUM(C193:F193)</f>
        <v>0</v>
      </c>
      <c r="H193" s="416"/>
      <c r="I193" s="417"/>
      <c r="J193" s="418"/>
      <c r="K193" s="435"/>
      <c r="L193" s="436"/>
      <c r="M193" s="437"/>
      <c r="N193" s="418">
        <f>SUM(J193:M193)</f>
        <v>0</v>
      </c>
      <c r="O193" s="2"/>
      <c r="P193" s="2"/>
      <c r="Q193" s="2"/>
      <c r="R193" s="2"/>
    </row>
    <row r="194" spans="1:18" ht="14.95" customHeight="1" thickBot="1" x14ac:dyDescent="0.3">
      <c r="A194" s="132"/>
      <c r="B194" s="131"/>
      <c r="C194" s="71"/>
      <c r="D194" s="432"/>
      <c r="E194" s="433"/>
      <c r="F194" s="434"/>
      <c r="G194" s="71">
        <f>SUM(C194:F194)</f>
        <v>0</v>
      </c>
      <c r="H194" s="416"/>
      <c r="I194" s="417"/>
      <c r="J194" s="418"/>
      <c r="K194" s="435"/>
      <c r="L194" s="436"/>
      <c r="M194" s="437"/>
      <c r="N194" s="418">
        <f>SUM(J194:M194)</f>
        <v>0</v>
      </c>
      <c r="O194" s="2"/>
      <c r="P194" s="2"/>
      <c r="Q194" s="2"/>
      <c r="R194" s="2"/>
    </row>
    <row r="195" spans="1:18" ht="14.95" customHeight="1" thickBot="1" x14ac:dyDescent="0.3">
      <c r="A195" s="132"/>
      <c r="B195" s="131"/>
      <c r="C195" s="71"/>
      <c r="D195" s="432"/>
      <c r="E195" s="433"/>
      <c r="F195" s="434"/>
      <c r="G195" s="71">
        <f>SUM(C195:F195)</f>
        <v>0</v>
      </c>
      <c r="H195" s="416"/>
      <c r="I195" s="417"/>
      <c r="J195" s="418"/>
      <c r="K195" s="435"/>
      <c r="L195" s="436"/>
      <c r="M195" s="437"/>
      <c r="N195" s="418">
        <f>SUM(J195:M195)</f>
        <v>0</v>
      </c>
      <c r="O195" s="2"/>
      <c r="P195" s="2"/>
      <c r="Q195" s="2"/>
      <c r="R195" s="2"/>
    </row>
    <row r="196" spans="1:18" ht="14.95" customHeight="1" thickBot="1" x14ac:dyDescent="0.3">
      <c r="A196" s="132"/>
      <c r="B196" s="131"/>
      <c r="C196" s="71"/>
      <c r="D196" s="432"/>
      <c r="E196" s="433"/>
      <c r="F196" s="434"/>
      <c r="G196" s="71">
        <f>SUM(C196:F196)</f>
        <v>0</v>
      </c>
      <c r="H196" s="416"/>
      <c r="I196" s="417"/>
      <c r="J196" s="418"/>
      <c r="K196" s="435"/>
      <c r="L196" s="436"/>
      <c r="M196" s="437"/>
      <c r="N196" s="418">
        <f>SUM(J196:M196)</f>
        <v>0</v>
      </c>
      <c r="O196" s="2"/>
      <c r="P196" s="2"/>
      <c r="Q196" s="2"/>
      <c r="R196" s="2"/>
    </row>
    <row r="197" spans="1:18" ht="14.95" customHeight="1" thickBot="1" x14ac:dyDescent="0.3">
      <c r="A197" s="132"/>
      <c r="B197" s="131"/>
      <c r="C197" s="71"/>
      <c r="D197" s="432"/>
      <c r="E197" s="433"/>
      <c r="F197" s="434"/>
      <c r="G197" s="71">
        <f>SUM(C197:F197)</f>
        <v>0</v>
      </c>
      <c r="H197" s="416"/>
      <c r="I197" s="417"/>
      <c r="J197" s="418"/>
      <c r="K197" s="435"/>
      <c r="L197" s="436"/>
      <c r="M197" s="437"/>
      <c r="N197" s="418">
        <f>SUM(J197:M197)</f>
        <v>0</v>
      </c>
      <c r="O197" s="2"/>
      <c r="P197" s="2"/>
      <c r="Q197" s="2"/>
      <c r="R197" s="2"/>
    </row>
    <row r="198" spans="1:18" ht="14.95" customHeight="1" thickBot="1" x14ac:dyDescent="0.3">
      <c r="A198" s="132"/>
      <c r="B198" s="131"/>
      <c r="C198" s="71"/>
      <c r="D198" s="432"/>
      <c r="E198" s="433"/>
      <c r="F198" s="434"/>
      <c r="G198" s="71">
        <f>SUM(C198:F198)</f>
        <v>0</v>
      </c>
      <c r="H198" s="416"/>
      <c r="I198" s="417"/>
      <c r="J198" s="418"/>
      <c r="K198" s="435"/>
      <c r="L198" s="436"/>
      <c r="M198" s="437"/>
      <c r="N198" s="418">
        <f>SUM(J198:M198)</f>
        <v>0</v>
      </c>
      <c r="O198" s="2"/>
      <c r="P198" s="2"/>
      <c r="Q198" s="2"/>
      <c r="R198" s="2"/>
    </row>
    <row r="199" spans="1:18" ht="14.95" customHeight="1" thickBot="1" x14ac:dyDescent="0.3">
      <c r="A199" s="132"/>
      <c r="B199" s="131"/>
      <c r="C199" s="71"/>
      <c r="D199" s="432"/>
      <c r="E199" s="433"/>
      <c r="F199" s="434"/>
      <c r="G199" s="71">
        <f>SUM(C199:F199)</f>
        <v>0</v>
      </c>
      <c r="H199" s="416"/>
      <c r="I199" s="417"/>
      <c r="J199" s="418"/>
      <c r="K199" s="435"/>
      <c r="L199" s="436"/>
      <c r="M199" s="437"/>
      <c r="N199" s="418">
        <f>SUM(J199:M199)</f>
        <v>0</v>
      </c>
      <c r="O199" s="2"/>
      <c r="P199" s="2"/>
      <c r="Q199" s="2"/>
      <c r="R199" s="2"/>
    </row>
    <row r="200" spans="1:18" ht="14.95" customHeight="1" thickBot="1" x14ac:dyDescent="0.3">
      <c r="A200" s="132"/>
      <c r="B200" s="131"/>
      <c r="C200" s="71"/>
      <c r="D200" s="432"/>
      <c r="E200" s="433"/>
      <c r="F200" s="434"/>
      <c r="G200" s="71">
        <f>SUM(C200:F200)</f>
        <v>0</v>
      </c>
      <c r="H200" s="416"/>
      <c r="I200" s="417"/>
      <c r="J200" s="418"/>
      <c r="K200" s="435"/>
      <c r="L200" s="436"/>
      <c r="M200" s="437"/>
      <c r="N200" s="418">
        <f>SUM(J200:M200)</f>
        <v>0</v>
      </c>
      <c r="O200" s="2"/>
      <c r="P200" s="2"/>
      <c r="Q200" s="2"/>
      <c r="R200" s="2"/>
    </row>
    <row r="201" spans="1:18" ht="14.95" customHeight="1" thickBot="1" x14ac:dyDescent="0.3">
      <c r="A201" s="132"/>
      <c r="B201" s="131"/>
      <c r="C201" s="71"/>
      <c r="D201" s="432"/>
      <c r="E201" s="433"/>
      <c r="F201" s="434"/>
      <c r="G201" s="71">
        <f>SUM(C201:F201)</f>
        <v>0</v>
      </c>
      <c r="H201" s="416"/>
      <c r="I201" s="417"/>
      <c r="J201" s="418"/>
      <c r="K201" s="435"/>
      <c r="L201" s="436"/>
      <c r="M201" s="437"/>
      <c r="N201" s="418">
        <f>SUM(J201:M201)</f>
        <v>0</v>
      </c>
      <c r="O201" s="2"/>
      <c r="P201" s="2"/>
      <c r="Q201" s="2"/>
      <c r="R201" s="2"/>
    </row>
    <row r="202" spans="1:18" ht="14.95" customHeight="1" thickBot="1" x14ac:dyDescent="0.3">
      <c r="A202" s="132"/>
      <c r="B202" s="131"/>
      <c r="C202" s="71"/>
      <c r="D202" s="432"/>
      <c r="E202" s="433"/>
      <c r="F202" s="434"/>
      <c r="G202" s="71">
        <f>SUM(C202:F202)</f>
        <v>0</v>
      </c>
      <c r="H202" s="416"/>
      <c r="I202" s="417"/>
      <c r="J202" s="418"/>
      <c r="K202" s="435"/>
      <c r="L202" s="436"/>
      <c r="M202" s="437"/>
      <c r="N202" s="418">
        <f>SUM(J202:M202)</f>
        <v>0</v>
      </c>
      <c r="O202" s="2"/>
      <c r="P202" s="2"/>
      <c r="Q202" s="2"/>
      <c r="R202" s="2"/>
    </row>
    <row r="203" spans="1:18" ht="14.95" customHeight="1" thickBot="1" x14ac:dyDescent="0.3">
      <c r="A203" s="132"/>
      <c r="B203" s="131"/>
      <c r="C203" s="71"/>
      <c r="D203" s="432"/>
      <c r="E203" s="433"/>
      <c r="F203" s="434"/>
      <c r="G203" s="71">
        <f>SUM(C203:F203)</f>
        <v>0</v>
      </c>
      <c r="H203" s="416"/>
      <c r="I203" s="417"/>
      <c r="J203" s="418"/>
      <c r="K203" s="435"/>
      <c r="L203" s="436"/>
      <c r="M203" s="437"/>
      <c r="N203" s="418">
        <f>SUM(J203:M203)</f>
        <v>0</v>
      </c>
      <c r="O203" s="2"/>
      <c r="P203" s="2"/>
      <c r="Q203" s="2"/>
      <c r="R203" s="2"/>
    </row>
    <row r="204" spans="1:18" ht="14.95" customHeight="1" thickBot="1" x14ac:dyDescent="0.3">
      <c r="A204" s="132"/>
      <c r="B204" s="131"/>
      <c r="C204" s="71"/>
      <c r="D204" s="432"/>
      <c r="E204" s="433"/>
      <c r="F204" s="434"/>
      <c r="G204" s="71">
        <f>SUM(C204:F204)</f>
        <v>0</v>
      </c>
      <c r="H204" s="416"/>
      <c r="I204" s="417"/>
      <c r="J204" s="418"/>
      <c r="K204" s="435"/>
      <c r="L204" s="436"/>
      <c r="M204" s="437"/>
      <c r="N204" s="418">
        <f>SUM(J204:M204)</f>
        <v>0</v>
      </c>
      <c r="O204" s="2"/>
      <c r="P204" s="2"/>
      <c r="Q204" s="2"/>
      <c r="R204" s="2"/>
    </row>
    <row r="205" spans="1:18" ht="14.95" customHeight="1" thickBot="1" x14ac:dyDescent="0.3">
      <c r="A205" s="132"/>
      <c r="B205" s="131"/>
      <c r="C205" s="71"/>
      <c r="D205" s="432"/>
      <c r="E205" s="433"/>
      <c r="F205" s="434"/>
      <c r="G205" s="71">
        <f>SUM(C205:F205)</f>
        <v>0</v>
      </c>
      <c r="H205" s="416"/>
      <c r="I205" s="417"/>
      <c r="J205" s="418"/>
      <c r="K205" s="435"/>
      <c r="L205" s="436"/>
      <c r="M205" s="437"/>
      <c r="N205" s="418">
        <f>SUM(J205:M205)</f>
        <v>0</v>
      </c>
      <c r="O205" s="2"/>
      <c r="P205" s="2"/>
      <c r="Q205" s="2"/>
      <c r="R205" s="2"/>
    </row>
    <row r="206" spans="1:18" ht="14.95" customHeight="1" thickBot="1" x14ac:dyDescent="0.3">
      <c r="A206" s="132"/>
      <c r="B206" s="131"/>
      <c r="C206" s="71"/>
      <c r="D206" s="432"/>
      <c r="E206" s="433"/>
      <c r="F206" s="434"/>
      <c r="G206" s="71">
        <f>SUM(C206:F206)</f>
        <v>0</v>
      </c>
      <c r="H206" s="416"/>
      <c r="I206" s="417"/>
      <c r="J206" s="418"/>
      <c r="K206" s="435"/>
      <c r="L206" s="436"/>
      <c r="M206" s="437"/>
      <c r="N206" s="418">
        <f>SUM(J206:M206)</f>
        <v>0</v>
      </c>
      <c r="O206" s="2"/>
      <c r="P206" s="2"/>
      <c r="Q206" s="2"/>
      <c r="R206" s="2"/>
    </row>
    <row r="207" spans="1:18" ht="14.95" customHeight="1" thickBot="1" x14ac:dyDescent="0.3">
      <c r="A207" s="132"/>
      <c r="B207" s="131"/>
      <c r="C207" s="71"/>
      <c r="D207" s="432"/>
      <c r="E207" s="433"/>
      <c r="F207" s="434"/>
      <c r="G207" s="71">
        <f>SUM(C207:F207)</f>
        <v>0</v>
      </c>
      <c r="H207" s="416"/>
      <c r="I207" s="417"/>
      <c r="J207" s="418"/>
      <c r="K207" s="435"/>
      <c r="L207" s="436"/>
      <c r="M207" s="437"/>
      <c r="N207" s="418">
        <f>SUM(J207:M207)</f>
        <v>0</v>
      </c>
      <c r="O207" s="2"/>
      <c r="P207" s="2"/>
      <c r="Q207" s="2"/>
      <c r="R207" s="2"/>
    </row>
    <row r="208" spans="1:18" ht="14.95" customHeight="1" thickBot="1" x14ac:dyDescent="0.3">
      <c r="A208" s="132"/>
      <c r="B208" s="131"/>
      <c r="C208" s="71"/>
      <c r="D208" s="432"/>
      <c r="E208" s="433"/>
      <c r="F208" s="434"/>
      <c r="G208" s="71">
        <f>SUM(C208:F208)</f>
        <v>0</v>
      </c>
      <c r="H208" s="416"/>
      <c r="I208" s="417"/>
      <c r="J208" s="418"/>
      <c r="K208" s="435"/>
      <c r="L208" s="436"/>
      <c r="M208" s="437"/>
      <c r="N208" s="418">
        <f>SUM(J208:M208)</f>
        <v>0</v>
      </c>
      <c r="O208" s="2"/>
      <c r="P208" s="2"/>
      <c r="Q208" s="2"/>
      <c r="R208" s="2"/>
    </row>
    <row r="209" spans="1:18" ht="14.95" customHeight="1" thickBot="1" x14ac:dyDescent="0.3">
      <c r="A209" s="132"/>
      <c r="B209" s="131"/>
      <c r="C209" s="71"/>
      <c r="D209" s="432"/>
      <c r="E209" s="433"/>
      <c r="F209" s="434"/>
      <c r="G209" s="71">
        <f>SUM(C209:F209)</f>
        <v>0</v>
      </c>
      <c r="H209" s="416"/>
      <c r="I209" s="417"/>
      <c r="J209" s="418"/>
      <c r="K209" s="435"/>
      <c r="L209" s="436"/>
      <c r="M209" s="437"/>
      <c r="N209" s="418">
        <f>SUM(J209:M209)</f>
        <v>0</v>
      </c>
      <c r="O209" s="2"/>
      <c r="P209" s="2"/>
      <c r="Q209" s="2"/>
      <c r="R209" s="2"/>
    </row>
    <row r="210" spans="1:18" ht="14.95" customHeight="1" thickBot="1" x14ac:dyDescent="0.3">
      <c r="A210" s="132"/>
      <c r="B210" s="131"/>
      <c r="C210" s="71"/>
      <c r="D210" s="432"/>
      <c r="E210" s="433"/>
      <c r="F210" s="434"/>
      <c r="G210" s="71">
        <f>SUM(C210:F210)</f>
        <v>0</v>
      </c>
      <c r="H210" s="416"/>
      <c r="I210" s="417"/>
      <c r="J210" s="418"/>
      <c r="K210" s="435"/>
      <c r="L210" s="436"/>
      <c r="M210" s="437"/>
      <c r="N210" s="418">
        <f>SUM(J210:M210)</f>
        <v>0</v>
      </c>
      <c r="O210" s="2"/>
      <c r="P210" s="2"/>
      <c r="Q210" s="2"/>
      <c r="R210" s="2"/>
    </row>
    <row r="211" spans="1:18" ht="14.95" customHeight="1" thickBot="1" x14ac:dyDescent="0.3">
      <c r="A211" s="132"/>
      <c r="B211" s="131"/>
      <c r="C211" s="71"/>
      <c r="D211" s="432"/>
      <c r="E211" s="433"/>
      <c r="F211" s="434"/>
      <c r="G211" s="71">
        <f>SUM(C211:F211)</f>
        <v>0</v>
      </c>
      <c r="H211" s="416"/>
      <c r="I211" s="417"/>
      <c r="J211" s="418"/>
      <c r="K211" s="435"/>
      <c r="L211" s="436"/>
      <c r="M211" s="437"/>
      <c r="N211" s="418">
        <f>SUM(J211:M211)</f>
        <v>0</v>
      </c>
      <c r="O211" s="2"/>
      <c r="P211" s="2"/>
      <c r="Q211" s="2"/>
      <c r="R211" s="2"/>
    </row>
    <row r="212" spans="1:18" ht="14.95" customHeight="1" thickBot="1" x14ac:dyDescent="0.3">
      <c r="A212" s="132"/>
      <c r="B212" s="131"/>
      <c r="C212" s="71"/>
      <c r="D212" s="432"/>
      <c r="E212" s="433"/>
      <c r="F212" s="434"/>
      <c r="G212" s="71">
        <f>SUM(C212:F212)</f>
        <v>0</v>
      </c>
      <c r="H212" s="416"/>
      <c r="I212" s="417"/>
      <c r="J212" s="418"/>
      <c r="K212" s="435"/>
      <c r="L212" s="436"/>
      <c r="M212" s="437"/>
      <c r="N212" s="418">
        <f>SUM(J212:M212)</f>
        <v>0</v>
      </c>
      <c r="O212" s="2"/>
      <c r="P212" s="2"/>
      <c r="Q212" s="2"/>
      <c r="R212" s="2"/>
    </row>
    <row r="213" spans="1:18" ht="14.95" customHeight="1" thickBot="1" x14ac:dyDescent="0.3">
      <c r="A213" s="132"/>
      <c r="B213" s="131"/>
      <c r="C213" s="71"/>
      <c r="D213" s="432"/>
      <c r="E213" s="433"/>
      <c r="F213" s="434"/>
      <c r="G213" s="71">
        <f>SUM(C213:F213)</f>
        <v>0</v>
      </c>
      <c r="H213" s="416"/>
      <c r="I213" s="417"/>
      <c r="J213" s="418"/>
      <c r="K213" s="435"/>
      <c r="L213" s="436"/>
      <c r="M213" s="437"/>
      <c r="N213" s="418">
        <f>SUM(J213:M213)</f>
        <v>0</v>
      </c>
      <c r="O213" s="2"/>
      <c r="P213" s="2"/>
      <c r="Q213" s="2"/>
      <c r="R213" s="2"/>
    </row>
    <row r="214" spans="1:18" ht="14.95" customHeight="1" thickBot="1" x14ac:dyDescent="0.3">
      <c r="A214" s="132"/>
      <c r="B214" s="131"/>
      <c r="C214" s="71"/>
      <c r="D214" s="432"/>
      <c r="E214" s="433"/>
      <c r="F214" s="434"/>
      <c r="G214" s="71">
        <f>SUM(C214:F214)</f>
        <v>0</v>
      </c>
      <c r="H214" s="416"/>
      <c r="I214" s="417"/>
      <c r="J214" s="418"/>
      <c r="K214" s="435"/>
      <c r="L214" s="436"/>
      <c r="M214" s="437"/>
      <c r="N214" s="418">
        <f>SUM(J214:M214)</f>
        <v>0</v>
      </c>
      <c r="O214" s="2"/>
      <c r="P214" s="2"/>
      <c r="Q214" s="2"/>
      <c r="R214" s="2"/>
    </row>
    <row r="215" spans="1:18" ht="14.95" customHeight="1" thickBot="1" x14ac:dyDescent="0.3">
      <c r="A215" s="132"/>
      <c r="B215" s="131"/>
      <c r="C215" s="71"/>
      <c r="D215" s="432"/>
      <c r="E215" s="433"/>
      <c r="F215" s="434"/>
      <c r="G215" s="71">
        <f>SUM(C215:F215)</f>
        <v>0</v>
      </c>
      <c r="H215" s="416"/>
      <c r="I215" s="417"/>
      <c r="J215" s="418"/>
      <c r="K215" s="435"/>
      <c r="L215" s="436"/>
      <c r="M215" s="437"/>
      <c r="N215" s="418">
        <f>SUM(J215:M215)</f>
        <v>0</v>
      </c>
      <c r="O215" s="2"/>
      <c r="P215" s="2"/>
      <c r="Q215" s="2"/>
      <c r="R215" s="2"/>
    </row>
    <row r="216" spans="1:18" ht="14.95" customHeight="1" thickBot="1" x14ac:dyDescent="0.3">
      <c r="A216" s="132"/>
      <c r="B216" s="131"/>
      <c r="C216" s="71"/>
      <c r="D216" s="432"/>
      <c r="E216" s="433"/>
      <c r="F216" s="434"/>
      <c r="G216" s="71">
        <f>SUM(C216:F216)</f>
        <v>0</v>
      </c>
      <c r="H216" s="416"/>
      <c r="I216" s="417"/>
      <c r="J216" s="418"/>
      <c r="K216" s="435"/>
      <c r="L216" s="436"/>
      <c r="M216" s="437"/>
      <c r="N216" s="418">
        <f>SUM(J216:M216)</f>
        <v>0</v>
      </c>
      <c r="O216" s="2"/>
      <c r="P216" s="2"/>
      <c r="Q216" s="2"/>
      <c r="R216" s="2"/>
    </row>
    <row r="217" spans="1:18" ht="14.95" customHeight="1" thickBot="1" x14ac:dyDescent="0.3">
      <c r="A217" s="132"/>
      <c r="B217" s="131"/>
      <c r="C217" s="71"/>
      <c r="D217" s="432"/>
      <c r="E217" s="433"/>
      <c r="F217" s="434"/>
      <c r="G217" s="71">
        <f>SUM(C217:F217)</f>
        <v>0</v>
      </c>
      <c r="H217" s="416"/>
      <c r="I217" s="417"/>
      <c r="J217" s="418"/>
      <c r="K217" s="435"/>
      <c r="L217" s="436"/>
      <c r="M217" s="437"/>
      <c r="N217" s="418">
        <f>SUM(J217:M217)</f>
        <v>0</v>
      </c>
      <c r="O217" s="2"/>
      <c r="P217" s="2"/>
      <c r="Q217" s="2"/>
      <c r="R217" s="2"/>
    </row>
    <row r="218" spans="1:18" ht="14.95" customHeight="1" thickBot="1" x14ac:dyDescent="0.3">
      <c r="A218" s="132"/>
      <c r="B218" s="131"/>
      <c r="C218" s="71"/>
      <c r="D218" s="432"/>
      <c r="E218" s="433"/>
      <c r="F218" s="434"/>
      <c r="G218" s="71">
        <f>SUM(C218:F218)</f>
        <v>0</v>
      </c>
      <c r="H218" s="416"/>
      <c r="I218" s="417"/>
      <c r="J218" s="418"/>
      <c r="K218" s="435"/>
      <c r="L218" s="436"/>
      <c r="M218" s="437"/>
      <c r="N218" s="418">
        <f>SUM(J218:M218)</f>
        <v>0</v>
      </c>
      <c r="O218" s="2"/>
      <c r="P218" s="2"/>
      <c r="Q218" s="2"/>
      <c r="R218" s="2"/>
    </row>
    <row r="219" spans="1:18" ht="14.95" customHeight="1" thickBot="1" x14ac:dyDescent="0.3">
      <c r="A219" s="132"/>
      <c r="B219" s="131"/>
      <c r="C219" s="71"/>
      <c r="D219" s="432"/>
      <c r="E219" s="433"/>
      <c r="F219" s="434"/>
      <c r="G219" s="71">
        <f>SUM(C219:F219)</f>
        <v>0</v>
      </c>
      <c r="H219" s="416"/>
      <c r="I219" s="417"/>
      <c r="J219" s="418"/>
      <c r="K219" s="435"/>
      <c r="L219" s="436"/>
      <c r="M219" s="437"/>
      <c r="N219" s="418">
        <f>SUM(J219:M219)</f>
        <v>0</v>
      </c>
      <c r="O219" s="2"/>
      <c r="P219" s="2"/>
      <c r="Q219" s="2"/>
      <c r="R219" s="2"/>
    </row>
    <row r="220" spans="1:18" ht="14.95" customHeight="1" thickBot="1" x14ac:dyDescent="0.3">
      <c r="A220" s="132"/>
      <c r="B220" s="131"/>
      <c r="C220" s="71"/>
      <c r="D220" s="432"/>
      <c r="E220" s="433"/>
      <c r="F220" s="434"/>
      <c r="G220" s="71">
        <f>SUM(C220:F220)</f>
        <v>0</v>
      </c>
      <c r="H220" s="416"/>
      <c r="I220" s="417"/>
      <c r="J220" s="418"/>
      <c r="K220" s="435"/>
      <c r="L220" s="436"/>
      <c r="M220" s="437"/>
      <c r="N220" s="418">
        <f>SUM(J220:M220)</f>
        <v>0</v>
      </c>
      <c r="O220" s="2"/>
      <c r="P220" s="2"/>
      <c r="Q220" s="2"/>
      <c r="R220" s="2"/>
    </row>
    <row r="221" spans="1:18" ht="14.95" customHeight="1" thickBot="1" x14ac:dyDescent="0.3">
      <c r="A221" s="132"/>
      <c r="B221" s="131"/>
      <c r="C221" s="71"/>
      <c r="D221" s="432"/>
      <c r="E221" s="433"/>
      <c r="F221" s="434"/>
      <c r="G221" s="71">
        <f>SUM(C221:F221)</f>
        <v>0</v>
      </c>
      <c r="H221" s="416"/>
      <c r="I221" s="417"/>
      <c r="J221" s="418"/>
      <c r="K221" s="435"/>
      <c r="L221" s="436"/>
      <c r="M221" s="437"/>
      <c r="N221" s="418">
        <f>SUM(J221:M221)</f>
        <v>0</v>
      </c>
      <c r="O221" s="2"/>
      <c r="P221" s="2"/>
      <c r="Q221" s="2"/>
      <c r="R221" s="2"/>
    </row>
    <row r="222" spans="1:18" ht="14.95" customHeight="1" thickBot="1" x14ac:dyDescent="0.3">
      <c r="A222" s="132"/>
      <c r="B222" s="131"/>
      <c r="C222" s="71"/>
      <c r="D222" s="432"/>
      <c r="E222" s="433"/>
      <c r="F222" s="434"/>
      <c r="G222" s="71">
        <f>SUM(C222:F222)</f>
        <v>0</v>
      </c>
      <c r="H222" s="416"/>
      <c r="I222" s="417"/>
      <c r="J222" s="418"/>
      <c r="K222" s="435"/>
      <c r="L222" s="436"/>
      <c r="M222" s="437"/>
      <c r="N222" s="418">
        <f>SUM(J222:M222)</f>
        <v>0</v>
      </c>
      <c r="O222" s="2"/>
      <c r="P222" s="2"/>
      <c r="Q222" s="2"/>
      <c r="R222" s="2"/>
    </row>
    <row r="223" spans="1:18" ht="14.95" customHeight="1" thickBot="1" x14ac:dyDescent="0.3">
      <c r="A223" s="132"/>
      <c r="B223" s="131"/>
      <c r="C223" s="71"/>
      <c r="D223" s="432"/>
      <c r="E223" s="433"/>
      <c r="F223" s="434"/>
      <c r="G223" s="71">
        <f>SUM(C223:F223)</f>
        <v>0</v>
      </c>
      <c r="H223" s="416"/>
      <c r="I223" s="417"/>
      <c r="J223" s="418"/>
      <c r="K223" s="435"/>
      <c r="L223" s="436"/>
      <c r="M223" s="437"/>
      <c r="N223" s="418">
        <f>SUM(J223:M223)</f>
        <v>0</v>
      </c>
      <c r="O223" s="2"/>
      <c r="P223" s="2"/>
      <c r="Q223" s="2"/>
      <c r="R223" s="2"/>
    </row>
    <row r="224" spans="1:18" ht="14.95" customHeight="1" thickBot="1" x14ac:dyDescent="0.3">
      <c r="A224" s="132"/>
      <c r="B224" s="131"/>
      <c r="C224" s="71"/>
      <c r="D224" s="432"/>
      <c r="E224" s="433"/>
      <c r="F224" s="434"/>
      <c r="G224" s="71">
        <f>SUM(C224:F224)</f>
        <v>0</v>
      </c>
      <c r="H224" s="416"/>
      <c r="I224" s="417"/>
      <c r="J224" s="418"/>
      <c r="K224" s="435"/>
      <c r="L224" s="436"/>
      <c r="M224" s="437"/>
      <c r="N224" s="418">
        <f>SUM(J224:M224)</f>
        <v>0</v>
      </c>
      <c r="O224" s="2"/>
      <c r="P224" s="2"/>
      <c r="Q224" s="2"/>
      <c r="R224" s="2"/>
    </row>
    <row r="225" spans="1:18" ht="14.95" customHeight="1" thickBot="1" x14ac:dyDescent="0.3">
      <c r="A225" s="132"/>
      <c r="B225" s="131"/>
      <c r="C225" s="71"/>
      <c r="D225" s="432"/>
      <c r="E225" s="433"/>
      <c r="F225" s="434"/>
      <c r="G225" s="71">
        <f>SUM(C225:F225)</f>
        <v>0</v>
      </c>
      <c r="H225" s="416"/>
      <c r="I225" s="417"/>
      <c r="J225" s="418"/>
      <c r="K225" s="435"/>
      <c r="L225" s="436"/>
      <c r="M225" s="437"/>
      <c r="N225" s="418">
        <f>SUM(J225:M225)</f>
        <v>0</v>
      </c>
      <c r="O225" s="2"/>
      <c r="P225" s="2"/>
      <c r="Q225" s="2"/>
      <c r="R225" s="2"/>
    </row>
    <row r="226" spans="1:18" ht="14.95" customHeight="1" thickBot="1" x14ac:dyDescent="0.3">
      <c r="A226" s="132"/>
      <c r="B226" s="131"/>
      <c r="C226" s="71"/>
      <c r="D226" s="432"/>
      <c r="E226" s="433"/>
      <c r="F226" s="434"/>
      <c r="G226" s="71">
        <f>SUM(C226:F226)</f>
        <v>0</v>
      </c>
      <c r="H226" s="416"/>
      <c r="I226" s="417"/>
      <c r="J226" s="418"/>
      <c r="K226" s="435"/>
      <c r="L226" s="436"/>
      <c r="M226" s="437"/>
      <c r="N226" s="418">
        <f>SUM(J226:M226)</f>
        <v>0</v>
      </c>
      <c r="O226" s="2"/>
      <c r="P226" s="2"/>
      <c r="Q226" s="2"/>
      <c r="R226" s="2"/>
    </row>
    <row r="227" spans="1:18" ht="14.95" customHeight="1" thickBot="1" x14ac:dyDescent="0.3">
      <c r="A227" s="132"/>
      <c r="B227" s="131"/>
      <c r="C227" s="71"/>
      <c r="D227" s="432"/>
      <c r="E227" s="433"/>
      <c r="F227" s="434"/>
      <c r="G227" s="71">
        <f>SUM(C227:F227)</f>
        <v>0</v>
      </c>
      <c r="H227" s="416"/>
      <c r="I227" s="417"/>
      <c r="J227" s="418"/>
      <c r="K227" s="435"/>
      <c r="L227" s="436"/>
      <c r="M227" s="437"/>
      <c r="N227" s="418">
        <f>SUM(J227:M227)</f>
        <v>0</v>
      </c>
      <c r="O227" s="2"/>
      <c r="P227" s="2"/>
      <c r="Q227" s="2"/>
      <c r="R227" s="2"/>
    </row>
    <row r="228" spans="1:18" ht="14.95" customHeight="1" thickBot="1" x14ac:dyDescent="0.3">
      <c r="A228" s="132"/>
      <c r="B228" s="131"/>
      <c r="C228" s="71"/>
      <c r="D228" s="432"/>
      <c r="E228" s="433"/>
      <c r="F228" s="434"/>
      <c r="G228" s="71">
        <f>SUM(C228:F228)</f>
        <v>0</v>
      </c>
      <c r="H228" s="416"/>
      <c r="I228" s="417"/>
      <c r="J228" s="418"/>
      <c r="K228" s="435"/>
      <c r="L228" s="436"/>
      <c r="M228" s="437"/>
      <c r="N228" s="418">
        <f>SUM(J228:M228)</f>
        <v>0</v>
      </c>
      <c r="O228" s="2"/>
      <c r="P228" s="2"/>
      <c r="Q228" s="2"/>
      <c r="R228" s="2"/>
    </row>
    <row r="229" spans="1:18" ht="14.95" customHeight="1" thickBot="1" x14ac:dyDescent="0.3">
      <c r="A229" s="132"/>
      <c r="B229" s="131"/>
      <c r="C229" s="71"/>
      <c r="D229" s="432"/>
      <c r="E229" s="433"/>
      <c r="F229" s="434"/>
      <c r="G229" s="71">
        <f>SUM(C229:F229)</f>
        <v>0</v>
      </c>
      <c r="H229" s="416"/>
      <c r="I229" s="417"/>
      <c r="J229" s="418"/>
      <c r="K229" s="435"/>
      <c r="L229" s="436"/>
      <c r="M229" s="437"/>
      <c r="N229" s="418">
        <f>SUM(J229:M229)</f>
        <v>0</v>
      </c>
      <c r="O229" s="2"/>
      <c r="P229" s="2"/>
      <c r="Q229" s="2"/>
      <c r="R229" s="2"/>
    </row>
    <row r="230" spans="1:18" ht="14.95" customHeight="1" thickBot="1" x14ac:dyDescent="0.3">
      <c r="A230" s="132"/>
      <c r="B230" s="131"/>
      <c r="C230" s="71"/>
      <c r="D230" s="432"/>
      <c r="E230" s="433"/>
      <c r="F230" s="434"/>
      <c r="G230" s="71">
        <f>SUM(C230:F230)</f>
        <v>0</v>
      </c>
      <c r="H230" s="416"/>
      <c r="I230" s="417"/>
      <c r="J230" s="418"/>
      <c r="K230" s="435"/>
      <c r="L230" s="436"/>
      <c r="M230" s="437"/>
      <c r="N230" s="418">
        <f>SUM(J230:M230)</f>
        <v>0</v>
      </c>
      <c r="O230" s="2"/>
      <c r="P230" s="2"/>
      <c r="Q230" s="2"/>
      <c r="R230" s="2"/>
    </row>
    <row r="231" spans="1:18" ht="14.95" customHeight="1" thickBot="1" x14ac:dyDescent="0.3">
      <c r="A231" s="132"/>
      <c r="B231" s="131"/>
      <c r="C231" s="71"/>
      <c r="D231" s="432"/>
      <c r="E231" s="433"/>
      <c r="F231" s="434"/>
      <c r="G231" s="71">
        <f>SUM(C231:F231)</f>
        <v>0</v>
      </c>
      <c r="H231" s="416"/>
      <c r="I231" s="417"/>
      <c r="J231" s="418"/>
      <c r="K231" s="435"/>
      <c r="L231" s="436"/>
      <c r="M231" s="437"/>
      <c r="N231" s="418">
        <f>SUM(J231:M231)</f>
        <v>0</v>
      </c>
      <c r="O231" s="2"/>
      <c r="P231" s="2"/>
      <c r="Q231" s="2"/>
      <c r="R231" s="2"/>
    </row>
    <row r="232" spans="1:18" ht="14.95" customHeight="1" thickBot="1" x14ac:dyDescent="0.3">
      <c r="A232" s="132"/>
      <c r="B232" s="131"/>
      <c r="C232" s="71"/>
      <c r="D232" s="432"/>
      <c r="E232" s="433"/>
      <c r="F232" s="434"/>
      <c r="G232" s="71">
        <f>SUM(C232:F232)</f>
        <v>0</v>
      </c>
      <c r="H232" s="416"/>
      <c r="I232" s="417"/>
      <c r="J232" s="418"/>
      <c r="K232" s="435"/>
      <c r="L232" s="436"/>
      <c r="M232" s="437"/>
      <c r="N232" s="418">
        <f>SUM(J232:M232)</f>
        <v>0</v>
      </c>
      <c r="O232" s="2"/>
      <c r="P232" s="2"/>
      <c r="Q232" s="2"/>
      <c r="R232" s="2"/>
    </row>
    <row r="233" spans="1:18" ht="14.95" customHeight="1" thickBot="1" x14ac:dyDescent="0.3">
      <c r="A233" s="132"/>
      <c r="B233" s="131"/>
      <c r="C233" s="71"/>
      <c r="D233" s="432"/>
      <c r="E233" s="433"/>
      <c r="F233" s="434"/>
      <c r="G233" s="71">
        <f>SUM(C233:F233)</f>
        <v>0</v>
      </c>
      <c r="H233" s="416"/>
      <c r="I233" s="417"/>
      <c r="J233" s="418"/>
      <c r="K233" s="435"/>
      <c r="L233" s="436"/>
      <c r="M233" s="437"/>
      <c r="N233" s="418">
        <f>SUM(J233:M233)</f>
        <v>0</v>
      </c>
      <c r="O233" s="2"/>
      <c r="P233" s="2"/>
      <c r="Q233" s="2"/>
      <c r="R233" s="2"/>
    </row>
    <row r="234" spans="1:18" ht="14.95" customHeight="1" thickBot="1" x14ac:dyDescent="0.3">
      <c r="A234" s="132"/>
      <c r="B234" s="131"/>
      <c r="C234" s="71"/>
      <c r="D234" s="432"/>
      <c r="E234" s="433"/>
      <c r="F234" s="434"/>
      <c r="G234" s="71">
        <f>SUM(C234:F234)</f>
        <v>0</v>
      </c>
      <c r="H234" s="416"/>
      <c r="I234" s="417"/>
      <c r="J234" s="418"/>
      <c r="K234" s="435"/>
      <c r="L234" s="436"/>
      <c r="M234" s="437"/>
      <c r="N234" s="418">
        <f>SUM(J234:M234)</f>
        <v>0</v>
      </c>
      <c r="O234" s="2"/>
      <c r="P234" s="2"/>
      <c r="Q234" s="2"/>
      <c r="R234" s="2"/>
    </row>
    <row r="235" spans="1:18" ht="14.95" customHeight="1" thickBot="1" x14ac:dyDescent="0.3">
      <c r="A235" s="132"/>
      <c r="B235" s="131"/>
      <c r="C235" s="71"/>
      <c r="D235" s="432"/>
      <c r="E235" s="433"/>
      <c r="F235" s="434"/>
      <c r="G235" s="71">
        <f>SUM(C235:F235)</f>
        <v>0</v>
      </c>
      <c r="H235" s="416"/>
      <c r="I235" s="417"/>
      <c r="J235" s="418"/>
      <c r="K235" s="435"/>
      <c r="L235" s="436"/>
      <c r="M235" s="437"/>
      <c r="N235" s="418">
        <f>SUM(J235:M235)</f>
        <v>0</v>
      </c>
      <c r="O235" s="2"/>
      <c r="P235" s="2"/>
      <c r="Q235" s="2"/>
      <c r="R235" s="2"/>
    </row>
    <row r="236" spans="1:18" ht="14.95" customHeight="1" thickBot="1" x14ac:dyDescent="0.3">
      <c r="A236" s="132"/>
      <c r="B236" s="131"/>
      <c r="C236" s="71"/>
      <c r="D236" s="432"/>
      <c r="E236" s="433"/>
      <c r="F236" s="434"/>
      <c r="G236" s="71">
        <f>SUM(C236:F236)</f>
        <v>0</v>
      </c>
      <c r="H236" s="416"/>
      <c r="I236" s="417"/>
      <c r="J236" s="418"/>
      <c r="K236" s="435"/>
      <c r="L236" s="436"/>
      <c r="M236" s="437"/>
      <c r="N236" s="418">
        <f>SUM(J236:M236)</f>
        <v>0</v>
      </c>
      <c r="O236" s="2"/>
      <c r="P236" s="2"/>
      <c r="Q236" s="2"/>
      <c r="R236" s="2"/>
    </row>
    <row r="237" spans="1:18" ht="14.95" customHeight="1" thickBot="1" x14ac:dyDescent="0.3">
      <c r="A237" s="132"/>
      <c r="B237" s="131"/>
      <c r="C237" s="71"/>
      <c r="D237" s="432"/>
      <c r="E237" s="433"/>
      <c r="F237" s="434"/>
      <c r="G237" s="71">
        <f>SUM(C237:F237)</f>
        <v>0</v>
      </c>
      <c r="H237" s="416"/>
      <c r="I237" s="417"/>
      <c r="J237" s="418"/>
      <c r="K237" s="435"/>
      <c r="L237" s="436"/>
      <c r="M237" s="437"/>
      <c r="N237" s="418">
        <f>SUM(J237:M237)</f>
        <v>0</v>
      </c>
      <c r="O237" s="2"/>
      <c r="P237" s="2"/>
      <c r="Q237" s="2"/>
      <c r="R237" s="2"/>
    </row>
    <row r="238" spans="1:18" ht="14.95" customHeight="1" thickBot="1" x14ac:dyDescent="0.3">
      <c r="A238" s="132"/>
      <c r="B238" s="131"/>
      <c r="C238" s="71"/>
      <c r="D238" s="432"/>
      <c r="E238" s="433"/>
      <c r="F238" s="434"/>
      <c r="G238" s="71">
        <f>SUM(C238:F238)</f>
        <v>0</v>
      </c>
      <c r="H238" s="416"/>
      <c r="I238" s="417"/>
      <c r="J238" s="418"/>
      <c r="K238" s="435"/>
      <c r="L238" s="436"/>
      <c r="M238" s="437"/>
      <c r="N238" s="418">
        <f>SUM(J238:M238)</f>
        <v>0</v>
      </c>
      <c r="O238" s="2"/>
      <c r="P238" s="2"/>
      <c r="Q238" s="2"/>
      <c r="R238" s="2"/>
    </row>
    <row r="239" spans="1:18" ht="14.95" customHeight="1" thickBot="1" x14ac:dyDescent="0.3">
      <c r="A239" s="132"/>
      <c r="B239" s="131"/>
      <c r="C239" s="71"/>
      <c r="D239" s="432"/>
      <c r="E239" s="433"/>
      <c r="F239" s="434"/>
      <c r="G239" s="71">
        <f>SUM(C239:F239)</f>
        <v>0</v>
      </c>
      <c r="H239" s="416"/>
      <c r="I239" s="417"/>
      <c r="J239" s="418"/>
      <c r="K239" s="435"/>
      <c r="L239" s="436"/>
      <c r="M239" s="437"/>
      <c r="N239" s="418">
        <f>SUM(J239:M239)</f>
        <v>0</v>
      </c>
      <c r="O239" s="2"/>
      <c r="P239" s="2"/>
      <c r="Q239" s="2"/>
      <c r="R239" s="2"/>
    </row>
    <row r="240" spans="1:18" ht="14.95" customHeight="1" thickBot="1" x14ac:dyDescent="0.3">
      <c r="A240" s="132"/>
      <c r="B240" s="131"/>
      <c r="C240" s="71"/>
      <c r="D240" s="432"/>
      <c r="E240" s="433"/>
      <c r="F240" s="434"/>
      <c r="G240" s="71">
        <f>SUM(C240:F240)</f>
        <v>0</v>
      </c>
      <c r="H240" s="416"/>
      <c r="I240" s="417"/>
      <c r="J240" s="418"/>
      <c r="K240" s="435"/>
      <c r="L240" s="436"/>
      <c r="M240" s="437"/>
      <c r="N240" s="418">
        <f>SUM(J240:M240)</f>
        <v>0</v>
      </c>
      <c r="O240" s="2"/>
      <c r="P240" s="2"/>
      <c r="Q240" s="2"/>
      <c r="R240" s="2"/>
    </row>
    <row r="241" spans="1:18" ht="14.95" customHeight="1" thickBot="1" x14ac:dyDescent="0.3">
      <c r="A241" s="132"/>
      <c r="B241" s="131"/>
      <c r="C241" s="71"/>
      <c r="D241" s="432"/>
      <c r="E241" s="433"/>
      <c r="F241" s="434"/>
      <c r="G241" s="71">
        <f>SUM(C241:F241)</f>
        <v>0</v>
      </c>
      <c r="H241" s="416"/>
      <c r="I241" s="417"/>
      <c r="J241" s="418"/>
      <c r="K241" s="435"/>
      <c r="L241" s="436"/>
      <c r="M241" s="437"/>
      <c r="N241" s="418">
        <f>SUM(J241:M241)</f>
        <v>0</v>
      </c>
      <c r="O241" s="2"/>
      <c r="P241" s="2"/>
      <c r="Q241" s="2"/>
      <c r="R241" s="2"/>
    </row>
    <row r="242" spans="1:18" ht="14.95" customHeight="1" thickBot="1" x14ac:dyDescent="0.3">
      <c r="A242" s="132"/>
      <c r="B242" s="131"/>
      <c r="C242" s="71"/>
      <c r="D242" s="432"/>
      <c r="E242" s="433"/>
      <c r="F242" s="434"/>
      <c r="G242" s="71">
        <f>SUM(C242:F242)</f>
        <v>0</v>
      </c>
      <c r="H242" s="416"/>
      <c r="I242" s="417"/>
      <c r="J242" s="418"/>
      <c r="K242" s="435"/>
      <c r="L242" s="436"/>
      <c r="M242" s="437"/>
      <c r="N242" s="418">
        <f>SUM(J242:M242)</f>
        <v>0</v>
      </c>
      <c r="O242" s="2"/>
      <c r="P242" s="2"/>
      <c r="Q242" s="2"/>
      <c r="R242" s="2"/>
    </row>
    <row r="243" spans="1:18" ht="14.95" customHeight="1" thickBot="1" x14ac:dyDescent="0.3">
      <c r="A243" s="132"/>
      <c r="B243" s="131"/>
      <c r="C243" s="71"/>
      <c r="D243" s="432"/>
      <c r="E243" s="433"/>
      <c r="F243" s="434"/>
      <c r="G243" s="71">
        <f>SUM(C243:F243)</f>
        <v>0</v>
      </c>
      <c r="H243" s="416"/>
      <c r="I243" s="417"/>
      <c r="J243" s="418"/>
      <c r="K243" s="435"/>
      <c r="L243" s="436"/>
      <c r="M243" s="437"/>
      <c r="N243" s="418">
        <f>SUM(J243:M243)</f>
        <v>0</v>
      </c>
      <c r="O243" s="2"/>
      <c r="P243" s="2"/>
      <c r="Q243" s="2"/>
      <c r="R243" s="2"/>
    </row>
    <row r="244" spans="1:18" ht="14.95" customHeight="1" thickBot="1" x14ac:dyDescent="0.3">
      <c r="A244" s="132"/>
      <c r="B244" s="131"/>
      <c r="C244" s="71"/>
      <c r="D244" s="432"/>
      <c r="E244" s="433"/>
      <c r="F244" s="434"/>
      <c r="G244" s="71">
        <f>SUM(C244:F244)</f>
        <v>0</v>
      </c>
      <c r="H244" s="416"/>
      <c r="I244" s="417"/>
      <c r="J244" s="418"/>
      <c r="K244" s="435"/>
      <c r="L244" s="436"/>
      <c r="M244" s="437"/>
      <c r="N244" s="418">
        <f>SUM(J244:M244)</f>
        <v>0</v>
      </c>
      <c r="O244" s="2"/>
      <c r="P244" s="2"/>
      <c r="Q244" s="2"/>
      <c r="R244" s="2"/>
    </row>
    <row r="245" spans="1:18" ht="14.95" customHeight="1" thickBot="1" x14ac:dyDescent="0.3">
      <c r="A245" s="132"/>
      <c r="B245" s="131"/>
      <c r="C245" s="71"/>
      <c r="D245" s="432"/>
      <c r="E245" s="433"/>
      <c r="F245" s="434"/>
      <c r="G245" s="71">
        <f>SUM(C245:F245)</f>
        <v>0</v>
      </c>
      <c r="H245" s="416"/>
      <c r="I245" s="417"/>
      <c r="J245" s="418"/>
      <c r="K245" s="435"/>
      <c r="L245" s="436"/>
      <c r="M245" s="437"/>
      <c r="N245" s="418">
        <f>SUM(J245:M245)</f>
        <v>0</v>
      </c>
      <c r="O245" s="2"/>
      <c r="P245" s="2"/>
      <c r="Q245" s="2"/>
      <c r="R245" s="2"/>
    </row>
    <row r="246" spans="1:18" ht="14.95" customHeight="1" thickBot="1" x14ac:dyDescent="0.3">
      <c r="A246" s="132"/>
      <c r="B246" s="131"/>
      <c r="C246" s="71"/>
      <c r="D246" s="432"/>
      <c r="E246" s="433"/>
      <c r="F246" s="434"/>
      <c r="G246" s="71">
        <f>SUM(C246:F246)</f>
        <v>0</v>
      </c>
      <c r="H246" s="416"/>
      <c r="I246" s="417"/>
      <c r="J246" s="418"/>
      <c r="K246" s="435"/>
      <c r="L246" s="436"/>
      <c r="M246" s="437"/>
      <c r="N246" s="418">
        <f>SUM(J246:M246)</f>
        <v>0</v>
      </c>
      <c r="O246" s="2"/>
      <c r="P246" s="2"/>
      <c r="Q246" s="2"/>
      <c r="R246" s="2"/>
    </row>
    <row r="247" spans="1:18" ht="14.95" customHeight="1" thickBot="1" x14ac:dyDescent="0.3">
      <c r="A247" s="132"/>
      <c r="B247" s="131"/>
      <c r="C247" s="71"/>
      <c r="D247" s="432"/>
      <c r="E247" s="433"/>
      <c r="F247" s="434"/>
      <c r="G247" s="71">
        <f>SUM(C247:F247)</f>
        <v>0</v>
      </c>
      <c r="H247" s="416"/>
      <c r="I247" s="417"/>
      <c r="J247" s="418"/>
      <c r="K247" s="435"/>
      <c r="L247" s="436"/>
      <c r="M247" s="437"/>
      <c r="N247" s="418">
        <f>SUM(J247:M247)</f>
        <v>0</v>
      </c>
      <c r="O247" s="2"/>
      <c r="P247" s="2"/>
      <c r="Q247" s="2"/>
      <c r="R247" s="2"/>
    </row>
    <row r="248" spans="1:18" ht="14.95" customHeight="1" thickBot="1" x14ac:dyDescent="0.3">
      <c r="A248" s="132"/>
      <c r="B248" s="131"/>
      <c r="C248" s="71"/>
      <c r="D248" s="432"/>
      <c r="E248" s="433"/>
      <c r="F248" s="434"/>
      <c r="G248" s="71">
        <f>SUM(C248:F248)</f>
        <v>0</v>
      </c>
      <c r="H248" s="416"/>
      <c r="I248" s="417"/>
      <c r="J248" s="418"/>
      <c r="K248" s="435"/>
      <c r="L248" s="436"/>
      <c r="M248" s="437"/>
      <c r="N248" s="418">
        <f>SUM(J248:M248)</f>
        <v>0</v>
      </c>
      <c r="O248" s="2"/>
      <c r="P248" s="2"/>
      <c r="Q248" s="2"/>
      <c r="R248" s="2"/>
    </row>
    <row r="249" spans="1:18" ht="14.95" customHeight="1" thickBot="1" x14ac:dyDescent="0.3">
      <c r="A249" s="132"/>
      <c r="B249" s="131"/>
      <c r="C249" s="71"/>
      <c r="D249" s="432"/>
      <c r="E249" s="433"/>
      <c r="F249" s="434"/>
      <c r="G249" s="71">
        <f>SUM(C249:F249)</f>
        <v>0</v>
      </c>
      <c r="H249" s="416"/>
      <c r="I249" s="417"/>
      <c r="J249" s="418"/>
      <c r="K249" s="435"/>
      <c r="L249" s="436"/>
      <c r="M249" s="437"/>
      <c r="N249" s="418">
        <f>SUM(J249:M249)</f>
        <v>0</v>
      </c>
      <c r="O249" s="2"/>
      <c r="P249" s="2"/>
      <c r="Q249" s="2"/>
      <c r="R249" s="2"/>
    </row>
    <row r="250" spans="1:18" ht="14.95" customHeight="1" thickBot="1" x14ac:dyDescent="0.3">
      <c r="A250" s="132"/>
      <c r="B250" s="131"/>
      <c r="C250" s="71"/>
      <c r="D250" s="432"/>
      <c r="E250" s="433"/>
      <c r="F250" s="434"/>
      <c r="G250" s="71">
        <f>SUM(C250:F250)</f>
        <v>0</v>
      </c>
      <c r="H250" s="416"/>
      <c r="I250" s="417"/>
      <c r="J250" s="418"/>
      <c r="K250" s="435"/>
      <c r="L250" s="436"/>
      <c r="M250" s="437"/>
      <c r="N250" s="418">
        <f>SUM(J250:M250)</f>
        <v>0</v>
      </c>
      <c r="O250" s="2"/>
      <c r="P250" s="2"/>
      <c r="Q250" s="2"/>
      <c r="R250" s="2"/>
    </row>
    <row r="251" spans="1:18" ht="14.95" customHeight="1" thickBot="1" x14ac:dyDescent="0.3">
      <c r="A251" s="132"/>
      <c r="B251" s="131"/>
      <c r="C251" s="71"/>
      <c r="D251" s="432"/>
      <c r="E251" s="433"/>
      <c r="F251" s="434"/>
      <c r="G251" s="71">
        <f>SUM(C251:F251)</f>
        <v>0</v>
      </c>
      <c r="H251" s="416"/>
      <c r="I251" s="417"/>
      <c r="J251" s="418"/>
      <c r="K251" s="435"/>
      <c r="L251" s="436"/>
      <c r="M251" s="437"/>
      <c r="N251" s="418">
        <f>SUM(J251:M251)</f>
        <v>0</v>
      </c>
      <c r="O251" s="2"/>
      <c r="P251" s="2"/>
      <c r="Q251" s="2"/>
      <c r="R251" s="2"/>
    </row>
    <row r="252" spans="1:18" ht="14.95" customHeight="1" thickBot="1" x14ac:dyDescent="0.3">
      <c r="A252" s="132"/>
      <c r="B252" s="131"/>
      <c r="C252" s="71"/>
      <c r="D252" s="432"/>
      <c r="E252" s="433"/>
      <c r="F252" s="434"/>
      <c r="G252" s="71">
        <f>SUM(C252:F252)</f>
        <v>0</v>
      </c>
      <c r="H252" s="416"/>
      <c r="I252" s="417"/>
      <c r="J252" s="418"/>
      <c r="K252" s="435"/>
      <c r="L252" s="436"/>
      <c r="M252" s="437"/>
      <c r="N252" s="418">
        <f>SUM(J252:M252)</f>
        <v>0</v>
      </c>
      <c r="O252" s="2"/>
      <c r="P252" s="2"/>
      <c r="Q252" s="2"/>
      <c r="R252" s="2"/>
    </row>
    <row r="253" spans="1:18" ht="14.95" customHeight="1" thickBot="1" x14ac:dyDescent="0.3">
      <c r="A253" s="132"/>
      <c r="B253" s="131"/>
      <c r="C253" s="71"/>
      <c r="D253" s="432"/>
      <c r="E253" s="433"/>
      <c r="F253" s="434"/>
      <c r="G253" s="71">
        <f>SUM(C253:F253)</f>
        <v>0</v>
      </c>
      <c r="H253" s="416"/>
      <c r="I253" s="417"/>
      <c r="J253" s="418"/>
      <c r="K253" s="435"/>
      <c r="L253" s="436"/>
      <c r="M253" s="437"/>
      <c r="N253" s="418">
        <f>SUM(J253:M253)</f>
        <v>0</v>
      </c>
      <c r="O253" s="2"/>
      <c r="P253" s="2"/>
      <c r="Q253" s="2"/>
      <c r="R253" s="2"/>
    </row>
    <row r="254" spans="1:18" ht="14.95" customHeight="1" thickBot="1" x14ac:dyDescent="0.3">
      <c r="A254" s="132"/>
      <c r="B254" s="131"/>
      <c r="C254" s="71"/>
      <c r="D254" s="432"/>
      <c r="E254" s="433"/>
      <c r="F254" s="434"/>
      <c r="G254" s="71">
        <f>SUM(C254:F254)</f>
        <v>0</v>
      </c>
      <c r="H254" s="416"/>
      <c r="I254" s="417"/>
      <c r="J254" s="418"/>
      <c r="K254" s="435"/>
      <c r="L254" s="436"/>
      <c r="M254" s="437"/>
      <c r="N254" s="418">
        <f>SUM(J254:M254)</f>
        <v>0</v>
      </c>
      <c r="O254" s="2"/>
      <c r="P254" s="2"/>
      <c r="Q254" s="2"/>
      <c r="R254" s="2"/>
    </row>
    <row r="255" spans="1:18" ht="14.95" customHeight="1" thickBot="1" x14ac:dyDescent="0.3">
      <c r="A255" s="132"/>
      <c r="B255" s="131"/>
      <c r="C255" s="71"/>
      <c r="D255" s="432"/>
      <c r="E255" s="433"/>
      <c r="F255" s="434"/>
      <c r="G255" s="71">
        <f>SUM(C255:F255)</f>
        <v>0</v>
      </c>
      <c r="H255" s="416"/>
      <c r="I255" s="417"/>
      <c r="J255" s="418"/>
      <c r="K255" s="435"/>
      <c r="L255" s="436"/>
      <c r="M255" s="437"/>
      <c r="N255" s="418">
        <f>SUM(J255:M255)</f>
        <v>0</v>
      </c>
      <c r="O255" s="2"/>
      <c r="P255" s="2"/>
      <c r="Q255" s="2"/>
      <c r="R255" s="2"/>
    </row>
    <row r="256" spans="1:18" ht="14.95" customHeight="1" thickBot="1" x14ac:dyDescent="0.3">
      <c r="A256" s="132"/>
      <c r="B256" s="131"/>
      <c r="C256" s="71"/>
      <c r="D256" s="432"/>
      <c r="E256" s="433"/>
      <c r="F256" s="434"/>
      <c r="G256" s="71">
        <f>SUM(C256:F256)</f>
        <v>0</v>
      </c>
      <c r="H256" s="416"/>
      <c r="I256" s="417"/>
      <c r="J256" s="418"/>
      <c r="K256" s="435"/>
      <c r="L256" s="436"/>
      <c r="M256" s="437"/>
      <c r="N256" s="418">
        <f>SUM(J256:M256)</f>
        <v>0</v>
      </c>
      <c r="O256" s="2"/>
      <c r="P256" s="2"/>
      <c r="Q256" s="2"/>
      <c r="R256" s="2"/>
    </row>
    <row r="257" spans="1:18" ht="14.95" customHeight="1" thickBot="1" x14ac:dyDescent="0.3">
      <c r="A257" s="132"/>
      <c r="B257" s="131"/>
      <c r="C257" s="71"/>
      <c r="D257" s="432"/>
      <c r="E257" s="433"/>
      <c r="F257" s="434"/>
      <c r="G257" s="71">
        <f>SUM(C257:F257)</f>
        <v>0</v>
      </c>
      <c r="H257" s="416"/>
      <c r="I257" s="417"/>
      <c r="J257" s="418"/>
      <c r="K257" s="435"/>
      <c r="L257" s="436"/>
      <c r="M257" s="437"/>
      <c r="N257" s="418">
        <f>SUM(J257:M257)</f>
        <v>0</v>
      </c>
      <c r="O257" s="2"/>
      <c r="P257" s="2"/>
      <c r="Q257" s="2"/>
      <c r="R257" s="2"/>
    </row>
    <row r="258" spans="1:18" ht="14.95" customHeight="1" thickBot="1" x14ac:dyDescent="0.3">
      <c r="A258" s="132"/>
      <c r="B258" s="131"/>
      <c r="C258" s="71"/>
      <c r="D258" s="432"/>
      <c r="E258" s="433"/>
      <c r="F258" s="434"/>
      <c r="G258" s="71">
        <f>SUM(C258:F258)</f>
        <v>0</v>
      </c>
      <c r="H258" s="416"/>
      <c r="I258" s="417"/>
      <c r="J258" s="418"/>
      <c r="K258" s="435"/>
      <c r="L258" s="436"/>
      <c r="M258" s="437"/>
      <c r="N258" s="418">
        <f>SUM(J258:M258)</f>
        <v>0</v>
      </c>
      <c r="O258" s="2"/>
      <c r="P258" s="2"/>
      <c r="Q258" s="2"/>
      <c r="R258" s="2"/>
    </row>
    <row r="259" spans="1:18" ht="14.95" customHeight="1" thickBot="1" x14ac:dyDescent="0.3">
      <c r="A259" s="132"/>
      <c r="B259" s="131"/>
      <c r="C259" s="71"/>
      <c r="D259" s="432"/>
      <c r="E259" s="433"/>
      <c r="F259" s="434"/>
      <c r="G259" s="71">
        <f>SUM(C259:F259)</f>
        <v>0</v>
      </c>
      <c r="H259" s="416"/>
      <c r="I259" s="417"/>
      <c r="J259" s="418"/>
      <c r="K259" s="435"/>
      <c r="L259" s="436"/>
      <c r="M259" s="437"/>
      <c r="N259" s="418">
        <f>SUM(J259:M259)</f>
        <v>0</v>
      </c>
      <c r="O259" s="2"/>
      <c r="P259" s="2"/>
      <c r="Q259" s="2"/>
      <c r="R259" s="2"/>
    </row>
    <row r="260" spans="1:18" ht="14.95" customHeight="1" thickBot="1" x14ac:dyDescent="0.3">
      <c r="A260" s="132"/>
      <c r="B260" s="131"/>
      <c r="C260" s="71"/>
      <c r="D260" s="432"/>
      <c r="E260" s="433"/>
      <c r="F260" s="434"/>
      <c r="G260" s="71">
        <f>SUM(C260:F260)</f>
        <v>0</v>
      </c>
      <c r="H260" s="416"/>
      <c r="I260" s="417"/>
      <c r="J260" s="418"/>
      <c r="K260" s="435"/>
      <c r="L260" s="436"/>
      <c r="M260" s="437"/>
      <c r="N260" s="418">
        <f>SUM(J260:M260)</f>
        <v>0</v>
      </c>
      <c r="O260" s="2"/>
      <c r="P260" s="2"/>
      <c r="Q260" s="2"/>
      <c r="R260" s="2"/>
    </row>
    <row r="261" spans="1:18" ht="14.95" customHeight="1" thickBot="1" x14ac:dyDescent="0.3">
      <c r="A261" s="132"/>
      <c r="B261" s="131"/>
      <c r="C261" s="71"/>
      <c r="D261" s="432"/>
      <c r="E261" s="433"/>
      <c r="F261" s="434"/>
      <c r="G261" s="71">
        <f>SUM(C261:F261)</f>
        <v>0</v>
      </c>
      <c r="H261" s="416"/>
      <c r="I261" s="417"/>
      <c r="J261" s="418"/>
      <c r="K261" s="435"/>
      <c r="L261" s="436"/>
      <c r="M261" s="437"/>
      <c r="N261" s="418">
        <f>SUM(J261:M261)</f>
        <v>0</v>
      </c>
      <c r="O261" s="2"/>
      <c r="P261" s="2"/>
      <c r="Q261" s="2"/>
      <c r="R261" s="2"/>
    </row>
    <row r="262" spans="1:18" ht="14.95" customHeight="1" thickBot="1" x14ac:dyDescent="0.3">
      <c r="A262" s="132"/>
      <c r="B262" s="131"/>
      <c r="C262" s="71"/>
      <c r="D262" s="432"/>
      <c r="E262" s="433"/>
      <c r="F262" s="434"/>
      <c r="G262" s="71">
        <f>SUM(C262:F262)</f>
        <v>0</v>
      </c>
      <c r="H262" s="416"/>
      <c r="I262" s="417"/>
      <c r="J262" s="418"/>
      <c r="K262" s="435"/>
      <c r="L262" s="436"/>
      <c r="M262" s="437"/>
      <c r="N262" s="418">
        <f>SUM(J262:M262)</f>
        <v>0</v>
      </c>
      <c r="O262" s="2"/>
      <c r="P262" s="2"/>
      <c r="Q262" s="2"/>
      <c r="R262" s="2"/>
    </row>
    <row r="263" spans="1:18" ht="14.95" customHeight="1" thickBot="1" x14ac:dyDescent="0.3">
      <c r="A263" s="132"/>
      <c r="B263" s="131"/>
      <c r="C263" s="71"/>
      <c r="D263" s="432"/>
      <c r="E263" s="433"/>
      <c r="F263" s="434"/>
      <c r="G263" s="71">
        <f>SUM(C263:F263)</f>
        <v>0</v>
      </c>
      <c r="H263" s="416"/>
      <c r="I263" s="417"/>
      <c r="J263" s="418"/>
      <c r="K263" s="435"/>
      <c r="L263" s="436"/>
      <c r="M263" s="437"/>
      <c r="N263" s="418">
        <f>SUM(J263:M263)</f>
        <v>0</v>
      </c>
      <c r="O263" s="2"/>
      <c r="P263" s="2"/>
      <c r="Q263" s="2"/>
      <c r="R263" s="2"/>
    </row>
    <row r="264" spans="1:18" ht="14.95" customHeight="1" thickBot="1" x14ac:dyDescent="0.3">
      <c r="A264" s="132"/>
      <c r="B264" s="131"/>
      <c r="C264" s="71"/>
      <c r="D264" s="432"/>
      <c r="E264" s="433"/>
      <c r="F264" s="434"/>
      <c r="G264" s="71">
        <f>SUM(C264:F264)</f>
        <v>0</v>
      </c>
      <c r="H264" s="416"/>
      <c r="I264" s="417"/>
      <c r="J264" s="418"/>
      <c r="K264" s="435"/>
      <c r="L264" s="436"/>
      <c r="M264" s="437"/>
      <c r="N264" s="418">
        <f>SUM(J264:M264)</f>
        <v>0</v>
      </c>
      <c r="O264" s="2"/>
      <c r="P264" s="2"/>
      <c r="Q264" s="2"/>
      <c r="R264" s="2"/>
    </row>
    <row r="265" spans="1:18" ht="14.95" customHeight="1" thickBot="1" x14ac:dyDescent="0.3">
      <c r="A265" s="132"/>
      <c r="B265" s="131"/>
      <c r="C265" s="71"/>
      <c r="D265" s="432"/>
      <c r="E265" s="433"/>
      <c r="F265" s="434"/>
      <c r="G265" s="71">
        <f>SUM(C265:F265)</f>
        <v>0</v>
      </c>
      <c r="H265" s="416"/>
      <c r="I265" s="417"/>
      <c r="J265" s="418"/>
      <c r="K265" s="435"/>
      <c r="L265" s="436"/>
      <c r="M265" s="437"/>
      <c r="N265" s="418">
        <f>SUM(J265:M265)</f>
        <v>0</v>
      </c>
      <c r="O265" s="2"/>
      <c r="P265" s="2"/>
      <c r="Q265" s="2"/>
      <c r="R265" s="2"/>
    </row>
    <row r="266" spans="1:18" ht="14.95" customHeight="1" thickBot="1" x14ac:dyDescent="0.3">
      <c r="A266" s="132"/>
      <c r="B266" s="131"/>
      <c r="C266" s="71"/>
      <c r="D266" s="432"/>
      <c r="E266" s="433"/>
      <c r="F266" s="434"/>
      <c r="G266" s="71">
        <f>SUM(C266:F266)</f>
        <v>0</v>
      </c>
      <c r="H266" s="416"/>
      <c r="I266" s="417"/>
      <c r="J266" s="418"/>
      <c r="K266" s="435"/>
      <c r="L266" s="436"/>
      <c r="M266" s="437"/>
      <c r="N266" s="418">
        <f>SUM(J266:M266)</f>
        <v>0</v>
      </c>
      <c r="O266" s="2"/>
      <c r="P266" s="2"/>
      <c r="Q266" s="2"/>
      <c r="R266" s="2"/>
    </row>
    <row r="267" spans="1:18" ht="14.95" customHeight="1" thickBot="1" x14ac:dyDescent="0.3">
      <c r="A267" s="132"/>
      <c r="B267" s="131"/>
      <c r="C267" s="71"/>
      <c r="D267" s="432"/>
      <c r="E267" s="433"/>
      <c r="F267" s="434"/>
      <c r="G267" s="71">
        <f>SUM(C267:F267)</f>
        <v>0</v>
      </c>
      <c r="H267" s="416"/>
      <c r="I267" s="417"/>
      <c r="J267" s="418"/>
      <c r="K267" s="435"/>
      <c r="L267" s="436"/>
      <c r="M267" s="437"/>
      <c r="N267" s="418">
        <f>SUM(J267:M267)</f>
        <v>0</v>
      </c>
      <c r="O267" s="2"/>
      <c r="P267" s="2"/>
      <c r="Q267" s="2"/>
      <c r="R267" s="2"/>
    </row>
    <row r="268" spans="1:18" ht="14.95" customHeight="1" thickBot="1" x14ac:dyDescent="0.3">
      <c r="A268" s="132"/>
      <c r="B268" s="131"/>
      <c r="C268" s="71"/>
      <c r="D268" s="432"/>
      <c r="E268" s="433"/>
      <c r="F268" s="434"/>
      <c r="G268" s="71">
        <f>SUM(C268:F268)</f>
        <v>0</v>
      </c>
      <c r="H268" s="416"/>
      <c r="I268" s="417"/>
      <c r="J268" s="418"/>
      <c r="K268" s="435"/>
      <c r="L268" s="436"/>
      <c r="M268" s="437"/>
      <c r="N268" s="418">
        <f>SUM(J268:M268)</f>
        <v>0</v>
      </c>
      <c r="O268" s="2"/>
      <c r="P268" s="2"/>
      <c r="Q268" s="2"/>
      <c r="R268" s="2"/>
    </row>
    <row r="269" spans="1:18" ht="14.95" customHeight="1" thickBot="1" x14ac:dyDescent="0.3">
      <c r="A269" s="132"/>
      <c r="B269" s="131"/>
      <c r="C269" s="71"/>
      <c r="D269" s="432"/>
      <c r="E269" s="433"/>
      <c r="F269" s="434"/>
      <c r="G269" s="71">
        <f>SUM(C269:F269)</f>
        <v>0</v>
      </c>
      <c r="H269" s="416"/>
      <c r="I269" s="417"/>
      <c r="J269" s="418"/>
      <c r="K269" s="435"/>
      <c r="L269" s="436"/>
      <c r="M269" s="437"/>
      <c r="N269" s="418">
        <f>SUM(J269:M269)</f>
        <v>0</v>
      </c>
      <c r="O269" s="2"/>
      <c r="P269" s="2"/>
      <c r="Q269" s="2"/>
      <c r="R269" s="2"/>
    </row>
    <row r="270" spans="1:18" ht="14.95" customHeight="1" thickBot="1" x14ac:dyDescent="0.3">
      <c r="A270" s="132"/>
      <c r="B270" s="131"/>
      <c r="C270" s="71"/>
      <c r="D270" s="432"/>
      <c r="E270" s="433"/>
      <c r="F270" s="434"/>
      <c r="G270" s="71">
        <f>SUM(C270:F270)</f>
        <v>0</v>
      </c>
      <c r="H270" s="416"/>
      <c r="I270" s="417"/>
      <c r="J270" s="418"/>
      <c r="K270" s="435"/>
      <c r="L270" s="436"/>
      <c r="M270" s="437"/>
      <c r="N270" s="418">
        <f>SUM(J270:M270)</f>
        <v>0</v>
      </c>
      <c r="O270" s="2"/>
      <c r="P270" s="2"/>
      <c r="Q270" s="2"/>
      <c r="R270" s="2"/>
    </row>
    <row r="271" spans="1:18" ht="14.95" customHeight="1" thickBot="1" x14ac:dyDescent="0.3">
      <c r="A271" s="132"/>
      <c r="B271" s="131"/>
      <c r="C271" s="71"/>
      <c r="D271" s="432"/>
      <c r="E271" s="433"/>
      <c r="F271" s="434"/>
      <c r="G271" s="71">
        <f>SUM(C271:F271)</f>
        <v>0</v>
      </c>
      <c r="H271" s="416"/>
      <c r="I271" s="417"/>
      <c r="J271" s="418"/>
      <c r="K271" s="435"/>
      <c r="L271" s="436"/>
      <c r="M271" s="437"/>
      <c r="N271" s="418">
        <f>SUM(J271:M271)</f>
        <v>0</v>
      </c>
      <c r="O271" s="2"/>
      <c r="P271" s="2"/>
      <c r="Q271" s="2"/>
      <c r="R271" s="2"/>
    </row>
    <row r="272" spans="1:18" ht="14.95" customHeight="1" thickBot="1" x14ac:dyDescent="0.3">
      <c r="A272" s="132"/>
      <c r="B272" s="131"/>
      <c r="C272" s="71"/>
      <c r="D272" s="432"/>
      <c r="E272" s="433"/>
      <c r="F272" s="434"/>
      <c r="G272" s="71">
        <f>SUM(C272:F272)</f>
        <v>0</v>
      </c>
      <c r="H272" s="416"/>
      <c r="I272" s="417"/>
      <c r="J272" s="418"/>
      <c r="K272" s="435"/>
      <c r="L272" s="436"/>
      <c r="M272" s="437"/>
      <c r="N272" s="418">
        <f>SUM(J272:M272)</f>
        <v>0</v>
      </c>
      <c r="O272" s="2"/>
      <c r="P272" s="2"/>
      <c r="Q272" s="2"/>
      <c r="R272" s="2"/>
    </row>
    <row r="273" spans="1:18" ht="14.95" customHeight="1" thickBot="1" x14ac:dyDescent="0.3">
      <c r="A273" s="132"/>
      <c r="B273" s="131"/>
      <c r="C273" s="71"/>
      <c r="D273" s="432"/>
      <c r="E273" s="433"/>
      <c r="F273" s="434"/>
      <c r="G273" s="71">
        <f>SUM(C273:F273)</f>
        <v>0</v>
      </c>
      <c r="H273" s="416"/>
      <c r="I273" s="417"/>
      <c r="J273" s="418"/>
      <c r="K273" s="435"/>
      <c r="L273" s="436"/>
      <c r="M273" s="437"/>
      <c r="N273" s="418">
        <f>SUM(J273:M273)</f>
        <v>0</v>
      </c>
      <c r="O273" s="2"/>
      <c r="P273" s="2"/>
      <c r="Q273" s="2"/>
      <c r="R273" s="2"/>
    </row>
    <row r="274" spans="1:18" ht="14.95" customHeight="1" thickBot="1" x14ac:dyDescent="0.3">
      <c r="A274" s="132"/>
      <c r="B274" s="131"/>
      <c r="C274" s="71"/>
      <c r="D274" s="432"/>
      <c r="E274" s="433"/>
      <c r="F274" s="434"/>
      <c r="G274" s="71">
        <f>SUM(C274:F274)</f>
        <v>0</v>
      </c>
      <c r="H274" s="416"/>
      <c r="I274" s="417"/>
      <c r="J274" s="418"/>
      <c r="K274" s="435"/>
      <c r="L274" s="436"/>
      <c r="M274" s="437"/>
      <c r="N274" s="418">
        <f>SUM(J274:M274)</f>
        <v>0</v>
      </c>
      <c r="O274" s="2"/>
      <c r="P274" s="2"/>
      <c r="Q274" s="2"/>
      <c r="R274" s="2"/>
    </row>
    <row r="275" spans="1:18" ht="14.95" customHeight="1" thickBot="1" x14ac:dyDescent="0.3">
      <c r="A275" s="132"/>
      <c r="B275" s="131"/>
      <c r="C275" s="71"/>
      <c r="D275" s="432"/>
      <c r="E275" s="433"/>
      <c r="F275" s="434"/>
      <c r="G275" s="71">
        <f>SUM(C275:F275)</f>
        <v>0</v>
      </c>
      <c r="H275" s="416"/>
      <c r="I275" s="417"/>
      <c r="J275" s="418"/>
      <c r="K275" s="435"/>
      <c r="L275" s="436"/>
      <c r="M275" s="437"/>
      <c r="N275" s="418">
        <f>SUM(J275:M275)</f>
        <v>0</v>
      </c>
      <c r="O275" s="2"/>
      <c r="P275" s="2"/>
      <c r="Q275" s="2"/>
      <c r="R275" s="2"/>
    </row>
    <row r="276" spans="1:18" ht="14.95" customHeight="1" thickBot="1" x14ac:dyDescent="0.3">
      <c r="A276" s="132"/>
      <c r="B276" s="131"/>
      <c r="C276" s="71"/>
      <c r="D276" s="432"/>
      <c r="E276" s="433"/>
      <c r="F276" s="434"/>
      <c r="G276" s="71">
        <f>SUM(C276:F276)</f>
        <v>0</v>
      </c>
      <c r="H276" s="416"/>
      <c r="I276" s="417"/>
      <c r="J276" s="418"/>
      <c r="K276" s="435"/>
      <c r="L276" s="436"/>
      <c r="M276" s="437"/>
      <c r="N276" s="418">
        <f>SUM(J276:M276)</f>
        <v>0</v>
      </c>
      <c r="O276" s="2"/>
      <c r="P276" s="2"/>
      <c r="Q276" s="2"/>
      <c r="R276" s="2"/>
    </row>
    <row r="277" spans="1:18" ht="14.95" customHeight="1" thickBot="1" x14ac:dyDescent="0.3">
      <c r="A277" s="132"/>
      <c r="B277" s="131"/>
      <c r="C277" s="71"/>
      <c r="D277" s="432"/>
      <c r="E277" s="433"/>
      <c r="F277" s="434"/>
      <c r="G277" s="71">
        <f>SUM(C277:F277)</f>
        <v>0</v>
      </c>
      <c r="H277" s="416"/>
      <c r="I277" s="417"/>
      <c r="J277" s="418"/>
      <c r="K277" s="435"/>
      <c r="L277" s="436"/>
      <c r="M277" s="437"/>
      <c r="N277" s="418">
        <f>SUM(J277:M277)</f>
        <v>0</v>
      </c>
      <c r="O277" s="2"/>
      <c r="P277" s="2"/>
      <c r="Q277" s="2"/>
      <c r="R277" s="2"/>
    </row>
    <row r="278" spans="1:18" ht="14.95" customHeight="1" thickBot="1" x14ac:dyDescent="0.3">
      <c r="A278" s="132"/>
      <c r="B278" s="131"/>
      <c r="C278" s="71"/>
      <c r="D278" s="432"/>
      <c r="E278" s="433"/>
      <c r="F278" s="434"/>
      <c r="G278" s="71">
        <f>SUM(C278:F278)</f>
        <v>0</v>
      </c>
      <c r="H278" s="416"/>
      <c r="I278" s="417"/>
      <c r="J278" s="418"/>
      <c r="K278" s="435"/>
      <c r="L278" s="436"/>
      <c r="M278" s="437"/>
      <c r="N278" s="418">
        <f>SUM(J278:M278)</f>
        <v>0</v>
      </c>
      <c r="O278" s="2"/>
      <c r="P278" s="2"/>
      <c r="Q278" s="2"/>
      <c r="R278" s="2"/>
    </row>
    <row r="279" spans="1:18" ht="14.95" customHeight="1" thickBot="1" x14ac:dyDescent="0.3">
      <c r="A279" s="132"/>
      <c r="B279" s="131"/>
      <c r="C279" s="71"/>
      <c r="D279" s="432"/>
      <c r="E279" s="433"/>
      <c r="F279" s="434"/>
      <c r="G279" s="71">
        <f>SUM(C279:F279)</f>
        <v>0</v>
      </c>
      <c r="H279" s="416"/>
      <c r="I279" s="417"/>
      <c r="J279" s="418"/>
      <c r="K279" s="435"/>
      <c r="L279" s="436"/>
      <c r="M279" s="437"/>
      <c r="N279" s="418">
        <f>SUM(J279:M279)</f>
        <v>0</v>
      </c>
      <c r="O279" s="2"/>
      <c r="P279" s="2"/>
      <c r="Q279" s="2"/>
      <c r="R279" s="2"/>
    </row>
    <row r="280" spans="1:18" ht="14.95" customHeight="1" thickBot="1" x14ac:dyDescent="0.3">
      <c r="A280" s="132"/>
      <c r="B280" s="131"/>
      <c r="C280" s="71"/>
      <c r="D280" s="432"/>
      <c r="E280" s="433"/>
      <c r="F280" s="434"/>
      <c r="G280" s="71">
        <f>SUM(C280:F280)</f>
        <v>0</v>
      </c>
      <c r="H280" s="416"/>
      <c r="I280" s="417"/>
      <c r="J280" s="418"/>
      <c r="K280" s="435"/>
      <c r="L280" s="436"/>
      <c r="M280" s="437"/>
      <c r="N280" s="418">
        <f>SUM(J280:M280)</f>
        <v>0</v>
      </c>
      <c r="O280" s="2"/>
      <c r="P280" s="2"/>
      <c r="Q280" s="2"/>
      <c r="R280" s="2"/>
    </row>
    <row r="281" spans="1:18" ht="14.95" customHeight="1" thickBot="1" x14ac:dyDescent="0.3">
      <c r="A281" s="132"/>
      <c r="B281" s="131"/>
      <c r="C281" s="71"/>
      <c r="D281" s="432"/>
      <c r="E281" s="433"/>
      <c r="F281" s="434"/>
      <c r="G281" s="71">
        <f>SUM(C281:F281)</f>
        <v>0</v>
      </c>
      <c r="H281" s="416"/>
      <c r="I281" s="417"/>
      <c r="J281" s="418"/>
      <c r="K281" s="435"/>
      <c r="L281" s="436"/>
      <c r="M281" s="437"/>
      <c r="N281" s="418">
        <f>SUM(J281:M281)</f>
        <v>0</v>
      </c>
      <c r="O281" s="2"/>
      <c r="P281" s="2"/>
      <c r="Q281" s="2"/>
      <c r="R281" s="2"/>
    </row>
    <row r="282" spans="1:18" ht="14.95" customHeight="1" thickBot="1" x14ac:dyDescent="0.3">
      <c r="A282" s="132"/>
      <c r="B282" s="131"/>
      <c r="C282" s="71"/>
      <c r="D282" s="432"/>
      <c r="E282" s="433"/>
      <c r="F282" s="434"/>
      <c r="G282" s="71">
        <f>SUM(C282:F282)</f>
        <v>0</v>
      </c>
      <c r="H282" s="416"/>
      <c r="I282" s="417"/>
      <c r="J282" s="418"/>
      <c r="K282" s="435"/>
      <c r="L282" s="436"/>
      <c r="M282" s="437"/>
      <c r="N282" s="418">
        <f>SUM(J282:M282)</f>
        <v>0</v>
      </c>
      <c r="O282" s="2"/>
      <c r="P282" s="2"/>
      <c r="Q282" s="2"/>
      <c r="R282" s="2"/>
    </row>
    <row r="283" spans="1:18" ht="14.95" customHeight="1" thickBot="1" x14ac:dyDescent="0.3">
      <c r="A283" s="132"/>
      <c r="B283" s="131"/>
      <c r="C283" s="71"/>
      <c r="D283" s="432"/>
      <c r="E283" s="433"/>
      <c r="F283" s="434"/>
      <c r="G283" s="71">
        <f>SUM(C283:F283)</f>
        <v>0</v>
      </c>
      <c r="H283" s="416"/>
      <c r="I283" s="417"/>
      <c r="J283" s="418"/>
      <c r="K283" s="435"/>
      <c r="L283" s="436"/>
      <c r="M283" s="437"/>
      <c r="N283" s="418">
        <f>SUM(J283:M283)</f>
        <v>0</v>
      </c>
      <c r="O283" s="2"/>
      <c r="P283" s="2"/>
      <c r="Q283" s="2"/>
      <c r="R283" s="2"/>
    </row>
    <row r="284" spans="1:18" ht="14.95" customHeight="1" thickBot="1" x14ac:dyDescent="0.3">
      <c r="A284" s="132"/>
      <c r="B284" s="131"/>
      <c r="C284" s="71"/>
      <c r="D284" s="432"/>
      <c r="E284" s="433"/>
      <c r="F284" s="434"/>
      <c r="G284" s="71">
        <f>SUM(C284:F284)</f>
        <v>0</v>
      </c>
      <c r="H284" s="416"/>
      <c r="I284" s="417"/>
      <c r="J284" s="418"/>
      <c r="K284" s="435"/>
      <c r="L284" s="436"/>
      <c r="M284" s="437"/>
      <c r="N284" s="418">
        <f>SUM(J284:M284)</f>
        <v>0</v>
      </c>
      <c r="O284" s="2"/>
      <c r="P284" s="2"/>
      <c r="Q284" s="2"/>
      <c r="R284" s="2"/>
    </row>
    <row r="285" spans="1:18" ht="14.95" customHeight="1" thickBot="1" x14ac:dyDescent="0.3">
      <c r="A285" s="132"/>
      <c r="B285" s="131"/>
      <c r="C285" s="71"/>
      <c r="D285" s="432"/>
      <c r="E285" s="433"/>
      <c r="F285" s="434"/>
      <c r="G285" s="71">
        <f>SUM(C285:F285)</f>
        <v>0</v>
      </c>
      <c r="H285" s="416"/>
      <c r="I285" s="417"/>
      <c r="J285" s="418"/>
      <c r="K285" s="435"/>
      <c r="L285" s="436"/>
      <c r="M285" s="437"/>
      <c r="N285" s="418">
        <f>SUM(J285:M285)</f>
        <v>0</v>
      </c>
      <c r="O285" s="2"/>
      <c r="P285" s="2"/>
      <c r="Q285" s="2"/>
      <c r="R285" s="2"/>
    </row>
    <row r="286" spans="1:18" ht="14.95" customHeight="1" thickBot="1" x14ac:dyDescent="0.3">
      <c r="A286" s="132"/>
      <c r="B286" s="131"/>
      <c r="C286" s="71"/>
      <c r="D286" s="432"/>
      <c r="E286" s="433"/>
      <c r="F286" s="434"/>
      <c r="G286" s="71">
        <f>SUM(C286:F286)</f>
        <v>0</v>
      </c>
      <c r="H286" s="416"/>
      <c r="I286" s="417"/>
      <c r="J286" s="418"/>
      <c r="K286" s="435"/>
      <c r="L286" s="436"/>
      <c r="M286" s="437"/>
      <c r="N286" s="418">
        <f>SUM(J286:M286)</f>
        <v>0</v>
      </c>
      <c r="O286" s="2"/>
      <c r="P286" s="2"/>
      <c r="Q286" s="2"/>
      <c r="R286" s="2"/>
    </row>
    <row r="287" spans="1:18" ht="14.95" customHeight="1" thickBot="1" x14ac:dyDescent="0.3">
      <c r="A287" s="132"/>
      <c r="B287" s="131"/>
      <c r="C287" s="71"/>
      <c r="D287" s="432"/>
      <c r="E287" s="433"/>
      <c r="F287" s="434"/>
      <c r="G287" s="71">
        <f>SUM(C287:F287)</f>
        <v>0</v>
      </c>
      <c r="H287" s="416"/>
      <c r="I287" s="417"/>
      <c r="J287" s="418"/>
      <c r="K287" s="435"/>
      <c r="L287" s="436"/>
      <c r="M287" s="437"/>
      <c r="N287" s="418">
        <f>SUM(J287:M287)</f>
        <v>0</v>
      </c>
      <c r="O287" s="2"/>
      <c r="P287" s="2"/>
      <c r="Q287" s="2"/>
      <c r="R287" s="2"/>
    </row>
    <row r="288" spans="1:18" ht="14.95" customHeight="1" thickBot="1" x14ac:dyDescent="0.3">
      <c r="A288" s="132"/>
      <c r="B288" s="131"/>
      <c r="C288" s="71"/>
      <c r="D288" s="432"/>
      <c r="E288" s="433"/>
      <c r="F288" s="434"/>
      <c r="G288" s="71">
        <f>SUM(C288:F288)</f>
        <v>0</v>
      </c>
      <c r="H288" s="416"/>
      <c r="I288" s="417"/>
      <c r="J288" s="418"/>
      <c r="K288" s="435"/>
      <c r="L288" s="436"/>
      <c r="M288" s="437"/>
      <c r="N288" s="418">
        <f>SUM(J288:M288)</f>
        <v>0</v>
      </c>
      <c r="O288" s="2"/>
      <c r="P288" s="2"/>
      <c r="Q288" s="2"/>
      <c r="R288" s="2"/>
    </row>
    <row r="289" spans="1:18" ht="14.95" customHeight="1" thickBot="1" x14ac:dyDescent="0.3">
      <c r="A289" s="132"/>
      <c r="B289" s="131"/>
      <c r="C289" s="71"/>
      <c r="D289" s="432"/>
      <c r="E289" s="433"/>
      <c r="F289" s="434"/>
      <c r="G289" s="71">
        <f>SUM(C289:F289)</f>
        <v>0</v>
      </c>
      <c r="H289" s="416"/>
      <c r="I289" s="417"/>
      <c r="J289" s="418"/>
      <c r="K289" s="435"/>
      <c r="L289" s="436"/>
      <c r="M289" s="437"/>
      <c r="N289" s="418">
        <f>SUM(J289:M289)</f>
        <v>0</v>
      </c>
      <c r="O289" s="2"/>
      <c r="P289" s="2"/>
      <c r="Q289" s="2"/>
      <c r="R289" s="2"/>
    </row>
    <row r="290" spans="1:18" ht="14.95" customHeight="1" thickBot="1" x14ac:dyDescent="0.3">
      <c r="A290" s="132"/>
      <c r="B290" s="131"/>
      <c r="C290" s="71"/>
      <c r="D290" s="432"/>
      <c r="E290" s="433"/>
      <c r="F290" s="434"/>
      <c r="G290" s="71">
        <f>SUM(C290:F290)</f>
        <v>0</v>
      </c>
      <c r="H290" s="416"/>
      <c r="I290" s="417"/>
      <c r="J290" s="418"/>
      <c r="K290" s="435"/>
      <c r="L290" s="436"/>
      <c r="M290" s="437"/>
      <c r="N290" s="418">
        <f>SUM(J290:M290)</f>
        <v>0</v>
      </c>
      <c r="O290" s="2"/>
      <c r="P290" s="2"/>
      <c r="Q290" s="2"/>
      <c r="R290" s="2"/>
    </row>
    <row r="291" spans="1:18" ht="14.95" customHeight="1" thickBot="1" x14ac:dyDescent="0.3">
      <c r="A291" s="132"/>
      <c r="B291" s="131"/>
      <c r="C291" s="71"/>
      <c r="D291" s="432"/>
      <c r="E291" s="433"/>
      <c r="F291" s="434"/>
      <c r="G291" s="71">
        <f>SUM(C291:F291)</f>
        <v>0</v>
      </c>
      <c r="H291" s="416"/>
      <c r="I291" s="417"/>
      <c r="J291" s="418"/>
      <c r="K291" s="435"/>
      <c r="L291" s="436"/>
      <c r="M291" s="437"/>
      <c r="N291" s="418">
        <f>SUM(J291:M291)</f>
        <v>0</v>
      </c>
      <c r="O291" s="2"/>
      <c r="P291" s="2"/>
      <c r="Q291" s="2"/>
      <c r="R291" s="2"/>
    </row>
    <row r="292" spans="1:18" ht="14.95" customHeight="1" thickBot="1" x14ac:dyDescent="0.3">
      <c r="A292" s="132"/>
      <c r="B292" s="131"/>
      <c r="C292" s="71"/>
      <c r="D292" s="432"/>
      <c r="E292" s="433"/>
      <c r="F292" s="434"/>
      <c r="G292" s="71">
        <f>SUM(C292:F292)</f>
        <v>0</v>
      </c>
      <c r="H292" s="416"/>
      <c r="I292" s="417"/>
      <c r="J292" s="418"/>
      <c r="K292" s="435"/>
      <c r="L292" s="436"/>
      <c r="M292" s="437"/>
      <c r="N292" s="418">
        <f>SUM(J292:M292)</f>
        <v>0</v>
      </c>
      <c r="O292" s="2"/>
      <c r="P292" s="2"/>
      <c r="Q292" s="2"/>
      <c r="R292" s="2"/>
    </row>
    <row r="293" spans="1:18" ht="14.95" customHeight="1" thickBot="1" x14ac:dyDescent="0.3">
      <c r="A293" s="132"/>
      <c r="B293" s="131"/>
      <c r="C293" s="71"/>
      <c r="D293" s="432"/>
      <c r="E293" s="433"/>
      <c r="F293" s="434"/>
      <c r="G293" s="71">
        <f>SUM(C293:F293)</f>
        <v>0</v>
      </c>
      <c r="H293" s="416"/>
      <c r="I293" s="417"/>
      <c r="J293" s="418"/>
      <c r="K293" s="435"/>
      <c r="L293" s="436"/>
      <c r="M293" s="437"/>
      <c r="N293" s="418">
        <f>SUM(J293:M293)</f>
        <v>0</v>
      </c>
      <c r="O293" s="2"/>
      <c r="P293" s="2"/>
      <c r="Q293" s="2"/>
      <c r="R293" s="2"/>
    </row>
    <row r="294" spans="1:18" ht="14.95" customHeight="1" thickBot="1" x14ac:dyDescent="0.3">
      <c r="A294" s="132"/>
      <c r="B294" s="131"/>
      <c r="C294" s="71"/>
      <c r="D294" s="432"/>
      <c r="E294" s="433"/>
      <c r="F294" s="434"/>
      <c r="G294" s="71">
        <f>SUM(C294:F294)</f>
        <v>0</v>
      </c>
      <c r="H294" s="416"/>
      <c r="I294" s="417"/>
      <c r="J294" s="418"/>
      <c r="K294" s="435"/>
      <c r="L294" s="436"/>
      <c r="M294" s="437"/>
      <c r="N294" s="418">
        <f>SUM(J294:M294)</f>
        <v>0</v>
      </c>
      <c r="O294" s="2"/>
      <c r="P294" s="2"/>
      <c r="Q294" s="2"/>
      <c r="R294" s="2"/>
    </row>
    <row r="295" spans="1:18" ht="14.95" customHeight="1" thickBot="1" x14ac:dyDescent="0.3">
      <c r="A295" s="132"/>
      <c r="B295" s="131"/>
      <c r="C295" s="71"/>
      <c r="D295" s="432"/>
      <c r="E295" s="433"/>
      <c r="F295" s="434"/>
      <c r="G295" s="71">
        <f>SUM(C295:F295)</f>
        <v>0</v>
      </c>
      <c r="H295" s="416"/>
      <c r="I295" s="417"/>
      <c r="J295" s="418"/>
      <c r="K295" s="435"/>
      <c r="L295" s="436"/>
      <c r="M295" s="437"/>
      <c r="N295" s="418">
        <f>SUM(J295:M295)</f>
        <v>0</v>
      </c>
      <c r="O295" s="2"/>
      <c r="P295" s="2"/>
      <c r="Q295" s="2"/>
      <c r="R295" s="2"/>
    </row>
    <row r="296" spans="1:18" ht="14.95" customHeight="1" thickBot="1" x14ac:dyDescent="0.3">
      <c r="A296" s="132"/>
      <c r="B296" s="131"/>
      <c r="C296" s="71"/>
      <c r="D296" s="432"/>
      <c r="E296" s="433"/>
      <c r="F296" s="434"/>
      <c r="G296" s="71">
        <f>SUM(C296:F296)</f>
        <v>0</v>
      </c>
      <c r="H296" s="416"/>
      <c r="I296" s="417"/>
      <c r="J296" s="418"/>
      <c r="K296" s="435"/>
      <c r="L296" s="436"/>
      <c r="M296" s="437"/>
      <c r="N296" s="418">
        <f>SUM(J296:M296)</f>
        <v>0</v>
      </c>
      <c r="O296" s="2"/>
      <c r="P296" s="2"/>
      <c r="Q296" s="2"/>
      <c r="R296" s="2"/>
    </row>
    <row r="297" spans="1:18" ht="14.95" customHeight="1" thickBot="1" x14ac:dyDescent="0.3">
      <c r="A297" s="132"/>
      <c r="B297" s="131"/>
      <c r="C297" s="71"/>
      <c r="D297" s="432"/>
      <c r="E297" s="433"/>
      <c r="F297" s="434"/>
      <c r="G297" s="71">
        <f>SUM(C297:F297)</f>
        <v>0</v>
      </c>
      <c r="H297" s="416"/>
      <c r="I297" s="417"/>
      <c r="J297" s="418"/>
      <c r="K297" s="435"/>
      <c r="L297" s="436"/>
      <c r="M297" s="437"/>
      <c r="N297" s="418">
        <f>SUM(J297:M297)</f>
        <v>0</v>
      </c>
      <c r="O297" s="2"/>
      <c r="P297" s="2"/>
      <c r="Q297" s="2"/>
      <c r="R297" s="2"/>
    </row>
    <row r="298" spans="1:18" ht="14.95" customHeight="1" thickBot="1" x14ac:dyDescent="0.3">
      <c r="A298" s="132"/>
      <c r="B298" s="131"/>
      <c r="C298" s="71"/>
      <c r="D298" s="432"/>
      <c r="E298" s="433"/>
      <c r="F298" s="434"/>
      <c r="G298" s="71">
        <f>SUM(C298:F298)</f>
        <v>0</v>
      </c>
      <c r="H298" s="416"/>
      <c r="I298" s="417"/>
      <c r="J298" s="418"/>
      <c r="K298" s="435"/>
      <c r="L298" s="436"/>
      <c r="M298" s="437"/>
      <c r="N298" s="418">
        <f>SUM(J298:M298)</f>
        <v>0</v>
      </c>
      <c r="O298" s="2"/>
      <c r="P298" s="2"/>
      <c r="Q298" s="2"/>
      <c r="R298" s="2"/>
    </row>
    <row r="299" spans="1:18" ht="14.95" customHeight="1" thickBot="1" x14ac:dyDescent="0.3">
      <c r="A299" s="132"/>
      <c r="B299" s="131"/>
      <c r="C299" s="71"/>
      <c r="D299" s="432"/>
      <c r="E299" s="433"/>
      <c r="F299" s="434"/>
      <c r="G299" s="71">
        <f>SUM(C299:F299)</f>
        <v>0</v>
      </c>
      <c r="H299" s="416"/>
      <c r="I299" s="417"/>
      <c r="J299" s="418"/>
      <c r="K299" s="435"/>
      <c r="L299" s="436"/>
      <c r="M299" s="437"/>
      <c r="N299" s="418">
        <f>SUM(J299:M299)</f>
        <v>0</v>
      </c>
      <c r="O299" s="2"/>
      <c r="P299" s="2"/>
      <c r="Q299" s="2"/>
      <c r="R299" s="2"/>
    </row>
    <row r="300" spans="1:18" ht="14.95" customHeight="1" thickBot="1" x14ac:dyDescent="0.3">
      <c r="A300" s="132"/>
      <c r="B300" s="131"/>
      <c r="C300" s="71"/>
      <c r="D300" s="432"/>
      <c r="E300" s="433"/>
      <c r="F300" s="434"/>
      <c r="G300" s="71">
        <f>SUM(C300:F300)</f>
        <v>0</v>
      </c>
      <c r="H300" s="416"/>
      <c r="I300" s="417"/>
      <c r="J300" s="418"/>
      <c r="K300" s="435"/>
      <c r="L300" s="436"/>
      <c r="M300" s="437"/>
      <c r="N300" s="418">
        <f>SUM(J300:M300)</f>
        <v>0</v>
      </c>
      <c r="O300" s="2"/>
      <c r="P300" s="2"/>
      <c r="Q300" s="2"/>
      <c r="R300" s="2"/>
    </row>
    <row r="301" spans="1:18" ht="14.95" customHeight="1" thickBot="1" x14ac:dyDescent="0.3">
      <c r="A301" s="132"/>
      <c r="B301" s="131"/>
      <c r="C301" s="71"/>
      <c r="D301" s="432"/>
      <c r="E301" s="433"/>
      <c r="F301" s="434"/>
      <c r="G301" s="71">
        <f>SUM(C301:F301)</f>
        <v>0</v>
      </c>
      <c r="H301" s="416"/>
      <c r="I301" s="417"/>
      <c r="J301" s="418"/>
      <c r="K301" s="435"/>
      <c r="L301" s="436"/>
      <c r="M301" s="437"/>
      <c r="N301" s="418">
        <f>SUM(J301:M301)</f>
        <v>0</v>
      </c>
      <c r="O301" s="2"/>
      <c r="P301" s="2"/>
      <c r="Q301" s="2"/>
      <c r="R301" s="2"/>
    </row>
    <row r="302" spans="1:18" ht="14.95" customHeight="1" thickBot="1" x14ac:dyDescent="0.3">
      <c r="A302" s="132"/>
      <c r="B302" s="131"/>
      <c r="C302" s="71"/>
      <c r="D302" s="432"/>
      <c r="E302" s="433"/>
      <c r="F302" s="434"/>
      <c r="G302" s="71">
        <f>SUM(C302:F302)</f>
        <v>0</v>
      </c>
      <c r="H302" s="416"/>
      <c r="I302" s="417"/>
      <c r="J302" s="418"/>
      <c r="K302" s="435"/>
      <c r="L302" s="436"/>
      <c r="M302" s="437"/>
      <c r="N302" s="418">
        <f>SUM(J302:M302)</f>
        <v>0</v>
      </c>
      <c r="O302" s="2"/>
      <c r="P302" s="2"/>
      <c r="Q302" s="2"/>
      <c r="R302" s="2"/>
    </row>
    <row r="303" spans="1:18" ht="14.95" customHeight="1" thickBot="1" x14ac:dyDescent="0.3">
      <c r="A303" s="132"/>
      <c r="B303" s="131"/>
      <c r="C303" s="71"/>
      <c r="D303" s="432"/>
      <c r="E303" s="433"/>
      <c r="F303" s="434"/>
      <c r="G303" s="71">
        <f>SUM(C303:F303)</f>
        <v>0</v>
      </c>
      <c r="H303" s="416"/>
      <c r="I303" s="417"/>
      <c r="J303" s="418"/>
      <c r="K303" s="435"/>
      <c r="L303" s="436"/>
      <c r="M303" s="437"/>
      <c r="N303" s="418">
        <f>SUM(J303:M303)</f>
        <v>0</v>
      </c>
      <c r="O303" s="2"/>
      <c r="P303" s="2"/>
      <c r="Q303" s="2"/>
      <c r="R303" s="2"/>
    </row>
    <row r="304" spans="1:18" ht="14.95" customHeight="1" thickBot="1" x14ac:dyDescent="0.3">
      <c r="A304" s="132"/>
      <c r="B304" s="131"/>
      <c r="C304" s="71"/>
      <c r="D304" s="432"/>
      <c r="E304" s="433"/>
      <c r="F304" s="434"/>
      <c r="G304" s="71">
        <f>SUM(C304:F304)</f>
        <v>0</v>
      </c>
      <c r="H304" s="416"/>
      <c r="I304" s="417"/>
      <c r="J304" s="418"/>
      <c r="K304" s="435"/>
      <c r="L304" s="436"/>
      <c r="M304" s="437"/>
      <c r="N304" s="418">
        <f>SUM(J304:M304)</f>
        <v>0</v>
      </c>
      <c r="O304" s="2"/>
      <c r="P304" s="2"/>
      <c r="Q304" s="2"/>
      <c r="R304" s="2"/>
    </row>
    <row r="305" spans="1:18" ht="14.95" customHeight="1" thickBot="1" x14ac:dyDescent="0.3">
      <c r="A305" s="132"/>
      <c r="B305" s="131"/>
      <c r="C305" s="71"/>
      <c r="D305" s="432"/>
      <c r="E305" s="433"/>
      <c r="F305" s="434"/>
      <c r="G305" s="71">
        <f>SUM(C305:F305)</f>
        <v>0</v>
      </c>
      <c r="H305" s="416"/>
      <c r="I305" s="417"/>
      <c r="J305" s="418"/>
      <c r="K305" s="435"/>
      <c r="L305" s="436"/>
      <c r="M305" s="437"/>
      <c r="N305" s="418">
        <f>SUM(J305:M305)</f>
        <v>0</v>
      </c>
      <c r="O305" s="2"/>
      <c r="P305" s="2"/>
      <c r="Q305" s="2"/>
      <c r="R305" s="2"/>
    </row>
    <row r="306" spans="1:18" ht="14.95" customHeight="1" thickBot="1" x14ac:dyDescent="0.3">
      <c r="A306" s="132"/>
      <c r="B306" s="131"/>
      <c r="C306" s="71"/>
      <c r="D306" s="432"/>
      <c r="E306" s="433"/>
      <c r="F306" s="434"/>
      <c r="G306" s="71">
        <f>SUM(C306:F306)</f>
        <v>0</v>
      </c>
      <c r="H306" s="416"/>
      <c r="I306" s="417"/>
      <c r="J306" s="418"/>
      <c r="K306" s="435"/>
      <c r="L306" s="436"/>
      <c r="M306" s="437"/>
      <c r="N306" s="418">
        <f>SUM(J306:M306)</f>
        <v>0</v>
      </c>
      <c r="O306" s="2"/>
      <c r="P306" s="2"/>
      <c r="Q306" s="2"/>
      <c r="R306" s="2"/>
    </row>
    <row r="307" spans="1:18" ht="14.95" customHeight="1" thickBot="1" x14ac:dyDescent="0.3">
      <c r="A307" s="132"/>
      <c r="B307" s="131"/>
      <c r="C307" s="71"/>
      <c r="D307" s="432"/>
      <c r="E307" s="433"/>
      <c r="F307" s="434"/>
      <c r="G307" s="71">
        <f>SUM(C307:F307)</f>
        <v>0</v>
      </c>
      <c r="H307" s="416"/>
      <c r="I307" s="417"/>
      <c r="J307" s="418"/>
      <c r="K307" s="435"/>
      <c r="L307" s="436"/>
      <c r="M307" s="437"/>
      <c r="N307" s="418">
        <f>SUM(J307:M307)</f>
        <v>0</v>
      </c>
      <c r="O307" s="2"/>
      <c r="P307" s="2"/>
      <c r="Q307" s="2"/>
      <c r="R307" s="2"/>
    </row>
    <row r="308" spans="1:18" ht="14.95" customHeight="1" thickBot="1" x14ac:dyDescent="0.3">
      <c r="A308" s="132"/>
      <c r="B308" s="131"/>
      <c r="C308" s="71"/>
      <c r="D308" s="432"/>
      <c r="E308" s="433"/>
      <c r="F308" s="434"/>
      <c r="G308" s="71">
        <f>SUM(C308:F308)</f>
        <v>0</v>
      </c>
      <c r="H308" s="416"/>
      <c r="I308" s="417"/>
      <c r="J308" s="418"/>
      <c r="K308" s="435"/>
      <c r="L308" s="436"/>
      <c r="M308" s="437"/>
      <c r="N308" s="418">
        <f>SUM(J308:M308)</f>
        <v>0</v>
      </c>
      <c r="O308" s="2"/>
      <c r="P308" s="2"/>
      <c r="Q308" s="2"/>
      <c r="R308" s="2"/>
    </row>
    <row r="309" spans="1:18" ht="14.95" customHeight="1" thickBot="1" x14ac:dyDescent="0.3">
      <c r="A309" s="132"/>
      <c r="B309" s="131"/>
      <c r="C309" s="71"/>
      <c r="D309" s="432"/>
      <c r="E309" s="433"/>
      <c r="F309" s="434"/>
      <c r="G309" s="71">
        <f>SUM(C309:F309)</f>
        <v>0</v>
      </c>
      <c r="H309" s="416"/>
      <c r="I309" s="417"/>
      <c r="J309" s="418"/>
      <c r="K309" s="435"/>
      <c r="L309" s="436"/>
      <c r="M309" s="437"/>
      <c r="N309" s="418">
        <f>SUM(J309:M309)</f>
        <v>0</v>
      </c>
      <c r="O309" s="2"/>
      <c r="P309" s="2"/>
      <c r="Q309" s="2"/>
      <c r="R309" s="2"/>
    </row>
    <row r="310" spans="1:18" ht="14.95" customHeight="1" thickBot="1" x14ac:dyDescent="0.3">
      <c r="A310" s="132"/>
      <c r="B310" s="131"/>
      <c r="C310" s="71"/>
      <c r="D310" s="432"/>
      <c r="E310" s="433"/>
      <c r="F310" s="434"/>
      <c r="G310" s="71">
        <f>SUM(C310:F310)</f>
        <v>0</v>
      </c>
      <c r="H310" s="416"/>
      <c r="I310" s="417"/>
      <c r="J310" s="418"/>
      <c r="K310" s="435"/>
      <c r="L310" s="436"/>
      <c r="M310" s="437"/>
      <c r="N310" s="418">
        <f>SUM(J310:M310)</f>
        <v>0</v>
      </c>
      <c r="O310" s="2"/>
      <c r="P310" s="2"/>
      <c r="Q310" s="2"/>
      <c r="R310" s="2"/>
    </row>
    <row r="311" spans="1:18" ht="14.95" customHeight="1" thickBot="1" x14ac:dyDescent="0.3">
      <c r="A311" s="132"/>
      <c r="B311" s="131"/>
      <c r="C311" s="71"/>
      <c r="D311" s="432"/>
      <c r="E311" s="433"/>
      <c r="F311" s="434"/>
      <c r="G311" s="71">
        <f>SUM(C311:F311)</f>
        <v>0</v>
      </c>
      <c r="H311" s="416"/>
      <c r="I311" s="417"/>
      <c r="J311" s="418"/>
      <c r="K311" s="435"/>
      <c r="L311" s="436"/>
      <c r="M311" s="437"/>
      <c r="N311" s="418">
        <f>SUM(J311:M311)</f>
        <v>0</v>
      </c>
      <c r="O311" s="2"/>
      <c r="P311" s="2"/>
      <c r="Q311" s="2"/>
      <c r="R311" s="2"/>
    </row>
    <row r="312" spans="1:18" ht="14.95" customHeight="1" thickBot="1" x14ac:dyDescent="0.3">
      <c r="A312" s="132"/>
      <c r="B312" s="131"/>
      <c r="C312" s="71"/>
      <c r="D312" s="432"/>
      <c r="E312" s="433"/>
      <c r="F312" s="434"/>
      <c r="G312" s="71">
        <f>SUM(C312:F312)</f>
        <v>0</v>
      </c>
      <c r="H312" s="416"/>
      <c r="I312" s="417"/>
      <c r="J312" s="418"/>
      <c r="K312" s="435"/>
      <c r="L312" s="436"/>
      <c r="M312" s="437"/>
      <c r="N312" s="418">
        <f>SUM(J312:M312)</f>
        <v>0</v>
      </c>
      <c r="O312" s="2"/>
      <c r="P312" s="2"/>
      <c r="Q312" s="2"/>
      <c r="R312" s="2"/>
    </row>
    <row r="313" spans="1:18" ht="14.95" customHeight="1" thickBot="1" x14ac:dyDescent="0.3">
      <c r="A313" s="132"/>
      <c r="B313" s="131"/>
      <c r="C313" s="71"/>
      <c r="D313" s="432"/>
      <c r="E313" s="433"/>
      <c r="F313" s="434"/>
      <c r="G313" s="401">
        <f>SUM(C313:F313)</f>
        <v>0</v>
      </c>
      <c r="H313" s="416"/>
      <c r="I313" s="417"/>
      <c r="J313" s="418"/>
      <c r="K313" s="435"/>
      <c r="L313" s="436"/>
      <c r="M313" s="437"/>
      <c r="N313" s="418">
        <f>SUM(J313:M313)</f>
        <v>0</v>
      </c>
      <c r="O313" s="2"/>
      <c r="P313" s="2"/>
      <c r="Q313" s="2"/>
      <c r="R313" s="2"/>
    </row>
    <row r="314" spans="1:18" ht="14.95" customHeight="1" thickBot="1" x14ac:dyDescent="0.3">
      <c r="A314" s="132"/>
      <c r="B314" s="131"/>
      <c r="C314" s="71"/>
      <c r="D314" s="432"/>
      <c r="E314" s="433"/>
      <c r="F314" s="434"/>
      <c r="G314" s="401">
        <f>SUM(C314:F314)</f>
        <v>0</v>
      </c>
      <c r="H314" s="416"/>
      <c r="I314" s="417"/>
      <c r="J314" s="418"/>
      <c r="K314" s="435"/>
      <c r="L314" s="436"/>
      <c r="M314" s="437"/>
      <c r="N314" s="418">
        <f>SUM(J314:M314)</f>
        <v>0</v>
      </c>
      <c r="O314" s="2"/>
      <c r="P314" s="2"/>
      <c r="Q314" s="2"/>
      <c r="R314" s="2"/>
    </row>
    <row r="315" spans="1:18" ht="14.95" customHeight="1" thickBot="1" x14ac:dyDescent="0.3">
      <c r="A315" s="132"/>
      <c r="B315" s="131"/>
      <c r="C315" s="71"/>
      <c r="D315" s="432"/>
      <c r="E315" s="433"/>
      <c r="F315" s="434"/>
      <c r="G315" s="401">
        <f>SUM(C315:F315)</f>
        <v>0</v>
      </c>
      <c r="H315" s="416"/>
      <c r="I315" s="417"/>
      <c r="J315" s="418"/>
      <c r="K315" s="435"/>
      <c r="L315" s="436"/>
      <c r="M315" s="437"/>
      <c r="N315" s="418">
        <f>SUM(J315:M315)</f>
        <v>0</v>
      </c>
      <c r="O315" s="2"/>
      <c r="P315" s="2"/>
      <c r="Q315" s="2"/>
      <c r="R315" s="2"/>
    </row>
    <row r="316" spans="1:18" ht="14.95" customHeight="1" thickBot="1" x14ac:dyDescent="0.3">
      <c r="A316" s="132"/>
      <c r="B316" s="131"/>
      <c r="C316" s="71"/>
      <c r="D316" s="432"/>
      <c r="E316" s="433"/>
      <c r="F316" s="434"/>
      <c r="G316" s="401">
        <f>SUM(C316:F316)</f>
        <v>0</v>
      </c>
      <c r="H316" s="416"/>
      <c r="I316" s="417"/>
      <c r="J316" s="418"/>
      <c r="K316" s="435"/>
      <c r="L316" s="436"/>
      <c r="M316" s="437"/>
      <c r="N316" s="418">
        <f>SUM(J316:M316)</f>
        <v>0</v>
      </c>
      <c r="O316" s="2"/>
      <c r="P316" s="2"/>
      <c r="Q316" s="2"/>
      <c r="R316" s="2"/>
    </row>
    <row r="317" spans="1:18" ht="14.95" customHeight="1" thickBot="1" x14ac:dyDescent="0.3">
      <c r="A317" s="132"/>
      <c r="B317" s="131"/>
      <c r="C317" s="71"/>
      <c r="D317" s="432"/>
      <c r="E317" s="433"/>
      <c r="F317" s="434"/>
      <c r="G317" s="401">
        <f>SUM(C317:F317)</f>
        <v>0</v>
      </c>
      <c r="H317" s="416"/>
      <c r="I317" s="417"/>
      <c r="J317" s="418"/>
      <c r="K317" s="435"/>
      <c r="L317" s="436"/>
      <c r="M317" s="437"/>
      <c r="N317" s="418">
        <f>SUM(J317:M317)</f>
        <v>0</v>
      </c>
      <c r="O317" s="2"/>
      <c r="P317" s="2"/>
      <c r="Q317" s="2"/>
      <c r="R317" s="2"/>
    </row>
    <row r="318" spans="1:18" ht="14.95" customHeight="1" thickBot="1" x14ac:dyDescent="0.3">
      <c r="A318" s="132"/>
      <c r="B318" s="131"/>
      <c r="C318" s="71"/>
      <c r="D318" s="432"/>
      <c r="E318" s="433"/>
      <c r="F318" s="434"/>
      <c r="G318" s="401">
        <f>SUM(C318:F318)</f>
        <v>0</v>
      </c>
      <c r="H318" s="416"/>
      <c r="I318" s="417"/>
      <c r="J318" s="418"/>
      <c r="K318" s="435"/>
      <c r="L318" s="436"/>
      <c r="M318" s="437"/>
      <c r="N318" s="418">
        <f>SUM(J318:M318)</f>
        <v>0</v>
      </c>
      <c r="O318" s="2"/>
      <c r="P318" s="2"/>
      <c r="Q318" s="2"/>
      <c r="R318" s="2"/>
    </row>
    <row r="319" spans="1:18" ht="14.95" customHeight="1" thickBot="1" x14ac:dyDescent="0.3">
      <c r="A319" s="132"/>
      <c r="B319" s="131"/>
      <c r="C319" s="71"/>
      <c r="D319" s="432"/>
      <c r="E319" s="433"/>
      <c r="F319" s="434"/>
      <c r="G319" s="401">
        <f>SUM(C319:F319)</f>
        <v>0</v>
      </c>
      <c r="H319" s="416"/>
      <c r="I319" s="417"/>
      <c r="J319" s="418"/>
      <c r="K319" s="435"/>
      <c r="L319" s="436"/>
      <c r="M319" s="437"/>
      <c r="N319" s="418">
        <f>SUM(J319:M319)</f>
        <v>0</v>
      </c>
      <c r="O319" s="2"/>
      <c r="P319" s="2"/>
      <c r="Q319" s="2"/>
      <c r="R319" s="2"/>
    </row>
    <row r="320" spans="1:18" ht="14.95" customHeight="1" thickBot="1" x14ac:dyDescent="0.3">
      <c r="A320" s="132"/>
      <c r="B320" s="131"/>
      <c r="C320" s="71"/>
      <c r="D320" s="432"/>
      <c r="E320" s="433"/>
      <c r="F320" s="434"/>
      <c r="G320" s="401">
        <f>SUM(C320:F320)</f>
        <v>0</v>
      </c>
      <c r="H320" s="416"/>
      <c r="I320" s="417"/>
      <c r="J320" s="418"/>
      <c r="K320" s="435"/>
      <c r="L320" s="436"/>
      <c r="M320" s="437"/>
      <c r="N320" s="418">
        <f>SUM(J320:M320)</f>
        <v>0</v>
      </c>
      <c r="O320" s="2"/>
      <c r="P320" s="2"/>
      <c r="Q320" s="2"/>
      <c r="R320" s="2"/>
    </row>
    <row r="321" spans="1:18" ht="14.95" customHeight="1" thickBot="1" x14ac:dyDescent="0.3">
      <c r="A321" s="132"/>
      <c r="B321" s="131"/>
      <c r="C321" s="71"/>
      <c r="D321" s="432"/>
      <c r="E321" s="433"/>
      <c r="F321" s="434"/>
      <c r="G321" s="401">
        <f>SUM(C321:F321)</f>
        <v>0</v>
      </c>
      <c r="H321" s="416"/>
      <c r="I321" s="417"/>
      <c r="J321" s="418"/>
      <c r="K321" s="435"/>
      <c r="L321" s="436"/>
      <c r="M321" s="437"/>
      <c r="N321" s="418">
        <f>SUM(J321:M321)</f>
        <v>0</v>
      </c>
      <c r="O321" s="2"/>
      <c r="P321" s="2"/>
      <c r="Q321" s="2"/>
      <c r="R321" s="2"/>
    </row>
    <row r="322" spans="1:18" ht="14.95" customHeight="1" thickBot="1" x14ac:dyDescent="0.3">
      <c r="A322" s="132"/>
      <c r="B322" s="131"/>
      <c r="C322" s="71"/>
      <c r="D322" s="432"/>
      <c r="E322" s="433"/>
      <c r="F322" s="434"/>
      <c r="G322" s="401">
        <f>SUM(C322:F322)</f>
        <v>0</v>
      </c>
      <c r="H322" s="416"/>
      <c r="I322" s="417"/>
      <c r="J322" s="418"/>
      <c r="K322" s="435"/>
      <c r="L322" s="436"/>
      <c r="M322" s="437"/>
      <c r="N322" s="418">
        <f>SUM(J322:M322)</f>
        <v>0</v>
      </c>
      <c r="O322" s="2"/>
      <c r="P322" s="2"/>
      <c r="Q322" s="2"/>
      <c r="R322" s="2"/>
    </row>
    <row r="323" spans="1:18" ht="14.95" customHeight="1" thickBot="1" x14ac:dyDescent="0.3">
      <c r="A323" s="132"/>
      <c r="B323" s="131"/>
      <c r="C323" s="71"/>
      <c r="D323" s="432"/>
      <c r="E323" s="433"/>
      <c r="F323" s="434"/>
      <c r="G323" s="401">
        <f>SUM(C323:F323)</f>
        <v>0</v>
      </c>
      <c r="H323" s="416"/>
      <c r="I323" s="417"/>
      <c r="J323" s="418"/>
      <c r="K323" s="435"/>
      <c r="L323" s="436"/>
      <c r="M323" s="437"/>
      <c r="N323" s="418">
        <f>SUM(J323:M323)</f>
        <v>0</v>
      </c>
      <c r="O323" s="2"/>
      <c r="P323" s="2"/>
      <c r="Q323" s="2"/>
      <c r="R323" s="2"/>
    </row>
    <row r="324" spans="1:18" ht="14.95" customHeight="1" thickBot="1" x14ac:dyDescent="0.3">
      <c r="A324" s="132"/>
      <c r="B324" s="131"/>
      <c r="C324" s="71"/>
      <c r="D324" s="432"/>
      <c r="E324" s="433"/>
      <c r="F324" s="434"/>
      <c r="G324" s="401">
        <f>SUM(C324:F324)</f>
        <v>0</v>
      </c>
      <c r="H324" s="416"/>
      <c r="I324" s="417"/>
      <c r="J324" s="418"/>
      <c r="K324" s="435"/>
      <c r="L324" s="436"/>
      <c r="M324" s="437"/>
      <c r="N324" s="418">
        <f>SUM(J324:M324)</f>
        <v>0</v>
      </c>
      <c r="O324" s="2"/>
      <c r="P324" s="2"/>
      <c r="Q324" s="2"/>
      <c r="R324" s="2"/>
    </row>
    <row r="325" spans="1:18" ht="14.95" customHeight="1" thickBot="1" x14ac:dyDescent="0.3">
      <c r="A325" s="132"/>
      <c r="B325" s="131"/>
      <c r="C325" s="71"/>
      <c r="D325" s="432"/>
      <c r="E325" s="433"/>
      <c r="F325" s="434"/>
      <c r="G325" s="401">
        <f>SUM(C325:F325)</f>
        <v>0</v>
      </c>
      <c r="H325" s="416"/>
      <c r="I325" s="417"/>
      <c r="J325" s="418"/>
      <c r="K325" s="435"/>
      <c r="L325" s="436"/>
      <c r="M325" s="437"/>
      <c r="N325" s="418">
        <f>SUM(J325:M325)</f>
        <v>0</v>
      </c>
      <c r="O325" s="2"/>
      <c r="P325" s="2"/>
      <c r="Q325" s="2"/>
      <c r="R325" s="2"/>
    </row>
    <row r="326" spans="1:18" ht="14.95" customHeight="1" thickBot="1" x14ac:dyDescent="0.3">
      <c r="A326" s="132"/>
      <c r="B326" s="131"/>
      <c r="C326" s="71"/>
      <c r="D326" s="432"/>
      <c r="E326" s="433"/>
      <c r="F326" s="434"/>
      <c r="G326" s="401">
        <f>SUM(C326:F326)</f>
        <v>0</v>
      </c>
      <c r="H326" s="416"/>
      <c r="I326" s="417"/>
      <c r="J326" s="418"/>
      <c r="K326" s="435"/>
      <c r="L326" s="436"/>
      <c r="M326" s="437"/>
      <c r="N326" s="418">
        <f>SUM(J326:M326)</f>
        <v>0</v>
      </c>
      <c r="O326" s="2"/>
      <c r="P326" s="2"/>
      <c r="Q326" s="2"/>
      <c r="R326" s="2"/>
    </row>
    <row r="327" spans="1:18" ht="14.95" customHeight="1" thickBot="1" x14ac:dyDescent="0.3">
      <c r="A327" s="132"/>
      <c r="B327" s="131"/>
      <c r="C327" s="71"/>
      <c r="D327" s="432"/>
      <c r="E327" s="433"/>
      <c r="F327" s="434"/>
      <c r="G327" s="401">
        <f>SUM(C327:F327)</f>
        <v>0</v>
      </c>
      <c r="H327" s="416"/>
      <c r="I327" s="417"/>
      <c r="J327" s="418"/>
      <c r="K327" s="435"/>
      <c r="L327" s="436"/>
      <c r="M327" s="437"/>
      <c r="N327" s="418">
        <f>SUM(J327:M327)</f>
        <v>0</v>
      </c>
      <c r="O327" s="2"/>
      <c r="P327" s="2"/>
      <c r="Q327" s="2"/>
      <c r="R327" s="2"/>
    </row>
    <row r="328" spans="1:18" ht="14.95" customHeight="1" thickBot="1" x14ac:dyDescent="0.3">
      <c r="A328" s="132"/>
      <c r="B328" s="131"/>
      <c r="C328" s="71"/>
      <c r="D328" s="432"/>
      <c r="E328" s="433"/>
      <c r="F328" s="434"/>
      <c r="G328" s="401">
        <f>SUM(C328:F328)</f>
        <v>0</v>
      </c>
      <c r="H328" s="416"/>
      <c r="I328" s="417"/>
      <c r="J328" s="418"/>
      <c r="K328" s="435"/>
      <c r="L328" s="436"/>
      <c r="M328" s="437"/>
      <c r="N328" s="418">
        <f>SUM(J328:M328)</f>
        <v>0</v>
      </c>
      <c r="O328" s="2"/>
      <c r="P328" s="2"/>
      <c r="Q328" s="2"/>
      <c r="R328" s="2"/>
    </row>
    <row r="329" spans="1:18" ht="14.95" customHeight="1" thickBot="1" x14ac:dyDescent="0.3">
      <c r="A329" s="132"/>
      <c r="B329" s="131"/>
      <c r="C329" s="71"/>
      <c r="D329" s="432"/>
      <c r="E329" s="433"/>
      <c r="F329" s="434"/>
      <c r="G329" s="401">
        <f>SUM(C329:F329)</f>
        <v>0</v>
      </c>
      <c r="H329" s="416"/>
      <c r="I329" s="417"/>
      <c r="J329" s="418"/>
      <c r="K329" s="435"/>
      <c r="L329" s="436"/>
      <c r="M329" s="437"/>
      <c r="N329" s="418">
        <f>SUM(J329:M329)</f>
        <v>0</v>
      </c>
      <c r="O329" s="2"/>
      <c r="P329" s="2"/>
      <c r="Q329" s="2"/>
      <c r="R329" s="2"/>
    </row>
    <row r="330" spans="1:18" ht="14.95" customHeight="1" thickBot="1" x14ac:dyDescent="0.3">
      <c r="A330" s="132"/>
      <c r="B330" s="131"/>
      <c r="C330" s="71"/>
      <c r="D330" s="432"/>
      <c r="E330" s="433"/>
      <c r="F330" s="434"/>
      <c r="G330" s="71">
        <f>SUM(C330:F330)</f>
        <v>0</v>
      </c>
      <c r="H330" s="416"/>
      <c r="I330" s="417"/>
      <c r="J330" s="418"/>
      <c r="K330" s="435"/>
      <c r="L330" s="436"/>
      <c r="M330" s="437"/>
      <c r="N330" s="418">
        <f>SUM(J330:M330)</f>
        <v>0</v>
      </c>
      <c r="O330" s="2"/>
      <c r="P330" s="2"/>
      <c r="Q330" s="2"/>
      <c r="R330" s="2"/>
    </row>
    <row r="331" spans="1:18" ht="14.95" customHeight="1" thickBot="1" x14ac:dyDescent="0.3">
      <c r="A331" s="132"/>
      <c r="B331" s="131"/>
      <c r="C331" s="71"/>
      <c r="D331" s="432"/>
      <c r="E331" s="433"/>
      <c r="F331" s="434"/>
      <c r="G331" s="71">
        <f>SUM(C331:F331)</f>
        <v>0</v>
      </c>
      <c r="H331" s="416"/>
      <c r="I331" s="417"/>
      <c r="J331" s="418"/>
      <c r="K331" s="435"/>
      <c r="L331" s="436"/>
      <c r="M331" s="437"/>
      <c r="N331" s="418">
        <f>SUM(J331:M331)</f>
        <v>0</v>
      </c>
      <c r="O331" s="2"/>
      <c r="P331" s="2"/>
      <c r="Q331" s="2"/>
      <c r="R331" s="2"/>
    </row>
    <row r="332" spans="1:18" ht="14.95" customHeight="1" thickBot="1" x14ac:dyDescent="0.3">
      <c r="A332" s="132"/>
      <c r="B332" s="131"/>
      <c r="C332" s="71"/>
      <c r="D332" s="432"/>
      <c r="E332" s="433"/>
      <c r="F332" s="434"/>
      <c r="G332" s="71">
        <f>SUM(C332:F332)</f>
        <v>0</v>
      </c>
      <c r="H332" s="416"/>
      <c r="I332" s="417"/>
      <c r="J332" s="418"/>
      <c r="K332" s="435"/>
      <c r="L332" s="436"/>
      <c r="M332" s="437"/>
      <c r="N332" s="418">
        <f>SUM(J332:M332)</f>
        <v>0</v>
      </c>
      <c r="O332" s="2"/>
      <c r="P332" s="2"/>
      <c r="Q332" s="2"/>
      <c r="R332" s="2"/>
    </row>
    <row r="333" spans="1:18" ht="14.95" customHeight="1" thickBot="1" x14ac:dyDescent="0.3">
      <c r="A333" s="132"/>
      <c r="B333" s="131"/>
      <c r="C333" s="71"/>
      <c r="D333" s="432"/>
      <c r="E333" s="433"/>
      <c r="F333" s="434"/>
      <c r="G333" s="71">
        <f>SUM(C333:F333)</f>
        <v>0</v>
      </c>
      <c r="H333" s="416"/>
      <c r="I333" s="417"/>
      <c r="J333" s="418"/>
      <c r="K333" s="435"/>
      <c r="L333" s="436"/>
      <c r="M333" s="437"/>
      <c r="N333" s="418">
        <f>SUM(J333:M333)</f>
        <v>0</v>
      </c>
      <c r="O333" s="2"/>
      <c r="P333" s="2"/>
      <c r="Q333" s="2"/>
      <c r="R333" s="2"/>
    </row>
    <row r="334" spans="1:18" ht="14.95" customHeight="1" thickBot="1" x14ac:dyDescent="0.3">
      <c r="A334" s="132"/>
      <c r="B334" s="131"/>
      <c r="C334" s="71"/>
      <c r="D334" s="432"/>
      <c r="E334" s="433"/>
      <c r="F334" s="434"/>
      <c r="G334" s="71">
        <f>SUM(C334:F334)</f>
        <v>0</v>
      </c>
      <c r="H334" s="416"/>
      <c r="I334" s="417"/>
      <c r="J334" s="418"/>
      <c r="K334" s="435"/>
      <c r="L334" s="436"/>
      <c r="M334" s="437"/>
      <c r="N334" s="418">
        <f>SUM(J334:M334)</f>
        <v>0</v>
      </c>
      <c r="O334" s="2"/>
      <c r="P334" s="2"/>
      <c r="Q334" s="2"/>
      <c r="R334" s="2"/>
    </row>
    <row r="335" spans="1:18" ht="14.95" customHeight="1" thickBot="1" x14ac:dyDescent="0.3">
      <c r="A335" s="132"/>
      <c r="B335" s="131"/>
      <c r="C335" s="71"/>
      <c r="D335" s="432"/>
      <c r="E335" s="433"/>
      <c r="F335" s="434"/>
      <c r="G335" s="71">
        <f>SUM(C335:F335)</f>
        <v>0</v>
      </c>
      <c r="H335" s="416"/>
      <c r="I335" s="417"/>
      <c r="J335" s="418"/>
      <c r="K335" s="435"/>
      <c r="L335" s="436"/>
      <c r="M335" s="437"/>
      <c r="N335" s="418">
        <f>SUM(J335:M335)</f>
        <v>0</v>
      </c>
      <c r="O335" s="2"/>
      <c r="P335" s="2"/>
      <c r="Q335" s="2"/>
      <c r="R335" s="2"/>
    </row>
    <row r="336" spans="1:18" ht="14.95" customHeight="1" thickBot="1" x14ac:dyDescent="0.3">
      <c r="A336" s="132"/>
      <c r="B336" s="131"/>
      <c r="C336" s="71"/>
      <c r="D336" s="432"/>
      <c r="E336" s="433"/>
      <c r="F336" s="434"/>
      <c r="G336" s="71">
        <f>SUM(C336:F336)</f>
        <v>0</v>
      </c>
      <c r="H336" s="416"/>
      <c r="I336" s="417"/>
      <c r="J336" s="418"/>
      <c r="K336" s="435"/>
      <c r="L336" s="436"/>
      <c r="M336" s="437"/>
      <c r="N336" s="418">
        <f>SUM(J336:M336)</f>
        <v>0</v>
      </c>
      <c r="O336" s="2"/>
      <c r="P336" s="2"/>
      <c r="Q336" s="2"/>
      <c r="R336" s="2"/>
    </row>
    <row r="337" spans="1:18" ht="14.95" customHeight="1" thickBot="1" x14ac:dyDescent="0.3">
      <c r="A337" s="132"/>
      <c r="B337" s="131"/>
      <c r="C337" s="71"/>
      <c r="D337" s="432"/>
      <c r="E337" s="433"/>
      <c r="F337" s="434"/>
      <c r="G337" s="71">
        <f>SUM(C337:F337)</f>
        <v>0</v>
      </c>
      <c r="H337" s="416"/>
      <c r="I337" s="417"/>
      <c r="J337" s="418"/>
      <c r="K337" s="435"/>
      <c r="L337" s="436"/>
      <c r="M337" s="437"/>
      <c r="N337" s="418">
        <f>SUM(J337:M337)</f>
        <v>0</v>
      </c>
      <c r="O337" s="2"/>
      <c r="P337" s="2"/>
      <c r="Q337" s="2"/>
      <c r="R337" s="2"/>
    </row>
    <row r="338" spans="1:18" ht="14.95" customHeight="1" thickBot="1" x14ac:dyDescent="0.3">
      <c r="A338" s="132"/>
      <c r="B338" s="131"/>
      <c r="C338" s="71"/>
      <c r="D338" s="432"/>
      <c r="E338" s="433"/>
      <c r="F338" s="434"/>
      <c r="G338" s="71">
        <f>SUM(C338:F338)</f>
        <v>0</v>
      </c>
      <c r="H338" s="416"/>
      <c r="I338" s="417"/>
      <c r="J338" s="418"/>
      <c r="K338" s="435"/>
      <c r="L338" s="436"/>
      <c r="M338" s="437"/>
      <c r="N338" s="418">
        <f>SUM(J338:M338)</f>
        <v>0</v>
      </c>
      <c r="O338" s="2"/>
      <c r="P338" s="2"/>
      <c r="Q338" s="2"/>
      <c r="R338" s="2"/>
    </row>
    <row r="339" spans="1:18" ht="14.95" customHeight="1" thickBot="1" x14ac:dyDescent="0.3">
      <c r="A339" s="132"/>
      <c r="B339" s="131"/>
      <c r="C339" s="71"/>
      <c r="D339" s="432"/>
      <c r="E339" s="433"/>
      <c r="F339" s="434"/>
      <c r="G339" s="71">
        <f>SUM(C339:F339)</f>
        <v>0</v>
      </c>
      <c r="H339" s="416"/>
      <c r="I339" s="417"/>
      <c r="J339" s="418"/>
      <c r="K339" s="435"/>
      <c r="L339" s="436"/>
      <c r="M339" s="437"/>
      <c r="N339" s="418">
        <f>SUM(J339:M339)</f>
        <v>0</v>
      </c>
      <c r="O339" s="2"/>
      <c r="P339" s="2"/>
      <c r="Q339" s="2"/>
      <c r="R339" s="2"/>
    </row>
    <row r="340" spans="1:18" ht="14.95" customHeight="1" thickBot="1" x14ac:dyDescent="0.3">
      <c r="A340" s="132"/>
      <c r="B340" s="131"/>
      <c r="C340" s="71"/>
      <c r="D340" s="432"/>
      <c r="E340" s="433"/>
      <c r="F340" s="434"/>
      <c r="G340" s="71">
        <f>SUM(C340:F340)</f>
        <v>0</v>
      </c>
      <c r="H340" s="416"/>
      <c r="I340" s="417"/>
      <c r="J340" s="418"/>
      <c r="K340" s="435"/>
      <c r="L340" s="436"/>
      <c r="M340" s="437"/>
      <c r="N340" s="418">
        <f>SUM(J340:M340)</f>
        <v>0</v>
      </c>
      <c r="O340" s="2"/>
      <c r="P340" s="2"/>
      <c r="Q340" s="2"/>
      <c r="R340" s="2"/>
    </row>
    <row r="341" spans="1:18" ht="14.95" customHeight="1" thickBot="1" x14ac:dyDescent="0.3">
      <c r="A341" s="132"/>
      <c r="B341" s="131"/>
      <c r="C341" s="71"/>
      <c r="D341" s="432"/>
      <c r="E341" s="433"/>
      <c r="F341" s="434"/>
      <c r="G341" s="71">
        <f>SUM(C341:F341)</f>
        <v>0</v>
      </c>
      <c r="H341" s="416"/>
      <c r="I341" s="417"/>
      <c r="J341" s="418"/>
      <c r="K341" s="435"/>
      <c r="L341" s="436"/>
      <c r="M341" s="437"/>
      <c r="N341" s="418">
        <f>SUM(J341:M341)</f>
        <v>0</v>
      </c>
      <c r="O341" s="2"/>
      <c r="P341" s="2"/>
      <c r="Q341" s="2"/>
      <c r="R341" s="2"/>
    </row>
    <row r="342" spans="1:18" ht="14.95" customHeight="1" thickBot="1" x14ac:dyDescent="0.3">
      <c r="A342" s="132"/>
      <c r="B342" s="131"/>
      <c r="C342" s="71"/>
      <c r="D342" s="432"/>
      <c r="E342" s="433"/>
      <c r="F342" s="434"/>
      <c r="G342" s="401">
        <f>SUM(C342:F342)</f>
        <v>0</v>
      </c>
      <c r="H342" s="416"/>
      <c r="I342" s="417"/>
      <c r="J342" s="418"/>
      <c r="K342" s="435"/>
      <c r="L342" s="436"/>
      <c r="M342" s="437"/>
      <c r="N342" s="418">
        <f>SUM(J342:M342)</f>
        <v>0</v>
      </c>
      <c r="O342" s="2"/>
      <c r="P342" s="2"/>
      <c r="Q342" s="2"/>
      <c r="R342" s="2"/>
    </row>
    <row r="343" spans="1:18" ht="14.95" customHeight="1" thickBot="1" x14ac:dyDescent="0.3">
      <c r="A343" s="132"/>
      <c r="B343" s="131"/>
      <c r="C343" s="71"/>
      <c r="D343" s="432"/>
      <c r="E343" s="433"/>
      <c r="F343" s="434"/>
      <c r="G343" s="401">
        <f>SUM(C343:F343)</f>
        <v>0</v>
      </c>
      <c r="H343" s="416"/>
      <c r="I343" s="417"/>
      <c r="J343" s="418"/>
      <c r="K343" s="435"/>
      <c r="L343" s="436"/>
      <c r="M343" s="437"/>
      <c r="N343" s="418">
        <f>SUM(J343:M343)</f>
        <v>0</v>
      </c>
      <c r="O343" s="2"/>
      <c r="P343" s="2"/>
      <c r="Q343" s="2"/>
      <c r="R343" s="2"/>
    </row>
    <row r="344" spans="1:18" ht="14.95" customHeight="1" thickBot="1" x14ac:dyDescent="0.3">
      <c r="A344" s="132"/>
      <c r="B344" s="131"/>
      <c r="C344" s="71"/>
      <c r="D344" s="432"/>
      <c r="E344" s="433"/>
      <c r="F344" s="434"/>
      <c r="G344" s="401">
        <f>SUM(C344:F344)</f>
        <v>0</v>
      </c>
      <c r="H344" s="416"/>
      <c r="I344" s="417"/>
      <c r="J344" s="418"/>
      <c r="K344" s="435"/>
      <c r="L344" s="436"/>
      <c r="M344" s="437"/>
      <c r="N344" s="418">
        <f>SUM(J344:M344)</f>
        <v>0</v>
      </c>
      <c r="O344" s="2"/>
      <c r="P344" s="2"/>
      <c r="Q344" s="2"/>
      <c r="R344" s="2"/>
    </row>
    <row r="345" spans="1:18" ht="14.95" customHeight="1" thickBot="1" x14ac:dyDescent="0.3">
      <c r="A345" s="132"/>
      <c r="B345" s="131"/>
      <c r="C345" s="71"/>
      <c r="D345" s="432"/>
      <c r="E345" s="433"/>
      <c r="F345" s="434"/>
      <c r="G345" s="401">
        <f>SUM(C345:F345)</f>
        <v>0</v>
      </c>
      <c r="H345" s="416"/>
      <c r="I345" s="417"/>
      <c r="J345" s="418"/>
      <c r="K345" s="435"/>
      <c r="L345" s="436"/>
      <c r="M345" s="437"/>
      <c r="N345" s="418">
        <f>SUM(J345:M345)</f>
        <v>0</v>
      </c>
      <c r="O345" s="2"/>
      <c r="P345" s="2"/>
      <c r="Q345" s="2"/>
      <c r="R345" s="2"/>
    </row>
    <row r="346" spans="1:18" ht="14.95" customHeight="1" thickBot="1" x14ac:dyDescent="0.3">
      <c r="A346" s="132"/>
      <c r="B346" s="131"/>
      <c r="C346" s="71"/>
      <c r="D346" s="432"/>
      <c r="E346" s="433"/>
      <c r="F346" s="434"/>
      <c r="G346" s="401">
        <f>SUM(C346:F346)</f>
        <v>0</v>
      </c>
      <c r="H346" s="416"/>
      <c r="I346" s="417"/>
      <c r="J346" s="418"/>
      <c r="K346" s="435"/>
      <c r="L346" s="436"/>
      <c r="M346" s="437"/>
      <c r="N346" s="418">
        <f>SUM(J346:M346)</f>
        <v>0</v>
      </c>
      <c r="O346" s="2"/>
      <c r="P346" s="2"/>
      <c r="Q346" s="2"/>
      <c r="R346" s="2"/>
    </row>
    <row r="347" spans="1:18" ht="14.95" customHeight="1" thickBot="1" x14ac:dyDescent="0.3">
      <c r="A347" s="132"/>
      <c r="B347" s="131"/>
      <c r="C347" s="71"/>
      <c r="D347" s="432"/>
      <c r="E347" s="433"/>
      <c r="F347" s="434"/>
      <c r="G347" s="401">
        <f>SUM(C347:F347)</f>
        <v>0</v>
      </c>
      <c r="H347" s="416"/>
      <c r="I347" s="417"/>
      <c r="J347" s="418"/>
      <c r="K347" s="435"/>
      <c r="L347" s="436"/>
      <c r="M347" s="437"/>
      <c r="N347" s="418">
        <f>SUM(J347:M347)</f>
        <v>0</v>
      </c>
      <c r="O347" s="2"/>
      <c r="P347" s="2"/>
      <c r="Q347" s="2"/>
      <c r="R347" s="2"/>
    </row>
    <row r="348" spans="1:18" ht="14.95" customHeight="1" thickBot="1" x14ac:dyDescent="0.3">
      <c r="A348" s="132"/>
      <c r="B348" s="131"/>
      <c r="C348" s="71"/>
      <c r="D348" s="432"/>
      <c r="E348" s="433"/>
      <c r="F348" s="434"/>
      <c r="G348" s="401">
        <f>SUM(C348:F348)</f>
        <v>0</v>
      </c>
      <c r="H348" s="416"/>
      <c r="I348" s="417"/>
      <c r="J348" s="418"/>
      <c r="K348" s="435"/>
      <c r="L348" s="436"/>
      <c r="M348" s="437"/>
      <c r="N348" s="418">
        <f>SUM(J348:M348)</f>
        <v>0</v>
      </c>
      <c r="O348" s="2"/>
      <c r="P348" s="2"/>
      <c r="Q348" s="2"/>
      <c r="R348" s="2"/>
    </row>
    <row r="349" spans="1:18" ht="14.95" customHeight="1" thickBot="1" x14ac:dyDescent="0.3">
      <c r="A349" s="132"/>
      <c r="B349" s="131"/>
      <c r="C349" s="71"/>
      <c r="D349" s="432"/>
      <c r="E349" s="433"/>
      <c r="F349" s="434"/>
      <c r="G349" s="401">
        <f>SUM(C349:F349)</f>
        <v>0</v>
      </c>
      <c r="H349" s="416"/>
      <c r="I349" s="417"/>
      <c r="J349" s="418"/>
      <c r="K349" s="435"/>
      <c r="L349" s="436"/>
      <c r="M349" s="437"/>
      <c r="N349" s="418">
        <f>SUM(J349:M349)</f>
        <v>0</v>
      </c>
      <c r="O349" s="2"/>
      <c r="P349" s="2"/>
      <c r="Q349" s="2"/>
      <c r="R349" s="2"/>
    </row>
    <row r="350" spans="1:18" ht="14.95" customHeight="1" thickBot="1" x14ac:dyDescent="0.3">
      <c r="A350" s="132"/>
      <c r="B350" s="131"/>
      <c r="C350" s="71"/>
      <c r="D350" s="432"/>
      <c r="E350" s="433"/>
      <c r="F350" s="434"/>
      <c r="G350" s="401">
        <f>SUM(C350:F350)</f>
        <v>0</v>
      </c>
      <c r="H350" s="416"/>
      <c r="I350" s="417"/>
      <c r="J350" s="418"/>
      <c r="K350" s="435"/>
      <c r="L350" s="436"/>
      <c r="M350" s="437"/>
      <c r="N350" s="418">
        <f>SUM(J350:M350)</f>
        <v>0</v>
      </c>
      <c r="O350" s="2"/>
      <c r="P350" s="2"/>
      <c r="Q350" s="2"/>
      <c r="R350" s="2"/>
    </row>
    <row r="351" spans="1:18" ht="14.95" customHeight="1" thickBot="1" x14ac:dyDescent="0.3">
      <c r="A351" s="132"/>
      <c r="B351" s="131"/>
      <c r="C351" s="71"/>
      <c r="D351" s="432"/>
      <c r="E351" s="433"/>
      <c r="F351" s="434"/>
      <c r="G351" s="401">
        <f>SUM(C351:F351)</f>
        <v>0</v>
      </c>
      <c r="H351" s="416"/>
      <c r="I351" s="417"/>
      <c r="J351" s="418"/>
      <c r="K351" s="435"/>
      <c r="L351" s="436"/>
      <c r="M351" s="437"/>
      <c r="N351" s="418">
        <f>SUM(J351:M351)</f>
        <v>0</v>
      </c>
      <c r="O351" s="2"/>
      <c r="P351" s="2"/>
      <c r="Q351" s="2"/>
      <c r="R351" s="2"/>
    </row>
    <row r="352" spans="1:18" ht="14.95" customHeight="1" thickBot="1" x14ac:dyDescent="0.3">
      <c r="A352" s="132"/>
      <c r="B352" s="131"/>
      <c r="C352" s="71"/>
      <c r="D352" s="432"/>
      <c r="E352" s="433"/>
      <c r="F352" s="434"/>
      <c r="G352" s="401">
        <f>SUM(C352:F352)</f>
        <v>0</v>
      </c>
      <c r="H352" s="416"/>
      <c r="I352" s="417"/>
      <c r="J352" s="418"/>
      <c r="K352" s="435"/>
      <c r="L352" s="436"/>
      <c r="M352" s="437"/>
      <c r="N352" s="418">
        <f>SUM(J352:M352)</f>
        <v>0</v>
      </c>
      <c r="O352" s="2"/>
      <c r="P352" s="2"/>
      <c r="Q352" s="2"/>
      <c r="R352" s="2"/>
    </row>
    <row r="353" spans="1:18" ht="14.95" customHeight="1" thickBot="1" x14ac:dyDescent="0.3">
      <c r="A353" s="132"/>
      <c r="B353" s="131"/>
      <c r="C353" s="71"/>
      <c r="D353" s="432"/>
      <c r="E353" s="433"/>
      <c r="F353" s="434"/>
      <c r="G353" s="401">
        <f>SUM(C353:F353)</f>
        <v>0</v>
      </c>
      <c r="H353" s="416"/>
      <c r="I353" s="417"/>
      <c r="J353" s="418"/>
      <c r="K353" s="435"/>
      <c r="L353" s="436"/>
      <c r="M353" s="437"/>
      <c r="N353" s="418">
        <f>SUM(J353:M353)</f>
        <v>0</v>
      </c>
      <c r="O353" s="2"/>
      <c r="P353" s="2"/>
      <c r="Q353" s="2"/>
      <c r="R353" s="2"/>
    </row>
    <row r="354" spans="1:18" ht="14.95" customHeight="1" thickBot="1" x14ac:dyDescent="0.3">
      <c r="A354" s="132"/>
      <c r="B354" s="131"/>
      <c r="C354" s="71"/>
      <c r="D354" s="432"/>
      <c r="E354" s="433"/>
      <c r="F354" s="434"/>
      <c r="G354" s="401">
        <f>SUM(C354:F354)</f>
        <v>0</v>
      </c>
      <c r="H354" s="416"/>
      <c r="I354" s="417"/>
      <c r="J354" s="418"/>
      <c r="K354" s="435"/>
      <c r="L354" s="436"/>
      <c r="M354" s="437"/>
      <c r="N354" s="418">
        <f>SUM(J354:M354)</f>
        <v>0</v>
      </c>
      <c r="O354" s="2"/>
      <c r="P354" s="2"/>
      <c r="Q354" s="2"/>
      <c r="R354" s="2"/>
    </row>
    <row r="355" spans="1:18" ht="14.95" customHeight="1" thickBot="1" x14ac:dyDescent="0.3">
      <c r="A355" s="132"/>
      <c r="B355" s="131"/>
      <c r="C355" s="71"/>
      <c r="D355" s="432"/>
      <c r="E355" s="433"/>
      <c r="F355" s="434"/>
      <c r="G355" s="401">
        <f>SUM(C355:F355)</f>
        <v>0</v>
      </c>
      <c r="H355" s="416"/>
      <c r="I355" s="417"/>
      <c r="J355" s="418"/>
      <c r="K355" s="435"/>
      <c r="L355" s="436"/>
      <c r="M355" s="437"/>
      <c r="N355" s="418">
        <f>SUM(J355:M355)</f>
        <v>0</v>
      </c>
      <c r="O355" s="2"/>
      <c r="P355" s="2"/>
      <c r="Q355" s="2"/>
      <c r="R355" s="2"/>
    </row>
    <row r="356" spans="1:18" ht="14.95" customHeight="1" thickBot="1" x14ac:dyDescent="0.3">
      <c r="A356" s="132"/>
      <c r="B356" s="131"/>
      <c r="C356" s="71"/>
      <c r="D356" s="432"/>
      <c r="E356" s="433"/>
      <c r="F356" s="434"/>
      <c r="G356" s="401">
        <f>SUM(C356:F356)</f>
        <v>0</v>
      </c>
      <c r="H356" s="416"/>
      <c r="I356" s="417"/>
      <c r="J356" s="418"/>
      <c r="K356" s="435"/>
      <c r="L356" s="436"/>
      <c r="M356" s="438"/>
      <c r="N356" s="418">
        <f>SUM(J356:M356)</f>
        <v>0</v>
      </c>
      <c r="O356" s="2"/>
      <c r="P356" s="2"/>
      <c r="Q356" s="2"/>
      <c r="R356" s="2"/>
    </row>
    <row r="357" spans="1:18" ht="14.95" customHeight="1" thickBot="1" x14ac:dyDescent="0.3">
      <c r="A357" s="132"/>
      <c r="B357" s="131"/>
      <c r="C357" s="71"/>
      <c r="D357" s="432"/>
      <c r="E357" s="433"/>
      <c r="F357" s="434"/>
      <c r="G357" s="401">
        <f>SUM(C357:F357)</f>
        <v>0</v>
      </c>
      <c r="H357" s="416"/>
      <c r="I357" s="417"/>
      <c r="J357" s="418"/>
      <c r="K357" s="435"/>
      <c r="L357" s="436"/>
      <c r="M357" s="438"/>
      <c r="N357" s="418">
        <f>SUM(J357:M357)</f>
        <v>0</v>
      </c>
      <c r="O357" s="2"/>
      <c r="P357" s="2"/>
      <c r="Q357" s="2"/>
      <c r="R357" s="2"/>
    </row>
    <row r="358" spans="1:18" ht="14.95" customHeight="1" thickBot="1" x14ac:dyDescent="0.3">
      <c r="A358" s="132"/>
      <c r="B358" s="131"/>
      <c r="C358" s="71"/>
      <c r="D358" s="432"/>
      <c r="E358" s="433"/>
      <c r="F358" s="434"/>
      <c r="G358" s="401">
        <f>SUM(C358:F358)</f>
        <v>0</v>
      </c>
      <c r="H358" s="416"/>
      <c r="I358" s="417"/>
      <c r="J358" s="418"/>
      <c r="K358" s="435"/>
      <c r="L358" s="436"/>
      <c r="M358" s="437"/>
      <c r="N358" s="418">
        <f>SUM(J358:M358)</f>
        <v>0</v>
      </c>
      <c r="O358" s="2"/>
      <c r="P358" s="2"/>
      <c r="Q358" s="2"/>
      <c r="R358" s="2"/>
    </row>
    <row r="359" spans="1:18" ht="14.95" customHeight="1" thickBot="1" x14ac:dyDescent="0.3">
      <c r="A359" s="132"/>
      <c r="B359" s="131"/>
      <c r="C359" s="71"/>
      <c r="D359" s="432"/>
      <c r="E359" s="433"/>
      <c r="F359" s="434"/>
      <c r="G359" s="401">
        <f>SUM(C359:F359)</f>
        <v>0</v>
      </c>
      <c r="H359" s="416"/>
      <c r="I359" s="417"/>
      <c r="J359" s="418"/>
      <c r="K359" s="435"/>
      <c r="L359" s="436"/>
      <c r="M359" s="437"/>
      <c r="N359" s="418">
        <f>SUM(J359:M359)</f>
        <v>0</v>
      </c>
      <c r="O359" s="2"/>
      <c r="P359" s="2"/>
      <c r="Q359" s="2"/>
      <c r="R359" s="2"/>
    </row>
    <row r="360" spans="1:18" ht="14.95" customHeight="1" thickBot="1" x14ac:dyDescent="0.3">
      <c r="A360" s="132"/>
      <c r="B360" s="131"/>
      <c r="C360" s="71"/>
      <c r="D360" s="432"/>
      <c r="E360" s="433"/>
      <c r="F360" s="434"/>
      <c r="G360" s="401">
        <f>SUM(C360:F360)</f>
        <v>0</v>
      </c>
      <c r="H360" s="416"/>
      <c r="I360" s="417"/>
      <c r="J360" s="418"/>
      <c r="K360" s="435"/>
      <c r="L360" s="436"/>
      <c r="M360" s="437"/>
      <c r="N360" s="418">
        <f>SUM(J360:M360)</f>
        <v>0</v>
      </c>
      <c r="O360" s="2"/>
      <c r="P360" s="2"/>
      <c r="Q360" s="2"/>
      <c r="R360" s="2"/>
    </row>
    <row r="361" spans="1:18" ht="14.95" customHeight="1" thickBot="1" x14ac:dyDescent="0.3">
      <c r="A361" s="132"/>
      <c r="B361" s="131"/>
      <c r="C361" s="71"/>
      <c r="D361" s="432"/>
      <c r="E361" s="433"/>
      <c r="F361" s="434"/>
      <c r="G361" s="401">
        <f>SUM(C361:F361)</f>
        <v>0</v>
      </c>
      <c r="H361" s="416"/>
      <c r="I361" s="417"/>
      <c r="J361" s="418"/>
      <c r="K361" s="435"/>
      <c r="L361" s="436"/>
      <c r="M361" s="437"/>
      <c r="N361" s="418">
        <f>SUM(J361:M361)</f>
        <v>0</v>
      </c>
      <c r="O361" s="2"/>
      <c r="P361" s="2"/>
      <c r="Q361" s="2"/>
      <c r="R361" s="2"/>
    </row>
    <row r="362" spans="1:18" ht="14.95" customHeight="1" thickBot="1" x14ac:dyDescent="0.3">
      <c r="A362" s="132"/>
      <c r="B362" s="131"/>
      <c r="C362" s="71"/>
      <c r="D362" s="432"/>
      <c r="E362" s="433"/>
      <c r="F362" s="434"/>
      <c r="G362" s="401">
        <f>SUM(C362:F362)</f>
        <v>0</v>
      </c>
      <c r="H362" s="416"/>
      <c r="I362" s="417"/>
      <c r="J362" s="418"/>
      <c r="K362" s="435"/>
      <c r="L362" s="436"/>
      <c r="M362" s="437"/>
      <c r="N362" s="418">
        <f>SUM(J362:M362)</f>
        <v>0</v>
      </c>
      <c r="O362" s="2"/>
      <c r="P362" s="2"/>
      <c r="Q362" s="2"/>
      <c r="R362" s="2"/>
    </row>
    <row r="363" spans="1:18" ht="14.95" customHeight="1" thickBot="1" x14ac:dyDescent="0.3">
      <c r="A363" s="132"/>
      <c r="B363" s="131"/>
      <c r="C363" s="71"/>
      <c r="D363" s="432"/>
      <c r="E363" s="433"/>
      <c r="F363" s="434"/>
      <c r="G363" s="401">
        <f>SUM(C363:F363)</f>
        <v>0</v>
      </c>
      <c r="H363" s="416"/>
      <c r="I363" s="417"/>
      <c r="J363" s="418"/>
      <c r="K363" s="435"/>
      <c r="L363" s="436"/>
      <c r="M363" s="437"/>
      <c r="N363" s="418">
        <f>SUM(J363:M363)</f>
        <v>0</v>
      </c>
      <c r="O363" s="2"/>
      <c r="P363" s="2"/>
      <c r="Q363" s="2"/>
      <c r="R363" s="2"/>
    </row>
    <row r="364" spans="1:18" ht="14.95" customHeight="1" thickBot="1" x14ac:dyDescent="0.3">
      <c r="A364" s="132"/>
      <c r="B364" s="131"/>
      <c r="C364" s="71"/>
      <c r="D364" s="432"/>
      <c r="E364" s="433"/>
      <c r="F364" s="434"/>
      <c r="G364" s="401">
        <f>SUM(C364:F364)</f>
        <v>0</v>
      </c>
      <c r="H364" s="416"/>
      <c r="I364" s="417"/>
      <c r="J364" s="418"/>
      <c r="K364" s="435"/>
      <c r="L364" s="436"/>
      <c r="M364" s="437"/>
      <c r="N364" s="418">
        <f>SUM(J364:M364)</f>
        <v>0</v>
      </c>
      <c r="O364" s="2"/>
      <c r="P364" s="2"/>
      <c r="Q364" s="2"/>
      <c r="R364" s="2"/>
    </row>
    <row r="365" spans="1:18" ht="14.95" customHeight="1" thickBot="1" x14ac:dyDescent="0.3">
      <c r="A365" s="132"/>
      <c r="B365" s="131"/>
      <c r="C365" s="71"/>
      <c r="D365" s="432"/>
      <c r="E365" s="433"/>
      <c r="F365" s="434"/>
      <c r="G365" s="401">
        <f>SUM(C365:F365)</f>
        <v>0</v>
      </c>
      <c r="H365" s="416"/>
      <c r="I365" s="417"/>
      <c r="J365" s="418"/>
      <c r="K365" s="435"/>
      <c r="L365" s="436"/>
      <c r="M365" s="437"/>
      <c r="N365" s="418">
        <f>SUM(J365:M365)</f>
        <v>0</v>
      </c>
      <c r="O365" s="2"/>
      <c r="P365" s="2"/>
      <c r="Q365" s="2"/>
      <c r="R365" s="2"/>
    </row>
    <row r="366" spans="1:18" ht="14.95" customHeight="1" thickBot="1" x14ac:dyDescent="0.3">
      <c r="A366" s="132"/>
      <c r="B366" s="131"/>
      <c r="C366" s="71"/>
      <c r="D366" s="432"/>
      <c r="E366" s="433"/>
      <c r="F366" s="434"/>
      <c r="G366" s="401">
        <f>SUM(C366:F366)</f>
        <v>0</v>
      </c>
      <c r="H366" s="416"/>
      <c r="I366" s="417"/>
      <c r="J366" s="418"/>
      <c r="K366" s="435"/>
      <c r="L366" s="436"/>
      <c r="M366" s="437"/>
      <c r="N366" s="418">
        <f>SUM(J366:M366)</f>
        <v>0</v>
      </c>
      <c r="O366" s="2"/>
      <c r="P366" s="2"/>
      <c r="Q366" s="2"/>
      <c r="R366" s="2"/>
    </row>
    <row r="367" spans="1:18" ht="14.95" customHeight="1" thickBot="1" x14ac:dyDescent="0.3">
      <c r="A367" s="132"/>
      <c r="B367" s="131"/>
      <c r="C367" s="71"/>
      <c r="D367" s="432"/>
      <c r="E367" s="433"/>
      <c r="F367" s="434"/>
      <c r="G367" s="401">
        <f>SUM(C367:F367)</f>
        <v>0</v>
      </c>
      <c r="H367" s="416"/>
      <c r="I367" s="417"/>
      <c r="J367" s="418"/>
      <c r="K367" s="435"/>
      <c r="L367" s="436"/>
      <c r="M367" s="437"/>
      <c r="N367" s="418">
        <f>SUM(J367:M367)</f>
        <v>0</v>
      </c>
      <c r="O367" s="2"/>
      <c r="P367" s="2"/>
      <c r="Q367" s="2"/>
      <c r="R367" s="2"/>
    </row>
    <row r="368" spans="1:18" ht="14.95" customHeight="1" thickBot="1" x14ac:dyDescent="0.3">
      <c r="A368" s="132"/>
      <c r="B368" s="131"/>
      <c r="C368" s="71"/>
      <c r="D368" s="432"/>
      <c r="E368" s="433"/>
      <c r="F368" s="434"/>
      <c r="G368" s="401">
        <f>SUM(C368:F368)</f>
        <v>0</v>
      </c>
      <c r="H368" s="416"/>
      <c r="I368" s="417"/>
      <c r="J368" s="418"/>
      <c r="K368" s="435"/>
      <c r="L368" s="436"/>
      <c r="M368" s="437"/>
      <c r="N368" s="418">
        <f>SUM(J368:M368)</f>
        <v>0</v>
      </c>
      <c r="O368" s="2"/>
      <c r="P368" s="2"/>
      <c r="Q368" s="2"/>
      <c r="R368" s="2"/>
    </row>
    <row r="369" spans="1:18" ht="14.95" customHeight="1" thickBot="1" x14ac:dyDescent="0.3">
      <c r="A369" s="132"/>
      <c r="B369" s="131"/>
      <c r="C369" s="71"/>
      <c r="D369" s="432"/>
      <c r="E369" s="433"/>
      <c r="F369" s="434"/>
      <c r="G369" s="401">
        <f>SUM(C369:F369)</f>
        <v>0</v>
      </c>
      <c r="H369" s="416"/>
      <c r="I369" s="417"/>
      <c r="J369" s="418"/>
      <c r="K369" s="435"/>
      <c r="L369" s="436"/>
      <c r="M369" s="437"/>
      <c r="N369" s="418">
        <f>SUM(J369:M369)</f>
        <v>0</v>
      </c>
      <c r="O369" s="2"/>
      <c r="P369" s="2"/>
      <c r="Q369" s="2"/>
      <c r="R369" s="2"/>
    </row>
    <row r="370" spans="1:18" ht="14.95" customHeight="1" thickBot="1" x14ac:dyDescent="0.3">
      <c r="A370" s="132"/>
      <c r="B370" s="131"/>
      <c r="C370" s="71"/>
      <c r="D370" s="432"/>
      <c r="E370" s="433"/>
      <c r="F370" s="434"/>
      <c r="G370" s="401">
        <f>SUM(C370:F370)</f>
        <v>0</v>
      </c>
      <c r="H370" s="416"/>
      <c r="I370" s="417"/>
      <c r="J370" s="418"/>
      <c r="K370" s="435"/>
      <c r="L370" s="436"/>
      <c r="M370" s="437"/>
      <c r="N370" s="418">
        <f>SUM(J370:M370)</f>
        <v>0</v>
      </c>
      <c r="O370" s="2"/>
      <c r="P370" s="2"/>
      <c r="Q370" s="2"/>
      <c r="R370" s="2"/>
    </row>
    <row r="371" spans="1:18" ht="14.95" customHeight="1" thickBot="1" x14ac:dyDescent="0.3">
      <c r="A371" s="132"/>
      <c r="B371" s="131"/>
      <c r="C371" s="71"/>
      <c r="D371" s="432"/>
      <c r="E371" s="433"/>
      <c r="F371" s="434"/>
      <c r="G371" s="401">
        <f>SUM(C371:F371)</f>
        <v>0</v>
      </c>
      <c r="H371" s="416"/>
      <c r="I371" s="417"/>
      <c r="J371" s="418"/>
      <c r="K371" s="435"/>
      <c r="L371" s="436"/>
      <c r="M371" s="437"/>
      <c r="N371" s="418">
        <f>SUM(J371:M371)</f>
        <v>0</v>
      </c>
      <c r="O371" s="2"/>
      <c r="P371" s="2"/>
      <c r="Q371" s="2"/>
      <c r="R371" s="2"/>
    </row>
    <row r="372" spans="1:18" ht="14.95" customHeight="1" thickBot="1" x14ac:dyDescent="0.3">
      <c r="A372" s="132"/>
      <c r="B372" s="131"/>
      <c r="C372" s="71"/>
      <c r="D372" s="432"/>
      <c r="E372" s="433"/>
      <c r="F372" s="434"/>
      <c r="G372" s="401">
        <f>SUM(C372:F372)</f>
        <v>0</v>
      </c>
      <c r="H372" s="416"/>
      <c r="I372" s="417"/>
      <c r="J372" s="418"/>
      <c r="K372" s="435"/>
      <c r="L372" s="436"/>
      <c r="M372" s="437"/>
      <c r="N372" s="418">
        <f>SUM(J372:M372)</f>
        <v>0</v>
      </c>
      <c r="O372" s="2"/>
      <c r="P372" s="2"/>
      <c r="Q372" s="2"/>
      <c r="R372" s="2"/>
    </row>
    <row r="373" spans="1:18" ht="14.95" customHeight="1" thickBot="1" x14ac:dyDescent="0.3">
      <c r="A373" s="132"/>
      <c r="B373" s="131"/>
      <c r="C373" s="71"/>
      <c r="D373" s="432"/>
      <c r="E373" s="433"/>
      <c r="F373" s="434"/>
      <c r="G373" s="401">
        <f>SUM(C373:F373)</f>
        <v>0</v>
      </c>
      <c r="H373" s="416"/>
      <c r="I373" s="417"/>
      <c r="J373" s="418"/>
      <c r="K373" s="435"/>
      <c r="L373" s="436"/>
      <c r="M373" s="437"/>
      <c r="N373" s="418">
        <f>SUM(J373:M373)</f>
        <v>0</v>
      </c>
      <c r="O373" s="2"/>
      <c r="P373" s="2"/>
      <c r="Q373" s="2"/>
      <c r="R373" s="2"/>
    </row>
    <row r="374" spans="1:18" ht="14.95" customHeight="1" thickBot="1" x14ac:dyDescent="0.3">
      <c r="A374" s="132"/>
      <c r="B374" s="131"/>
      <c r="C374" s="71"/>
      <c r="D374" s="432"/>
      <c r="E374" s="433"/>
      <c r="F374" s="434"/>
      <c r="G374" s="401">
        <f>SUM(C374:F374)</f>
        <v>0</v>
      </c>
      <c r="H374" s="416"/>
      <c r="I374" s="417"/>
      <c r="J374" s="418"/>
      <c r="K374" s="435"/>
      <c r="L374" s="436"/>
      <c r="M374" s="437"/>
      <c r="N374" s="418">
        <f>SUM(J374:M374)</f>
        <v>0</v>
      </c>
      <c r="O374" s="2"/>
      <c r="P374" s="2"/>
      <c r="Q374" s="2"/>
      <c r="R374" s="2"/>
    </row>
    <row r="375" spans="1:18" ht="14.95" customHeight="1" thickBot="1" x14ac:dyDescent="0.3">
      <c r="A375" s="132"/>
      <c r="B375" s="131"/>
      <c r="C375" s="71"/>
      <c r="D375" s="432"/>
      <c r="E375" s="433"/>
      <c r="F375" s="439"/>
      <c r="G375" s="401">
        <f>SUM(C375:F375)</f>
        <v>0</v>
      </c>
      <c r="H375" s="416"/>
      <c r="I375" s="417"/>
      <c r="J375" s="418"/>
      <c r="K375" s="435"/>
      <c r="L375" s="436"/>
      <c r="M375" s="437"/>
      <c r="N375" s="418">
        <f>SUM(J375:M375)</f>
        <v>0</v>
      </c>
      <c r="O375" s="2"/>
      <c r="P375" s="2"/>
      <c r="Q375" s="2"/>
      <c r="R375" s="2"/>
    </row>
    <row r="376" spans="1:18" ht="14.95" customHeight="1" thickBot="1" x14ac:dyDescent="0.3">
      <c r="A376" s="132"/>
      <c r="B376" s="131"/>
      <c r="C376" s="71"/>
      <c r="D376" s="432"/>
      <c r="E376" s="433"/>
      <c r="F376" s="434"/>
      <c r="G376" s="401">
        <f>SUM(C376:F376)</f>
        <v>0</v>
      </c>
      <c r="H376" s="416"/>
      <c r="I376" s="417"/>
      <c r="J376" s="418"/>
      <c r="K376" s="435"/>
      <c r="L376" s="436"/>
      <c r="M376" s="437"/>
      <c r="N376" s="419">
        <f>SUM(J376:M376)</f>
        <v>0</v>
      </c>
      <c r="O376" s="2"/>
      <c r="P376" s="2"/>
      <c r="Q376" s="2"/>
      <c r="R376" s="2"/>
    </row>
    <row r="377" spans="1:18" ht="14.95" customHeight="1" thickBot="1" x14ac:dyDescent="0.3">
      <c r="A377" s="132"/>
      <c r="B377" s="131"/>
      <c r="C377" s="71"/>
      <c r="D377" s="432"/>
      <c r="E377" s="433"/>
      <c r="F377" s="434"/>
      <c r="G377" s="401">
        <f>SUM(C377:F377)</f>
        <v>0</v>
      </c>
      <c r="H377" s="416"/>
      <c r="I377" s="417"/>
      <c r="J377" s="418"/>
      <c r="K377" s="435"/>
      <c r="L377" s="436"/>
      <c r="M377" s="440"/>
      <c r="N377" s="419">
        <f>SUM(J377:M377)</f>
        <v>0</v>
      </c>
      <c r="O377" s="2"/>
      <c r="P377" s="2"/>
      <c r="Q377" s="2"/>
      <c r="R377" s="2"/>
    </row>
    <row r="378" spans="1:18" ht="14.95" customHeight="1" thickBot="1" x14ac:dyDescent="0.3">
      <c r="A378" s="132"/>
      <c r="B378" s="131"/>
      <c r="C378" s="71"/>
      <c r="D378" s="432"/>
      <c r="E378" s="433"/>
      <c r="F378" s="434"/>
      <c r="G378" s="401">
        <f>SUM(C378:F378)</f>
        <v>0</v>
      </c>
      <c r="H378" s="416"/>
      <c r="I378" s="417"/>
      <c r="J378" s="418"/>
      <c r="K378" s="435"/>
      <c r="L378" s="436"/>
      <c r="M378" s="437"/>
      <c r="N378" s="418">
        <f>SUM(J378:M378)</f>
        <v>0</v>
      </c>
      <c r="O378" s="2"/>
      <c r="P378" s="2"/>
      <c r="Q378" s="2"/>
      <c r="R378" s="2"/>
    </row>
    <row r="379" spans="1:18" ht="14.95" customHeight="1" thickBot="1" x14ac:dyDescent="0.3">
      <c r="A379" s="132"/>
      <c r="B379" s="131"/>
      <c r="C379" s="71"/>
      <c r="D379" s="432"/>
      <c r="E379" s="433"/>
      <c r="F379" s="439"/>
      <c r="G379" s="401">
        <f>SUM(C379:F379)</f>
        <v>0</v>
      </c>
      <c r="H379" s="416"/>
      <c r="I379" s="417"/>
      <c r="J379" s="418"/>
      <c r="K379" s="435"/>
      <c r="L379" s="436"/>
      <c r="M379" s="437"/>
      <c r="N379" s="418">
        <f>SUM(J379:M379)</f>
        <v>0</v>
      </c>
      <c r="O379" s="2"/>
      <c r="P379" s="2"/>
      <c r="Q379" s="2"/>
      <c r="R379" s="2"/>
    </row>
    <row r="380" spans="1:18" ht="14.95" customHeight="1" thickBot="1" x14ac:dyDescent="0.3">
      <c r="A380" s="132"/>
      <c r="B380" s="131"/>
      <c r="C380" s="71"/>
      <c r="D380" s="432"/>
      <c r="E380" s="433"/>
      <c r="F380" s="434"/>
      <c r="G380" s="401">
        <f>SUM(C380:F380)</f>
        <v>0</v>
      </c>
      <c r="H380" s="416"/>
      <c r="I380" s="417"/>
      <c r="J380" s="418"/>
      <c r="K380" s="435"/>
      <c r="L380" s="436"/>
      <c r="M380" s="437"/>
      <c r="N380" s="418">
        <f>SUM(J380:M380)</f>
        <v>0</v>
      </c>
      <c r="O380" s="2"/>
      <c r="P380" s="2"/>
      <c r="Q380" s="2"/>
      <c r="R380" s="2"/>
    </row>
    <row r="381" spans="1:18" ht="14.95" customHeight="1" thickBot="1" x14ac:dyDescent="0.3">
      <c r="A381" s="132"/>
      <c r="B381" s="131"/>
      <c r="C381" s="71"/>
      <c r="D381" s="432"/>
      <c r="E381" s="433"/>
      <c r="F381" s="434"/>
      <c r="G381" s="401">
        <f>SUM(C381:F381)</f>
        <v>0</v>
      </c>
      <c r="H381" s="416"/>
      <c r="I381" s="417"/>
      <c r="J381" s="418"/>
      <c r="K381" s="435"/>
      <c r="L381" s="436"/>
      <c r="M381" s="437"/>
      <c r="N381" s="418">
        <f>SUM(J381:M381)</f>
        <v>0</v>
      </c>
      <c r="O381" s="2"/>
      <c r="P381" s="2"/>
      <c r="Q381" s="2"/>
      <c r="R381" s="2"/>
    </row>
    <row r="382" spans="1:18" ht="14.95" customHeight="1" thickBot="1" x14ac:dyDescent="0.3">
      <c r="A382" s="132"/>
      <c r="B382" s="131"/>
      <c r="C382" s="71"/>
      <c r="D382" s="432"/>
      <c r="E382" s="433"/>
      <c r="F382" s="434"/>
      <c r="G382" s="401">
        <f>SUM(C382:F382)</f>
        <v>0</v>
      </c>
      <c r="H382" s="416"/>
      <c r="I382" s="417"/>
      <c r="J382" s="418"/>
      <c r="K382" s="435"/>
      <c r="L382" s="436"/>
      <c r="M382" s="437"/>
      <c r="N382" s="418">
        <f>SUM(J382:M382)</f>
        <v>0</v>
      </c>
      <c r="O382" s="2"/>
      <c r="P382" s="2"/>
      <c r="Q382" s="2"/>
      <c r="R382" s="2"/>
    </row>
    <row r="383" spans="1:18" ht="14.95" customHeight="1" thickBot="1" x14ac:dyDescent="0.3">
      <c r="A383" s="132"/>
      <c r="B383" s="131"/>
      <c r="C383" s="71"/>
      <c r="D383" s="432"/>
      <c r="E383" s="433"/>
      <c r="F383" s="434"/>
      <c r="G383" s="401">
        <f>SUM(C383:F383)</f>
        <v>0</v>
      </c>
      <c r="H383" s="416"/>
      <c r="I383" s="417"/>
      <c r="J383" s="418"/>
      <c r="K383" s="435"/>
      <c r="L383" s="436"/>
      <c r="M383" s="437"/>
      <c r="N383" s="418">
        <f>SUM(J383:M383)</f>
        <v>0</v>
      </c>
      <c r="O383" s="2"/>
      <c r="P383" s="2"/>
      <c r="Q383" s="2"/>
      <c r="R383" s="2"/>
    </row>
    <row r="384" spans="1:18" ht="14.95" customHeight="1" thickBot="1" x14ac:dyDescent="0.3">
      <c r="A384" s="132"/>
      <c r="B384" s="131"/>
      <c r="C384" s="71"/>
      <c r="D384" s="432"/>
      <c r="E384" s="433"/>
      <c r="F384" s="434"/>
      <c r="G384" s="401">
        <f>SUM(C384:F384)</f>
        <v>0</v>
      </c>
      <c r="H384" s="416"/>
      <c r="I384" s="417"/>
      <c r="J384" s="418"/>
      <c r="K384" s="435"/>
      <c r="L384" s="436"/>
      <c r="M384" s="437"/>
      <c r="N384" s="418">
        <f>SUM(J384:M384)</f>
        <v>0</v>
      </c>
      <c r="O384" s="2"/>
      <c r="P384" s="2"/>
      <c r="Q384" s="2"/>
      <c r="R384" s="2"/>
    </row>
    <row r="385" spans="1:18" ht="14.95" customHeight="1" thickBot="1" x14ac:dyDescent="0.3">
      <c r="A385" s="132"/>
      <c r="B385" s="131"/>
      <c r="C385" s="71"/>
      <c r="D385" s="432"/>
      <c r="E385" s="433"/>
      <c r="F385" s="434"/>
      <c r="G385" s="401">
        <f>SUM(C385:F385)</f>
        <v>0</v>
      </c>
      <c r="H385" s="416"/>
      <c r="I385" s="417"/>
      <c r="J385" s="418"/>
      <c r="K385" s="435"/>
      <c r="L385" s="436"/>
      <c r="M385" s="437"/>
      <c r="N385" s="418">
        <f>SUM(J385:M385)</f>
        <v>0</v>
      </c>
      <c r="O385" s="2"/>
      <c r="P385" s="2"/>
      <c r="Q385" s="2"/>
      <c r="R385" s="2"/>
    </row>
    <row r="386" spans="1:18" ht="14.95" customHeight="1" thickBot="1" x14ac:dyDescent="0.3">
      <c r="A386" s="132"/>
      <c r="B386" s="131"/>
      <c r="C386" s="71"/>
      <c r="D386" s="432"/>
      <c r="E386" s="433"/>
      <c r="F386" s="434"/>
      <c r="G386" s="401">
        <f>SUM(C386:F386)</f>
        <v>0</v>
      </c>
      <c r="H386" s="416"/>
      <c r="I386" s="417"/>
      <c r="J386" s="418"/>
      <c r="K386" s="435"/>
      <c r="L386" s="436"/>
      <c r="M386" s="437"/>
      <c r="N386" s="418">
        <f>SUM(J386:M386)</f>
        <v>0</v>
      </c>
      <c r="O386" s="2"/>
      <c r="P386" s="2"/>
      <c r="Q386" s="2"/>
      <c r="R386" s="2"/>
    </row>
    <row r="387" spans="1:18" ht="14.95" customHeight="1" thickBot="1" x14ac:dyDescent="0.3">
      <c r="A387" s="132"/>
      <c r="B387" s="131"/>
      <c r="C387" s="71"/>
      <c r="D387" s="432"/>
      <c r="E387" s="433"/>
      <c r="F387" s="434"/>
      <c r="G387" s="401">
        <f>SUM(C387:F387)</f>
        <v>0</v>
      </c>
      <c r="H387" s="416"/>
      <c r="I387" s="417"/>
      <c r="J387" s="418"/>
      <c r="K387" s="435"/>
      <c r="L387" s="436"/>
      <c r="M387" s="437"/>
      <c r="N387" s="418">
        <f>SUM(J387:M387)</f>
        <v>0</v>
      </c>
      <c r="O387" s="2"/>
      <c r="P387" s="2"/>
      <c r="Q387" s="2"/>
      <c r="R387" s="2"/>
    </row>
    <row r="388" spans="1:18" ht="14.95" customHeight="1" thickBot="1" x14ac:dyDescent="0.3">
      <c r="A388" s="132"/>
      <c r="B388" s="131"/>
      <c r="C388" s="71"/>
      <c r="D388" s="432"/>
      <c r="E388" s="433"/>
      <c r="F388" s="434"/>
      <c r="G388" s="401">
        <f>SUM(C388:F388)</f>
        <v>0</v>
      </c>
      <c r="H388" s="416"/>
      <c r="I388" s="417"/>
      <c r="J388" s="418"/>
      <c r="K388" s="435"/>
      <c r="L388" s="436"/>
      <c r="M388" s="437"/>
      <c r="N388" s="418">
        <f>SUM(J388:M388)</f>
        <v>0</v>
      </c>
      <c r="O388" s="2"/>
      <c r="P388" s="2"/>
      <c r="Q388" s="2"/>
      <c r="R388" s="2"/>
    </row>
    <row r="389" spans="1:18" ht="14.95" customHeight="1" thickBot="1" x14ac:dyDescent="0.3">
      <c r="A389" s="132"/>
      <c r="B389" s="131"/>
      <c r="C389" s="71"/>
      <c r="D389" s="432"/>
      <c r="E389" s="433"/>
      <c r="F389" s="434"/>
      <c r="G389" s="401">
        <f>SUM(C389:F389)</f>
        <v>0</v>
      </c>
      <c r="H389" s="416"/>
      <c r="I389" s="417"/>
      <c r="J389" s="418"/>
      <c r="K389" s="435"/>
      <c r="L389" s="436"/>
      <c r="M389" s="437"/>
      <c r="N389" s="418">
        <f>SUM(J389:M389)</f>
        <v>0</v>
      </c>
      <c r="O389" s="2"/>
      <c r="P389" s="2"/>
      <c r="Q389" s="2"/>
      <c r="R389" s="2"/>
    </row>
    <row r="390" spans="1:18" ht="14.95" customHeight="1" thickBot="1" x14ac:dyDescent="0.3">
      <c r="A390" s="132"/>
      <c r="B390" s="131"/>
      <c r="C390" s="71"/>
      <c r="D390" s="432"/>
      <c r="E390" s="433"/>
      <c r="F390" s="434"/>
      <c r="G390" s="401">
        <f>SUM(C390:F390)</f>
        <v>0</v>
      </c>
      <c r="H390" s="416"/>
      <c r="I390" s="417"/>
      <c r="J390" s="418"/>
      <c r="K390" s="435"/>
      <c r="L390" s="436"/>
      <c r="M390" s="437"/>
      <c r="N390" s="418">
        <f>SUM(J390:M390)</f>
        <v>0</v>
      </c>
      <c r="O390" s="2"/>
      <c r="P390" s="2"/>
      <c r="Q390" s="2"/>
      <c r="R390" s="2"/>
    </row>
    <row r="391" spans="1:18" ht="14.95" customHeight="1" thickBot="1" x14ac:dyDescent="0.3">
      <c r="A391" s="132"/>
      <c r="B391" s="131"/>
      <c r="C391" s="71"/>
      <c r="D391" s="432"/>
      <c r="E391" s="433"/>
      <c r="F391" s="434"/>
      <c r="G391" s="401">
        <f>SUM(C391:F391)</f>
        <v>0</v>
      </c>
      <c r="H391" s="416"/>
      <c r="I391" s="417"/>
      <c r="J391" s="418"/>
      <c r="K391" s="435"/>
      <c r="L391" s="436"/>
      <c r="M391" s="437"/>
      <c r="N391" s="418">
        <f>SUM(J391:M391)</f>
        <v>0</v>
      </c>
      <c r="O391" s="2"/>
      <c r="P391" s="2"/>
      <c r="Q391" s="2"/>
      <c r="R391" s="2"/>
    </row>
    <row r="392" spans="1:18" ht="14.95" customHeight="1" thickBot="1" x14ac:dyDescent="0.3">
      <c r="A392" s="133"/>
      <c r="B392" s="131"/>
      <c r="C392" s="71"/>
      <c r="D392" s="441"/>
      <c r="E392" s="442"/>
      <c r="F392" s="439"/>
      <c r="G392" s="401">
        <f>SUM(C392:F392)</f>
        <v>0</v>
      </c>
      <c r="H392" s="416"/>
      <c r="I392" s="417"/>
      <c r="J392" s="418"/>
      <c r="K392" s="435"/>
      <c r="L392" s="436"/>
      <c r="M392" s="437"/>
      <c r="N392" s="418">
        <f>SUM(J392:M392)</f>
        <v>0</v>
      </c>
      <c r="O392" s="2"/>
      <c r="P392" s="2"/>
      <c r="Q392" s="2"/>
      <c r="R392" s="2"/>
    </row>
    <row r="393" spans="1:18" ht="14.95" customHeight="1" thickBot="1" x14ac:dyDescent="0.3">
      <c r="A393" s="133"/>
      <c r="B393" s="131"/>
      <c r="C393" s="71"/>
      <c r="D393" s="441"/>
      <c r="E393" s="442"/>
      <c r="F393" s="439"/>
      <c r="G393" s="401">
        <f>SUM(C393:F393)</f>
        <v>0</v>
      </c>
      <c r="H393" s="416"/>
      <c r="I393" s="417"/>
      <c r="J393" s="418"/>
      <c r="K393" s="435"/>
      <c r="L393" s="436"/>
      <c r="M393" s="437"/>
      <c r="N393" s="418">
        <f>SUM(J393:M393)</f>
        <v>0</v>
      </c>
      <c r="O393" s="2"/>
      <c r="P393" s="2"/>
      <c r="Q393" s="2"/>
      <c r="R393" s="2"/>
    </row>
    <row r="394" spans="1:18" ht="14.95" customHeight="1" thickBot="1" x14ac:dyDescent="0.3">
      <c r="A394" s="133"/>
      <c r="B394" s="133"/>
      <c r="C394" s="408"/>
      <c r="D394" s="441"/>
      <c r="E394" s="442"/>
      <c r="F394" s="439"/>
      <c r="G394" s="401">
        <f>SUM(C394:F394)</f>
        <v>0</v>
      </c>
      <c r="H394" s="416"/>
      <c r="I394" s="417"/>
      <c r="J394" s="418"/>
      <c r="K394" s="435"/>
      <c r="L394" s="436"/>
      <c r="M394" s="437"/>
      <c r="N394" s="418">
        <f>SUM(J394:M394)</f>
        <v>0</v>
      </c>
      <c r="O394" s="2"/>
      <c r="P394" s="2"/>
      <c r="Q394" s="2"/>
      <c r="R394" s="2"/>
    </row>
    <row r="395" spans="1:18" ht="14.95" customHeight="1" thickBot="1" x14ac:dyDescent="0.3">
      <c r="A395" s="133"/>
      <c r="B395" s="131"/>
      <c r="C395" s="71"/>
      <c r="D395" s="441"/>
      <c r="E395" s="442"/>
      <c r="F395" s="439"/>
      <c r="G395" s="401">
        <f>SUM(C395:F395)</f>
        <v>0</v>
      </c>
      <c r="H395" s="416"/>
      <c r="I395" s="417"/>
      <c r="J395" s="418"/>
      <c r="K395" s="435"/>
      <c r="L395" s="436"/>
      <c r="M395" s="437"/>
      <c r="N395" s="418">
        <f>SUM(J395:M395)</f>
        <v>0</v>
      </c>
      <c r="O395" s="2"/>
      <c r="P395" s="2"/>
      <c r="Q395" s="2"/>
      <c r="R395" s="2"/>
    </row>
    <row r="396" spans="1:18" ht="14.95" customHeight="1" thickBot="1" x14ac:dyDescent="0.3">
      <c r="A396" s="133"/>
      <c r="B396" s="131"/>
      <c r="C396" s="71"/>
      <c r="D396" s="441"/>
      <c r="E396" s="442"/>
      <c r="F396" s="439"/>
      <c r="G396" s="401">
        <f>SUM(C396:F396)</f>
        <v>0</v>
      </c>
      <c r="H396" s="416"/>
      <c r="I396" s="417"/>
      <c r="J396" s="418"/>
      <c r="K396" s="435"/>
      <c r="L396" s="436"/>
      <c r="M396" s="437"/>
      <c r="N396" s="418">
        <f>SUM(J396:M396)</f>
        <v>0</v>
      </c>
      <c r="O396" s="2"/>
      <c r="P396" s="2"/>
      <c r="Q396" s="2"/>
      <c r="R396" s="2"/>
    </row>
    <row r="397" spans="1:18" ht="14.95" customHeight="1" thickBot="1" x14ac:dyDescent="0.3">
      <c r="A397" s="133"/>
      <c r="B397" s="131"/>
      <c r="C397" s="71"/>
      <c r="D397" s="441"/>
      <c r="E397" s="442"/>
      <c r="F397" s="439"/>
      <c r="G397" s="401">
        <f>SUM(C397:F397)</f>
        <v>0</v>
      </c>
      <c r="H397" s="416"/>
      <c r="I397" s="417"/>
      <c r="J397" s="418"/>
      <c r="K397" s="435"/>
      <c r="L397" s="436"/>
      <c r="M397" s="437"/>
      <c r="N397" s="418">
        <f>SUM(J397:M397)</f>
        <v>0</v>
      </c>
      <c r="O397" s="2"/>
      <c r="P397" s="2"/>
      <c r="Q397" s="2"/>
      <c r="R397" s="2"/>
    </row>
    <row r="398" spans="1:18" ht="14.95" customHeight="1" thickBot="1" x14ac:dyDescent="0.3">
      <c r="A398" s="133"/>
      <c r="B398" s="131"/>
      <c r="C398" s="71"/>
      <c r="D398" s="441"/>
      <c r="E398" s="442"/>
      <c r="F398" s="439"/>
      <c r="G398" s="401">
        <f>SUM(C398:F398)</f>
        <v>0</v>
      </c>
      <c r="H398" s="420"/>
      <c r="I398" s="420"/>
      <c r="J398" s="421"/>
      <c r="K398" s="443"/>
      <c r="L398" s="436"/>
      <c r="M398" s="437"/>
      <c r="N398" s="419">
        <f>SUM(J398:M398)</f>
        <v>0</v>
      </c>
      <c r="O398" s="2"/>
      <c r="P398" s="2"/>
      <c r="Q398" s="2"/>
      <c r="R398" s="2"/>
    </row>
    <row r="399" spans="1:18" ht="14.95" customHeight="1" thickBot="1" x14ac:dyDescent="0.3">
      <c r="A399" s="133"/>
      <c r="B399" s="131"/>
      <c r="C399" s="71"/>
      <c r="D399" s="441"/>
      <c r="E399" s="442"/>
      <c r="F399" s="439"/>
      <c r="G399" s="401">
        <f>SUM(C399:F399)</f>
        <v>0</v>
      </c>
      <c r="H399" s="416"/>
      <c r="I399" s="417"/>
      <c r="J399" s="418"/>
      <c r="K399" s="435"/>
      <c r="L399" s="436"/>
      <c r="M399" s="437"/>
      <c r="N399" s="418">
        <f>SUM(J399:M399)</f>
        <v>0</v>
      </c>
      <c r="O399" s="2"/>
      <c r="P399" s="2"/>
      <c r="Q399" s="2"/>
      <c r="R399" s="2"/>
    </row>
    <row r="400" spans="1:18" ht="14.95" customHeight="1" thickBot="1" x14ac:dyDescent="0.3">
      <c r="A400" s="133"/>
      <c r="B400" s="131"/>
      <c r="C400" s="71"/>
      <c r="D400" s="441"/>
      <c r="E400" s="442"/>
      <c r="F400" s="439"/>
      <c r="G400" s="401">
        <f>SUM(C400:F400)</f>
        <v>0</v>
      </c>
      <c r="H400" s="416"/>
      <c r="I400" s="417"/>
      <c r="J400" s="418"/>
      <c r="K400" s="435"/>
      <c r="L400" s="436"/>
      <c r="M400" s="437"/>
      <c r="N400" s="418">
        <f>SUM(J400:M400)</f>
        <v>0</v>
      </c>
      <c r="O400" s="2"/>
      <c r="P400" s="2"/>
      <c r="Q400" s="2"/>
      <c r="R400" s="2"/>
    </row>
    <row r="401" spans="1:18" ht="14.95" customHeight="1" thickBot="1" x14ac:dyDescent="0.3">
      <c r="A401" s="133"/>
      <c r="B401" s="131"/>
      <c r="C401" s="71"/>
      <c r="D401" s="441"/>
      <c r="E401" s="442"/>
      <c r="F401" s="439"/>
      <c r="G401" s="401">
        <f>SUM(C401:F401)</f>
        <v>0</v>
      </c>
      <c r="H401" s="416"/>
      <c r="I401" s="417"/>
      <c r="J401" s="418"/>
      <c r="K401" s="435"/>
      <c r="L401" s="436"/>
      <c r="M401" s="437"/>
      <c r="N401" s="418">
        <f>SUM(J401:M401)</f>
        <v>0</v>
      </c>
      <c r="O401" s="2"/>
      <c r="P401" s="2"/>
      <c r="Q401" s="2"/>
      <c r="R401" s="2"/>
    </row>
    <row r="402" spans="1:18" ht="14.95" customHeight="1" thickBot="1" x14ac:dyDescent="0.3">
      <c r="A402" s="133"/>
      <c r="B402" s="131"/>
      <c r="C402" s="71"/>
      <c r="D402" s="441"/>
      <c r="E402" s="442"/>
      <c r="F402" s="439"/>
      <c r="G402" s="401">
        <f>SUM(C402:F402)</f>
        <v>0</v>
      </c>
      <c r="H402" s="416"/>
      <c r="I402" s="417"/>
      <c r="J402" s="418"/>
      <c r="K402" s="435"/>
      <c r="L402" s="436"/>
      <c r="M402" s="437"/>
      <c r="N402" s="418">
        <f>SUM(J402:M402)</f>
        <v>0</v>
      </c>
      <c r="O402" s="2"/>
      <c r="P402" s="2"/>
      <c r="Q402" s="2"/>
      <c r="R402" s="2"/>
    </row>
    <row r="403" spans="1:18" ht="14.95" customHeight="1" thickBot="1" x14ac:dyDescent="0.3">
      <c r="A403" s="133"/>
      <c r="B403" s="131"/>
      <c r="C403" s="71"/>
      <c r="D403" s="441"/>
      <c r="E403" s="442"/>
      <c r="F403" s="439"/>
      <c r="G403" s="401">
        <f>SUM(C403:F403)</f>
        <v>0</v>
      </c>
      <c r="H403" s="416"/>
      <c r="I403" s="417"/>
      <c r="J403" s="418"/>
      <c r="K403" s="435"/>
      <c r="L403" s="436"/>
      <c r="M403" s="437"/>
      <c r="N403" s="418">
        <f>SUM(J403:M403)</f>
        <v>0</v>
      </c>
      <c r="O403" s="2"/>
      <c r="P403" s="2"/>
      <c r="Q403" s="2"/>
      <c r="R403" s="2"/>
    </row>
    <row r="404" spans="1:18" ht="14.95" customHeight="1" thickBot="1" x14ac:dyDescent="0.3">
      <c r="A404" s="133"/>
      <c r="B404" s="131"/>
      <c r="C404" s="71"/>
      <c r="D404" s="441"/>
      <c r="E404" s="442"/>
      <c r="F404" s="439"/>
      <c r="G404" s="401">
        <f>SUM(C404:F404)</f>
        <v>0</v>
      </c>
      <c r="H404" s="416"/>
      <c r="I404" s="417"/>
      <c r="J404" s="418"/>
      <c r="K404" s="435"/>
      <c r="L404" s="436"/>
      <c r="M404" s="437"/>
      <c r="N404" s="418">
        <f>SUM(J404:M404)</f>
        <v>0</v>
      </c>
      <c r="O404" s="2"/>
      <c r="P404" s="2"/>
      <c r="Q404" s="2"/>
      <c r="R404" s="2"/>
    </row>
    <row r="405" spans="1:18" ht="14.95" customHeight="1" thickBot="1" x14ac:dyDescent="0.3">
      <c r="A405" s="133"/>
      <c r="B405" s="131"/>
      <c r="C405" s="71"/>
      <c r="D405" s="441"/>
      <c r="E405" s="442"/>
      <c r="F405" s="439"/>
      <c r="G405" s="401">
        <f>SUM(C405:F405)</f>
        <v>0</v>
      </c>
      <c r="H405" s="416"/>
      <c r="I405" s="417"/>
      <c r="J405" s="418"/>
      <c r="K405" s="435"/>
      <c r="L405" s="436"/>
      <c r="M405" s="437"/>
      <c r="N405" s="418">
        <f>SUM(J405:M405)</f>
        <v>0</v>
      </c>
      <c r="O405" s="2"/>
      <c r="P405" s="2"/>
      <c r="Q405" s="2"/>
      <c r="R405" s="2"/>
    </row>
    <row r="406" spans="1:18" ht="14.95" customHeight="1" thickBot="1" x14ac:dyDescent="0.3">
      <c r="A406" s="133"/>
      <c r="B406" s="131"/>
      <c r="C406" s="71"/>
      <c r="D406" s="441"/>
      <c r="E406" s="442"/>
      <c r="F406" s="439"/>
      <c r="G406" s="401">
        <f>SUM(C406:F406)</f>
        <v>0</v>
      </c>
      <c r="H406" s="416"/>
      <c r="I406" s="417"/>
      <c r="J406" s="418"/>
      <c r="K406" s="435"/>
      <c r="L406" s="436"/>
      <c r="M406" s="437"/>
      <c r="N406" s="418">
        <f>SUM(J406:M406)</f>
        <v>0</v>
      </c>
      <c r="O406" s="2"/>
      <c r="P406" s="2"/>
      <c r="Q406" s="2"/>
      <c r="R406" s="2"/>
    </row>
    <row r="407" spans="1:18" ht="14.95" customHeight="1" thickBot="1" x14ac:dyDescent="0.3">
      <c r="A407" s="133"/>
      <c r="B407" s="131"/>
      <c r="C407" s="71"/>
      <c r="D407" s="441"/>
      <c r="E407" s="442"/>
      <c r="F407" s="439"/>
      <c r="G407" s="401">
        <f>SUM(C407:F407)</f>
        <v>0</v>
      </c>
      <c r="H407" s="416"/>
      <c r="I407" s="417"/>
      <c r="J407" s="418"/>
      <c r="K407" s="435"/>
      <c r="L407" s="436"/>
      <c r="M407" s="437"/>
      <c r="N407" s="418">
        <f>SUM(J407:M407)</f>
        <v>0</v>
      </c>
      <c r="O407" s="2"/>
      <c r="P407" s="2"/>
      <c r="Q407" s="2"/>
      <c r="R407" s="2"/>
    </row>
    <row r="408" spans="1:18" ht="14.95" customHeight="1" thickBot="1" x14ac:dyDescent="0.3">
      <c r="A408" s="133"/>
      <c r="B408" s="131"/>
      <c r="C408" s="71"/>
      <c r="D408" s="441"/>
      <c r="E408" s="442"/>
      <c r="F408" s="439"/>
      <c r="G408" s="401">
        <f>SUM(C408:F408)</f>
        <v>0</v>
      </c>
      <c r="H408" s="416"/>
      <c r="I408" s="417"/>
      <c r="J408" s="418"/>
      <c r="K408" s="435"/>
      <c r="L408" s="436"/>
      <c r="M408" s="437"/>
      <c r="N408" s="418">
        <f>SUM(J408:M408)</f>
        <v>0</v>
      </c>
      <c r="O408" s="2"/>
      <c r="P408" s="2"/>
      <c r="Q408" s="2"/>
      <c r="R408" s="2"/>
    </row>
    <row r="409" spans="1:18" ht="14.95" customHeight="1" thickBot="1" x14ac:dyDescent="0.3">
      <c r="A409" s="133"/>
      <c r="B409" s="131"/>
      <c r="C409" s="71"/>
      <c r="D409" s="441"/>
      <c r="E409" s="442"/>
      <c r="F409" s="439"/>
      <c r="G409" s="401">
        <f>SUM(C409:F409)</f>
        <v>0</v>
      </c>
      <c r="H409" s="416"/>
      <c r="I409" s="417"/>
      <c r="J409" s="418"/>
      <c r="K409" s="435"/>
      <c r="L409" s="436"/>
      <c r="M409" s="437"/>
      <c r="N409" s="418">
        <f>SUM(J409:M409)</f>
        <v>0</v>
      </c>
      <c r="O409" s="2"/>
      <c r="P409" s="2"/>
      <c r="Q409" s="2"/>
      <c r="R409" s="2"/>
    </row>
    <row r="410" spans="1:18" ht="14.95" customHeight="1" thickBot="1" x14ac:dyDescent="0.3">
      <c r="A410" s="133"/>
      <c r="B410" s="131"/>
      <c r="C410" s="71"/>
      <c r="D410" s="441"/>
      <c r="E410" s="442"/>
      <c r="F410" s="439"/>
      <c r="G410" s="401">
        <f>SUM(C410:F410)</f>
        <v>0</v>
      </c>
      <c r="H410" s="416"/>
      <c r="I410" s="417"/>
      <c r="J410" s="418"/>
      <c r="K410" s="435"/>
      <c r="L410" s="436"/>
      <c r="M410" s="437"/>
      <c r="N410" s="418">
        <f>SUM(J410:M410)</f>
        <v>0</v>
      </c>
      <c r="O410" s="2"/>
      <c r="P410" s="2"/>
      <c r="Q410" s="2"/>
      <c r="R410" s="2"/>
    </row>
    <row r="411" spans="1:18" ht="14.95" customHeight="1" thickBot="1" x14ac:dyDescent="0.3">
      <c r="A411" s="133"/>
      <c r="B411" s="131"/>
      <c r="C411" s="71"/>
      <c r="D411" s="441"/>
      <c r="E411" s="442"/>
      <c r="F411" s="439"/>
      <c r="G411" s="401">
        <f>SUM(C411:F411)</f>
        <v>0</v>
      </c>
      <c r="H411" s="416"/>
      <c r="I411" s="417"/>
      <c r="J411" s="418"/>
      <c r="K411" s="435"/>
      <c r="L411" s="436"/>
      <c r="M411" s="437"/>
      <c r="N411" s="418">
        <f>SUM(J411:M411)</f>
        <v>0</v>
      </c>
      <c r="O411" s="2"/>
      <c r="P411" s="2"/>
      <c r="Q411" s="2"/>
      <c r="R411" s="2"/>
    </row>
    <row r="412" spans="1:18" ht="14.95" customHeight="1" thickBot="1" x14ac:dyDescent="0.3">
      <c r="A412" s="133"/>
      <c r="B412" s="131"/>
      <c r="C412" s="71"/>
      <c r="D412" s="441"/>
      <c r="E412" s="442"/>
      <c r="F412" s="439"/>
      <c r="G412" s="401">
        <f>SUM(C412:F412)</f>
        <v>0</v>
      </c>
      <c r="H412" s="416"/>
      <c r="I412" s="417"/>
      <c r="J412" s="418"/>
      <c r="K412" s="435"/>
      <c r="L412" s="436"/>
      <c r="M412" s="437"/>
      <c r="N412" s="418">
        <f>SUM(J412:M412)</f>
        <v>0</v>
      </c>
      <c r="O412" s="2"/>
      <c r="P412" s="2"/>
      <c r="Q412" s="2"/>
      <c r="R412" s="2"/>
    </row>
    <row r="413" spans="1:18" ht="14.95" customHeight="1" thickBot="1" x14ac:dyDescent="0.3">
      <c r="A413" s="133"/>
      <c r="B413" s="131"/>
      <c r="C413" s="71"/>
      <c r="D413" s="441"/>
      <c r="E413" s="442"/>
      <c r="F413" s="439"/>
      <c r="G413" s="401">
        <f>SUM(C413:F413)</f>
        <v>0</v>
      </c>
      <c r="H413" s="416"/>
      <c r="I413" s="417"/>
      <c r="J413" s="418"/>
      <c r="K413" s="435"/>
      <c r="L413" s="436"/>
      <c r="M413" s="437"/>
      <c r="N413" s="418">
        <f>SUM(J413:M413)</f>
        <v>0</v>
      </c>
      <c r="O413" s="2"/>
      <c r="P413" s="2"/>
      <c r="Q413" s="2"/>
      <c r="R413" s="2"/>
    </row>
    <row r="414" spans="1:18" ht="14.95" customHeight="1" thickBot="1" x14ac:dyDescent="0.3">
      <c r="A414" s="133"/>
      <c r="B414" s="131"/>
      <c r="C414" s="71"/>
      <c r="D414" s="441"/>
      <c r="E414" s="442"/>
      <c r="F414" s="439"/>
      <c r="G414" s="401">
        <f>SUM(C414:F414)</f>
        <v>0</v>
      </c>
      <c r="H414" s="416"/>
      <c r="I414" s="417"/>
      <c r="J414" s="418"/>
      <c r="K414" s="435"/>
      <c r="L414" s="436"/>
      <c r="M414" s="437"/>
      <c r="N414" s="418">
        <f>SUM(J414:M414)</f>
        <v>0</v>
      </c>
      <c r="O414" s="2"/>
      <c r="P414" s="2"/>
      <c r="Q414" s="2"/>
      <c r="R414" s="2"/>
    </row>
    <row r="415" spans="1:18" ht="14.95" customHeight="1" thickBot="1" x14ac:dyDescent="0.3">
      <c r="A415" s="133"/>
      <c r="B415" s="131"/>
      <c r="C415" s="71"/>
      <c r="D415" s="441"/>
      <c r="E415" s="442"/>
      <c r="F415" s="439"/>
      <c r="G415" s="401">
        <f>SUM(C415:F415)</f>
        <v>0</v>
      </c>
      <c r="H415" s="416"/>
      <c r="I415" s="417"/>
      <c r="J415" s="418"/>
      <c r="K415" s="435"/>
      <c r="L415" s="436"/>
      <c r="M415" s="437"/>
      <c r="N415" s="418">
        <f>SUM(J415:M415)</f>
        <v>0</v>
      </c>
      <c r="O415" s="2"/>
      <c r="P415" s="2"/>
      <c r="Q415" s="2"/>
      <c r="R415" s="2"/>
    </row>
    <row r="416" spans="1:18" ht="14.95" customHeight="1" thickBot="1" x14ac:dyDescent="0.3">
      <c r="A416" s="133"/>
      <c r="B416" s="131"/>
      <c r="C416" s="71"/>
      <c r="D416" s="441"/>
      <c r="E416" s="442"/>
      <c r="F416" s="439"/>
      <c r="G416" s="401">
        <f>SUM(C416:F416)</f>
        <v>0</v>
      </c>
      <c r="H416" s="416"/>
      <c r="I416" s="417"/>
      <c r="J416" s="418"/>
      <c r="K416" s="435"/>
      <c r="L416" s="436"/>
      <c r="M416" s="437"/>
      <c r="N416" s="418">
        <f>SUM(J416:M416)</f>
        <v>0</v>
      </c>
      <c r="O416" s="2"/>
      <c r="P416" s="2"/>
      <c r="Q416" s="2"/>
      <c r="R416" s="2"/>
    </row>
    <row r="417" spans="1:18" ht="14.95" customHeight="1" thickBot="1" x14ac:dyDescent="0.3">
      <c r="A417" s="132"/>
      <c r="B417" s="131"/>
      <c r="C417" s="71"/>
      <c r="D417" s="432"/>
      <c r="E417" s="433"/>
      <c r="F417" s="439"/>
      <c r="G417" s="401">
        <f>SUM(C417:F417)</f>
        <v>0</v>
      </c>
      <c r="H417" s="416"/>
      <c r="I417" s="417"/>
      <c r="J417" s="418"/>
      <c r="K417" s="435"/>
      <c r="L417" s="436"/>
      <c r="M417" s="437"/>
      <c r="N417" s="418">
        <f>SUM(J417:M417)</f>
        <v>0</v>
      </c>
      <c r="O417" s="2"/>
      <c r="P417" s="2"/>
      <c r="Q417" s="2"/>
      <c r="R417" s="2"/>
    </row>
    <row r="418" spans="1:18" ht="14.95" customHeight="1" thickBot="1" x14ac:dyDescent="0.3">
      <c r="A418" s="132"/>
      <c r="B418" s="131"/>
      <c r="C418" s="71"/>
      <c r="D418" s="432"/>
      <c r="E418" s="433"/>
      <c r="F418" s="439"/>
      <c r="G418" s="401">
        <f>SUM(C418:F418)</f>
        <v>0</v>
      </c>
      <c r="H418" s="416"/>
      <c r="I418" s="417"/>
      <c r="J418" s="418"/>
      <c r="K418" s="435"/>
      <c r="L418" s="436"/>
      <c r="M418" s="437"/>
      <c r="N418" s="418">
        <f>SUM(J418:M418)</f>
        <v>0</v>
      </c>
      <c r="O418" s="2"/>
      <c r="P418" s="2"/>
      <c r="Q418" s="2"/>
      <c r="R418" s="2"/>
    </row>
    <row r="419" spans="1:18" ht="14.95" customHeight="1" thickBot="1" x14ac:dyDescent="0.3">
      <c r="A419" s="132"/>
      <c r="B419" s="131"/>
      <c r="C419" s="71"/>
      <c r="D419" s="432"/>
      <c r="E419" s="433"/>
      <c r="F419" s="439"/>
      <c r="G419" s="401">
        <f>SUM(C419:F419)</f>
        <v>0</v>
      </c>
      <c r="H419" s="416"/>
      <c r="I419" s="417"/>
      <c r="J419" s="418"/>
      <c r="K419" s="435"/>
      <c r="L419" s="436"/>
      <c r="M419" s="437"/>
      <c r="N419" s="418">
        <f>SUM(J419:M419)</f>
        <v>0</v>
      </c>
      <c r="O419" s="2"/>
      <c r="P419" s="2"/>
      <c r="Q419" s="2"/>
      <c r="R419" s="2"/>
    </row>
    <row r="420" spans="1:18" ht="14.95" customHeight="1" thickBot="1" x14ac:dyDescent="0.3">
      <c r="A420" s="132"/>
      <c r="B420" s="131"/>
      <c r="C420" s="71"/>
      <c r="D420" s="432"/>
      <c r="E420" s="433"/>
      <c r="F420" s="439"/>
      <c r="G420" s="401">
        <f>SUM(C420:F420)</f>
        <v>0</v>
      </c>
      <c r="H420" s="416"/>
      <c r="I420" s="417"/>
      <c r="J420" s="418"/>
      <c r="K420" s="435"/>
      <c r="L420" s="436"/>
      <c r="M420" s="437"/>
      <c r="N420" s="418">
        <f>SUM(J420:M420)</f>
        <v>0</v>
      </c>
      <c r="O420" s="2"/>
      <c r="P420" s="2"/>
      <c r="Q420" s="2"/>
      <c r="R420" s="2"/>
    </row>
    <row r="421" spans="1:18" ht="14.95" customHeight="1" thickBot="1" x14ac:dyDescent="0.3">
      <c r="A421" s="132"/>
      <c r="B421" s="131"/>
      <c r="C421" s="71"/>
      <c r="D421" s="432"/>
      <c r="E421" s="433"/>
      <c r="F421" s="439"/>
      <c r="G421" s="401">
        <f>SUM(C421:F421)</f>
        <v>0</v>
      </c>
      <c r="H421" s="416"/>
      <c r="I421" s="417"/>
      <c r="J421" s="418"/>
      <c r="K421" s="435"/>
      <c r="L421" s="436"/>
      <c r="M421" s="437"/>
      <c r="N421" s="418">
        <f>SUM(J421:M421)</f>
        <v>0</v>
      </c>
      <c r="O421" s="2"/>
      <c r="P421" s="2"/>
      <c r="Q421" s="2"/>
      <c r="R421" s="2"/>
    </row>
    <row r="422" spans="1:18" ht="14.95" customHeight="1" thickBot="1" x14ac:dyDescent="0.3">
      <c r="A422" s="132"/>
      <c r="B422" s="131"/>
      <c r="C422" s="71"/>
      <c r="D422" s="432"/>
      <c r="E422" s="433"/>
      <c r="F422" s="439"/>
      <c r="G422" s="401">
        <f>SUM(C422:F422)</f>
        <v>0</v>
      </c>
      <c r="H422" s="416"/>
      <c r="I422" s="417"/>
      <c r="J422" s="418"/>
      <c r="K422" s="435"/>
      <c r="L422" s="436"/>
      <c r="M422" s="437"/>
      <c r="N422" s="418">
        <f>SUM(J422:M422)</f>
        <v>0</v>
      </c>
      <c r="O422" s="2"/>
      <c r="P422" s="2"/>
      <c r="Q422" s="2"/>
      <c r="R422" s="2"/>
    </row>
    <row r="423" spans="1:18" ht="14.95" customHeight="1" thickBot="1" x14ac:dyDescent="0.3">
      <c r="A423" s="132"/>
      <c r="B423" s="131"/>
      <c r="C423" s="71"/>
      <c r="D423" s="432"/>
      <c r="E423" s="433"/>
      <c r="F423" s="439"/>
      <c r="G423" s="401">
        <f>SUM(C423:F423)</f>
        <v>0</v>
      </c>
      <c r="H423" s="416"/>
      <c r="I423" s="417"/>
      <c r="J423" s="418"/>
      <c r="K423" s="435"/>
      <c r="L423" s="436"/>
      <c r="M423" s="437"/>
      <c r="N423" s="418">
        <f>SUM(J423:M423)</f>
        <v>0</v>
      </c>
      <c r="O423" s="2"/>
      <c r="P423" s="2"/>
      <c r="Q423" s="2"/>
      <c r="R423" s="2"/>
    </row>
    <row r="424" spans="1:18" ht="14.95" customHeight="1" thickBot="1" x14ac:dyDescent="0.3">
      <c r="A424" s="132"/>
      <c r="B424" s="131"/>
      <c r="C424" s="71"/>
      <c r="D424" s="432"/>
      <c r="E424" s="433"/>
      <c r="F424" s="439"/>
      <c r="G424" s="401">
        <f>SUM(C424:F424)</f>
        <v>0</v>
      </c>
      <c r="H424" s="416"/>
      <c r="I424" s="417"/>
      <c r="J424" s="418"/>
      <c r="K424" s="435"/>
      <c r="L424" s="436"/>
      <c r="M424" s="437"/>
      <c r="N424" s="418">
        <f>SUM(J424:M424)</f>
        <v>0</v>
      </c>
      <c r="O424" s="2"/>
      <c r="P424" s="2"/>
      <c r="Q424" s="2"/>
      <c r="R424" s="2"/>
    </row>
    <row r="425" spans="1:18" ht="14.95" customHeight="1" thickBot="1" x14ac:dyDescent="0.3">
      <c r="A425" s="132"/>
      <c r="B425" s="131"/>
      <c r="C425" s="71"/>
      <c r="D425" s="432"/>
      <c r="E425" s="433"/>
      <c r="F425" s="439"/>
      <c r="G425" s="401">
        <f>SUM(C425:F425)</f>
        <v>0</v>
      </c>
      <c r="H425" s="420"/>
      <c r="I425" s="417"/>
      <c r="J425" s="418"/>
      <c r="K425" s="443"/>
      <c r="L425" s="436"/>
      <c r="M425" s="437"/>
      <c r="N425" s="418">
        <f>SUM(J425:M425)</f>
        <v>0</v>
      </c>
      <c r="O425" s="2"/>
      <c r="P425" s="2"/>
      <c r="Q425" s="2"/>
      <c r="R425" s="2"/>
    </row>
    <row r="426" spans="1:18" ht="14.95" customHeight="1" thickBot="1" x14ac:dyDescent="0.3">
      <c r="A426" s="132"/>
      <c r="B426" s="131"/>
      <c r="C426" s="71"/>
      <c r="D426" s="432"/>
      <c r="E426" s="433"/>
      <c r="F426" s="439"/>
      <c r="G426" s="401">
        <f>SUM(C426:F426)</f>
        <v>0</v>
      </c>
      <c r="H426" s="416"/>
      <c r="I426" s="417"/>
      <c r="J426" s="418"/>
      <c r="K426" s="435"/>
      <c r="L426" s="436"/>
      <c r="M426" s="437"/>
      <c r="N426" s="418">
        <f>SUM(J426:M426)</f>
        <v>0</v>
      </c>
      <c r="O426" s="2"/>
      <c r="P426" s="2"/>
      <c r="Q426" s="2"/>
      <c r="R426" s="2"/>
    </row>
    <row r="427" spans="1:18" ht="14.95" customHeight="1" thickBot="1" x14ac:dyDescent="0.3">
      <c r="A427" s="132"/>
      <c r="B427" s="131"/>
      <c r="C427" s="71"/>
      <c r="D427" s="432"/>
      <c r="E427" s="433"/>
      <c r="F427" s="439"/>
      <c r="G427" s="401">
        <f>SUM(C427:F427)</f>
        <v>0</v>
      </c>
      <c r="H427" s="416"/>
      <c r="I427" s="417"/>
      <c r="J427" s="418"/>
      <c r="K427" s="435"/>
      <c r="L427" s="436"/>
      <c r="M427" s="437"/>
      <c r="N427" s="418">
        <f>SUM(J427:M427)</f>
        <v>0</v>
      </c>
      <c r="O427" s="2"/>
      <c r="P427" s="2"/>
      <c r="Q427" s="2"/>
      <c r="R427" s="2"/>
    </row>
    <row r="428" spans="1:18" ht="14.95" customHeight="1" thickBot="1" x14ac:dyDescent="0.3">
      <c r="A428" s="132"/>
      <c r="B428" s="131"/>
      <c r="C428" s="71"/>
      <c r="D428" s="432"/>
      <c r="E428" s="433"/>
      <c r="F428" s="439"/>
      <c r="G428" s="401">
        <f>SUM(C428:F428)</f>
        <v>0</v>
      </c>
      <c r="H428" s="416"/>
      <c r="I428" s="417"/>
      <c r="J428" s="418"/>
      <c r="K428" s="435"/>
      <c r="L428" s="436"/>
      <c r="M428" s="437"/>
      <c r="N428" s="418">
        <f>SUM(J428:M428)</f>
        <v>0</v>
      </c>
      <c r="O428" s="2"/>
      <c r="P428" s="2"/>
      <c r="Q428" s="2"/>
      <c r="R428" s="2"/>
    </row>
    <row r="429" spans="1:18" ht="14.95" customHeight="1" thickBot="1" x14ac:dyDescent="0.3">
      <c r="A429" s="132"/>
      <c r="B429" s="131"/>
      <c r="C429" s="71"/>
      <c r="D429" s="432"/>
      <c r="E429" s="433"/>
      <c r="F429" s="439"/>
      <c r="G429" s="401">
        <f>SUM(C429:F429)</f>
        <v>0</v>
      </c>
      <c r="H429" s="416"/>
      <c r="I429" s="417"/>
      <c r="J429" s="418"/>
      <c r="K429" s="435"/>
      <c r="L429" s="436"/>
      <c r="M429" s="437"/>
      <c r="N429" s="418">
        <f>SUM(J429:M429)</f>
        <v>0</v>
      </c>
      <c r="O429" s="2"/>
      <c r="P429" s="2"/>
      <c r="Q429" s="2"/>
      <c r="R429" s="2"/>
    </row>
    <row r="430" spans="1:18" ht="14.95" customHeight="1" thickBot="1" x14ac:dyDescent="0.3">
      <c r="A430" s="133" t="s">
        <v>1012</v>
      </c>
      <c r="B430" s="133"/>
      <c r="C430" s="408">
        <f>SUM(C4:C429)</f>
        <v>5</v>
      </c>
      <c r="D430" s="402">
        <f>SUM(D4:D429)</f>
        <v>53</v>
      </c>
      <c r="E430" s="403">
        <f>SUM(E4:E429)</f>
        <v>28</v>
      </c>
      <c r="F430" s="407">
        <f>SUM(F4:F429)</f>
        <v>0</v>
      </c>
      <c r="G430" s="404">
        <f>SUM(G1:G429)</f>
        <v>86</v>
      </c>
      <c r="H430" s="420" t="s">
        <v>1012</v>
      </c>
      <c r="I430" s="420"/>
      <c r="J430" s="421">
        <f>SUM(J4:J429)</f>
        <v>33</v>
      </c>
      <c r="K430" s="472">
        <f>SUM(K4:K429)</f>
        <v>348</v>
      </c>
      <c r="L430" s="473">
        <f>SUM(L4:L429)</f>
        <v>182</v>
      </c>
      <c r="M430" s="474">
        <f>SUM(M4:M429)</f>
        <v>0</v>
      </c>
      <c r="N430" s="475">
        <f>SUM(N1:N429)</f>
        <v>563</v>
      </c>
      <c r="O430" s="2"/>
      <c r="P430" s="2"/>
      <c r="Q430" s="2"/>
      <c r="R430" s="2"/>
    </row>
    <row r="431" spans="1:18" ht="14.95" customHeight="1" x14ac:dyDescent="0.3">
      <c r="A431" s="388" t="s">
        <v>10</v>
      </c>
    </row>
    <row r="432" spans="1:18" ht="14.95" customHeight="1" x14ac:dyDescent="0.25"/>
  </sheetData>
  <sortState xmlns:xlrd2="http://schemas.microsoft.com/office/spreadsheetml/2017/richdata2" ref="O4:S17">
    <sortCondition sortBy="fontColor" ref="R4:R17" dxfId="1"/>
    <sortCondition descending="1" ref="S4:S17"/>
    <sortCondition descending="1" ref="R4:R17"/>
    <sortCondition ref="O4:O17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8"/>
  <sheetViews>
    <sheetView topLeftCell="A15" zoomScaleNormal="100" workbookViewId="0">
      <selection activeCell="G41" sqref="G41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4" width="4.5" customWidth="1"/>
    <col min="5" max="5" width="4.75" customWidth="1"/>
    <col min="6" max="6" width="16.5" customWidth="1"/>
    <col min="7" max="7" width="5.25" customWidth="1"/>
    <col min="8" max="8" width="4.875" customWidth="1"/>
    <col min="9" max="10" width="5.25" customWidth="1"/>
    <col min="11" max="11" width="15.25" customWidth="1"/>
    <col min="12" max="21" width="5.5" customWidth="1"/>
    <col min="22" max="24" width="5.625" customWidth="1"/>
    <col min="27" max="32" width="5.625" customWidth="1"/>
  </cols>
  <sheetData>
    <row r="1" spans="1:32" ht="14.95" customHeight="1" thickBot="1" x14ac:dyDescent="0.3">
      <c r="A1" s="574" t="s">
        <v>998</v>
      </c>
      <c r="B1" s="575"/>
      <c r="C1" s="575"/>
      <c r="D1" s="575"/>
      <c r="E1" s="575"/>
      <c r="F1" s="575"/>
      <c r="G1" s="575"/>
      <c r="H1" s="575"/>
      <c r="I1" s="575"/>
      <c r="J1" s="576"/>
      <c r="K1" s="579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85" t="s">
        <v>0</v>
      </c>
      <c r="B2" s="282" t="s">
        <v>14</v>
      </c>
      <c r="C2" s="236" t="s">
        <v>500</v>
      </c>
      <c r="D2" s="76" t="s">
        <v>11</v>
      </c>
      <c r="E2" s="77" t="s">
        <v>1</v>
      </c>
      <c r="F2" s="460" t="s">
        <v>2</v>
      </c>
      <c r="G2" s="451" t="s">
        <v>14</v>
      </c>
      <c r="H2" s="455" t="s">
        <v>500</v>
      </c>
      <c r="I2" s="452" t="s">
        <v>11</v>
      </c>
      <c r="J2" s="463" t="s">
        <v>1</v>
      </c>
      <c r="K2" s="580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35" t="s">
        <v>578</v>
      </c>
      <c r="B3" s="283">
        <v>0</v>
      </c>
      <c r="C3" s="235">
        <v>0</v>
      </c>
      <c r="D3" s="66">
        <v>0</v>
      </c>
      <c r="E3" s="36">
        <f t="shared" ref="E3" si="0">SUM(B3:D3)</f>
        <v>0</v>
      </c>
      <c r="F3" s="461" t="s">
        <v>578</v>
      </c>
      <c r="G3" s="453">
        <v>0</v>
      </c>
      <c r="H3" s="456">
        <v>0</v>
      </c>
      <c r="I3" s="454">
        <v>0</v>
      </c>
      <c r="J3" s="464">
        <f t="shared" ref="J3" si="1">SUM(G3:I3)</f>
        <v>0</v>
      </c>
      <c r="K3" s="4"/>
      <c r="L3" s="1" t="s">
        <v>17</v>
      </c>
      <c r="M3" s="1" t="s">
        <v>5</v>
      </c>
      <c r="N3" s="1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35" t="s">
        <v>391</v>
      </c>
      <c r="B4" s="283">
        <v>1</v>
      </c>
      <c r="C4" s="235">
        <v>0</v>
      </c>
      <c r="D4" s="66">
        <v>0</v>
      </c>
      <c r="E4" s="36">
        <f t="shared" ref="E4:E47" si="2">SUM(B4:D4)</f>
        <v>1</v>
      </c>
      <c r="F4" s="461" t="s">
        <v>391</v>
      </c>
      <c r="G4" s="453">
        <v>21</v>
      </c>
      <c r="H4" s="456">
        <v>0</v>
      </c>
      <c r="I4" s="454">
        <v>0</v>
      </c>
      <c r="J4" s="464">
        <f t="shared" ref="J4:J47" si="3">SUM(G4:I4)</f>
        <v>21</v>
      </c>
      <c r="K4" s="35" t="s">
        <v>391</v>
      </c>
      <c r="L4" s="36">
        <v>8</v>
      </c>
      <c r="M4" s="36">
        <v>10</v>
      </c>
      <c r="N4" s="39">
        <f>SUM(L4/M4)*100</f>
        <v>80</v>
      </c>
      <c r="O4" s="36">
        <v>3</v>
      </c>
      <c r="P4" s="36">
        <v>4</v>
      </c>
      <c r="Q4" s="39">
        <f>SUM(O4/P4)*100</f>
        <v>75</v>
      </c>
      <c r="R4" s="36">
        <v>1</v>
      </c>
      <c r="S4" s="59">
        <v>1</v>
      </c>
      <c r="T4" s="59">
        <v>1</v>
      </c>
      <c r="U4" s="117">
        <v>100</v>
      </c>
      <c r="V4" s="59" t="s">
        <v>8</v>
      </c>
      <c r="W4" s="59" t="s">
        <v>8</v>
      </c>
      <c r="X4" s="117" t="s">
        <v>8</v>
      </c>
      <c r="AA4" s="260">
        <v>2</v>
      </c>
      <c r="AB4" s="59">
        <v>2</v>
      </c>
      <c r="AC4" s="117">
        <f>SUM(AA4/AB4)*100</f>
        <v>100</v>
      </c>
      <c r="AD4" s="260" t="s">
        <v>8</v>
      </c>
      <c r="AE4" s="59" t="s">
        <v>8</v>
      </c>
      <c r="AF4" s="117" t="s">
        <v>8</v>
      </c>
    </row>
    <row r="5" spans="1:32" ht="14.95" customHeight="1" thickBot="1" x14ac:dyDescent="0.3">
      <c r="A5" s="35" t="s">
        <v>72</v>
      </c>
      <c r="B5" s="283">
        <v>0</v>
      </c>
      <c r="C5" s="235">
        <v>0</v>
      </c>
      <c r="D5" s="66">
        <v>0</v>
      </c>
      <c r="E5" s="36">
        <f t="shared" si="2"/>
        <v>0</v>
      </c>
      <c r="F5" s="461" t="s">
        <v>72</v>
      </c>
      <c r="G5" s="453">
        <v>0</v>
      </c>
      <c r="H5" s="456">
        <v>0</v>
      </c>
      <c r="I5" s="454">
        <v>0</v>
      </c>
      <c r="J5" s="464">
        <f t="shared" si="3"/>
        <v>0</v>
      </c>
      <c r="K5" s="35" t="s">
        <v>731</v>
      </c>
      <c r="L5" s="36" t="s">
        <v>8</v>
      </c>
      <c r="M5" s="36" t="s">
        <v>8</v>
      </c>
      <c r="N5" s="39" t="s">
        <v>8</v>
      </c>
      <c r="O5" s="36" t="s">
        <v>8</v>
      </c>
      <c r="P5" s="36" t="s">
        <v>8</v>
      </c>
      <c r="Q5" s="39" t="s">
        <v>8</v>
      </c>
      <c r="R5" s="36">
        <v>-3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AA5" s="260">
        <v>2</v>
      </c>
      <c r="AB5" s="59">
        <v>6</v>
      </c>
      <c r="AC5" s="117">
        <f>SUM(AA5/AB5)*100</f>
        <v>33.333333333333329</v>
      </c>
      <c r="AD5" s="260">
        <v>15</v>
      </c>
      <c r="AE5" s="59">
        <v>19</v>
      </c>
      <c r="AF5" s="117">
        <f>SUM(AD5/AE5)*100</f>
        <v>78.94736842105263</v>
      </c>
    </row>
    <row r="6" spans="1:32" ht="14.95" customHeight="1" thickBot="1" x14ac:dyDescent="0.3">
      <c r="A6" s="35" t="s">
        <v>1021</v>
      </c>
      <c r="B6" s="283">
        <v>1</v>
      </c>
      <c r="C6" s="235">
        <v>0</v>
      </c>
      <c r="D6" s="66">
        <v>0</v>
      </c>
      <c r="E6" s="36">
        <f t="shared" si="2"/>
        <v>1</v>
      </c>
      <c r="F6" s="461" t="s">
        <v>1021</v>
      </c>
      <c r="G6" s="453">
        <v>5</v>
      </c>
      <c r="H6" s="456">
        <v>0</v>
      </c>
      <c r="I6" s="454">
        <v>0</v>
      </c>
      <c r="J6" s="464">
        <f t="shared" si="3"/>
        <v>5</v>
      </c>
      <c r="K6" s="35" t="s">
        <v>399</v>
      </c>
      <c r="L6" s="36" t="s">
        <v>8</v>
      </c>
      <c r="M6" s="36" t="s">
        <v>8</v>
      </c>
      <c r="N6" s="39" t="s">
        <v>8</v>
      </c>
      <c r="O6" s="36" t="s">
        <v>8</v>
      </c>
      <c r="P6" s="36" t="s">
        <v>8</v>
      </c>
      <c r="Q6" s="39" t="s">
        <v>8</v>
      </c>
      <c r="R6" s="36">
        <v>-1</v>
      </c>
      <c r="S6" s="59">
        <v>40</v>
      </c>
      <c r="T6" s="59">
        <v>51</v>
      </c>
      <c r="U6" s="117">
        <v>78.431372549019613</v>
      </c>
      <c r="V6" s="59">
        <v>2</v>
      </c>
      <c r="W6" s="59">
        <v>2</v>
      </c>
      <c r="X6" s="117">
        <f>SUM(V6/W6)*100</f>
        <v>100</v>
      </c>
      <c r="AA6" s="260">
        <v>11</v>
      </c>
      <c r="AB6" s="59">
        <v>17</v>
      </c>
      <c r="AC6" s="117">
        <f>SUM(AA6/AB6)*100</f>
        <v>64.705882352941174</v>
      </c>
      <c r="AD6" s="260" t="s">
        <v>8</v>
      </c>
      <c r="AE6" s="59" t="s">
        <v>8</v>
      </c>
      <c r="AF6" s="117" t="s">
        <v>8</v>
      </c>
    </row>
    <row r="7" spans="1:32" ht="14.95" customHeight="1" thickBot="1" x14ac:dyDescent="0.3">
      <c r="A7" s="35" t="s">
        <v>73</v>
      </c>
      <c r="B7" s="283">
        <v>0</v>
      </c>
      <c r="C7" s="235">
        <v>0</v>
      </c>
      <c r="D7" s="66">
        <v>0</v>
      </c>
      <c r="E7" s="36">
        <f t="shared" si="2"/>
        <v>0</v>
      </c>
      <c r="F7" s="461" t="s">
        <v>73</v>
      </c>
      <c r="G7" s="453">
        <v>0</v>
      </c>
      <c r="H7" s="456">
        <v>0</v>
      </c>
      <c r="I7" s="454">
        <v>0</v>
      </c>
      <c r="J7" s="464">
        <f t="shared" si="3"/>
        <v>0</v>
      </c>
      <c r="K7" s="35" t="s">
        <v>76</v>
      </c>
      <c r="L7" s="36" t="s">
        <v>8</v>
      </c>
      <c r="M7" s="36" t="s">
        <v>8</v>
      </c>
      <c r="N7" s="39" t="s">
        <v>8</v>
      </c>
      <c r="O7" s="36" t="s">
        <v>8</v>
      </c>
      <c r="P7" s="36" t="s">
        <v>8</v>
      </c>
      <c r="Q7" s="39" t="s">
        <v>8</v>
      </c>
      <c r="R7" s="36">
        <v>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AA7" s="260" t="s">
        <v>8</v>
      </c>
      <c r="AB7" s="59" t="s">
        <v>8</v>
      </c>
      <c r="AC7" s="117" t="s">
        <v>8</v>
      </c>
      <c r="AD7" s="260">
        <v>28</v>
      </c>
      <c r="AE7" s="59">
        <v>40</v>
      </c>
      <c r="AF7" s="117">
        <f>SUM(AD7/AE7)*100</f>
        <v>70</v>
      </c>
    </row>
    <row r="8" spans="1:32" ht="14.95" customHeight="1" thickBot="1" x14ac:dyDescent="0.3">
      <c r="A8" s="35" t="s">
        <v>742</v>
      </c>
      <c r="B8" s="283">
        <v>0</v>
      </c>
      <c r="C8" s="235">
        <v>0</v>
      </c>
      <c r="D8" s="66">
        <v>0</v>
      </c>
      <c r="E8" s="36">
        <f t="shared" si="2"/>
        <v>0</v>
      </c>
      <c r="F8" s="461" t="s">
        <v>742</v>
      </c>
      <c r="G8" s="453">
        <v>0</v>
      </c>
      <c r="H8" s="456">
        <v>0</v>
      </c>
      <c r="I8" s="454">
        <v>0</v>
      </c>
      <c r="J8" s="464">
        <f t="shared" si="3"/>
        <v>0</v>
      </c>
      <c r="K8" s="35" t="s">
        <v>81</v>
      </c>
      <c r="L8" s="36" t="s">
        <v>8</v>
      </c>
      <c r="M8" s="36" t="s">
        <v>8</v>
      </c>
      <c r="N8" s="39" t="s">
        <v>8</v>
      </c>
      <c r="O8" s="36" t="s">
        <v>8</v>
      </c>
      <c r="P8" s="36" t="s">
        <v>8</v>
      </c>
      <c r="Q8" s="39" t="s">
        <v>8</v>
      </c>
      <c r="R8" s="36">
        <v>-3</v>
      </c>
      <c r="S8" s="59" t="s">
        <v>8</v>
      </c>
      <c r="T8" s="59" t="s">
        <v>8</v>
      </c>
      <c r="U8" s="117" t="s">
        <v>8</v>
      </c>
      <c r="V8" s="59">
        <v>2</v>
      </c>
      <c r="W8" s="59">
        <v>5</v>
      </c>
      <c r="X8" s="117">
        <f>SUM(V8/W8)*100</f>
        <v>40</v>
      </c>
      <c r="AA8" s="260" t="s">
        <v>8</v>
      </c>
      <c r="AB8" s="59" t="s">
        <v>8</v>
      </c>
      <c r="AC8" s="117" t="s">
        <v>8</v>
      </c>
      <c r="AD8" s="260" t="s">
        <v>8</v>
      </c>
      <c r="AE8" s="59" t="s">
        <v>8</v>
      </c>
      <c r="AF8" s="117" t="s">
        <v>8</v>
      </c>
    </row>
    <row r="9" spans="1:32" ht="14.95" customHeight="1" thickBot="1" x14ac:dyDescent="0.3">
      <c r="A9" s="35" t="s">
        <v>210</v>
      </c>
      <c r="B9" s="283">
        <v>0</v>
      </c>
      <c r="C9" s="235">
        <v>0</v>
      </c>
      <c r="D9" s="66">
        <v>0</v>
      </c>
      <c r="E9" s="36">
        <f t="shared" si="2"/>
        <v>0</v>
      </c>
      <c r="F9" s="461" t="s">
        <v>210</v>
      </c>
      <c r="G9" s="453">
        <v>0</v>
      </c>
      <c r="H9" s="456">
        <v>0</v>
      </c>
      <c r="I9" s="454">
        <v>0</v>
      </c>
      <c r="J9" s="464">
        <f t="shared" si="3"/>
        <v>0</v>
      </c>
      <c r="K9" s="35" t="s">
        <v>381</v>
      </c>
      <c r="L9" s="36">
        <v>1</v>
      </c>
      <c r="M9" s="36">
        <v>2</v>
      </c>
      <c r="N9" s="39">
        <f>SUM(L9/M9)*100</f>
        <v>50</v>
      </c>
      <c r="O9" s="36">
        <v>1</v>
      </c>
      <c r="P9" s="36">
        <v>2</v>
      </c>
      <c r="Q9" s="39">
        <f>SUM(O9/P9)*100</f>
        <v>50</v>
      </c>
      <c r="R9" s="36">
        <v>-1</v>
      </c>
      <c r="S9" s="59">
        <v>9</v>
      </c>
      <c r="T9" s="59">
        <v>18</v>
      </c>
      <c r="U9" s="117">
        <v>50</v>
      </c>
      <c r="V9" s="59">
        <v>23</v>
      </c>
      <c r="W9" s="59">
        <v>29</v>
      </c>
      <c r="X9" s="117">
        <f>SUM(V9/W9)*100</f>
        <v>79.310344827586206</v>
      </c>
      <c r="AA9" s="260" t="s">
        <v>8</v>
      </c>
      <c r="AB9" s="59" t="s">
        <v>8</v>
      </c>
      <c r="AC9" s="117" t="s">
        <v>8</v>
      </c>
      <c r="AD9" s="260" t="s">
        <v>8</v>
      </c>
      <c r="AE9" s="59" t="s">
        <v>8</v>
      </c>
      <c r="AF9" s="117" t="s">
        <v>8</v>
      </c>
    </row>
    <row r="10" spans="1:32" ht="14.95" customHeight="1" thickBot="1" x14ac:dyDescent="0.3">
      <c r="A10" s="35" t="s">
        <v>200</v>
      </c>
      <c r="B10" s="283">
        <v>0</v>
      </c>
      <c r="C10" s="235">
        <v>0</v>
      </c>
      <c r="D10" s="66">
        <v>0</v>
      </c>
      <c r="E10" s="36">
        <f t="shared" si="2"/>
        <v>0</v>
      </c>
      <c r="F10" s="461" t="s">
        <v>200</v>
      </c>
      <c r="G10" s="453">
        <v>0</v>
      </c>
      <c r="H10" s="456">
        <v>0</v>
      </c>
      <c r="I10" s="454">
        <v>0</v>
      </c>
      <c r="J10" s="464">
        <f t="shared" si="3"/>
        <v>0</v>
      </c>
      <c r="K10" s="35" t="s">
        <v>646</v>
      </c>
      <c r="L10" s="36" t="s">
        <v>8</v>
      </c>
      <c r="M10" s="36" t="s">
        <v>8</v>
      </c>
      <c r="N10" s="39" t="s">
        <v>8</v>
      </c>
      <c r="O10" s="36" t="s">
        <v>8</v>
      </c>
      <c r="P10" s="36" t="s">
        <v>8</v>
      </c>
      <c r="Q10" s="39" t="s">
        <v>8</v>
      </c>
      <c r="R10" s="36">
        <v>-1</v>
      </c>
      <c r="S10" s="59">
        <v>2</v>
      </c>
      <c r="T10" s="59">
        <v>3</v>
      </c>
      <c r="U10" s="117">
        <v>66.666666666666657</v>
      </c>
      <c r="V10" s="59">
        <v>2</v>
      </c>
      <c r="W10" s="59">
        <v>3</v>
      </c>
      <c r="X10" s="117">
        <f>SUM(V10/W10)*100</f>
        <v>66.666666666666657</v>
      </c>
      <c r="AA10" s="260" t="s">
        <v>8</v>
      </c>
      <c r="AB10" s="59" t="s">
        <v>8</v>
      </c>
      <c r="AC10" s="117" t="s">
        <v>8</v>
      </c>
      <c r="AD10" s="260" t="s">
        <v>8</v>
      </c>
      <c r="AE10" s="59" t="s">
        <v>8</v>
      </c>
      <c r="AF10" s="117" t="s">
        <v>8</v>
      </c>
    </row>
    <row r="11" spans="1:32" ht="14.95" customHeight="1" thickBot="1" x14ac:dyDescent="0.3">
      <c r="A11" s="35" t="s">
        <v>731</v>
      </c>
      <c r="B11" s="283">
        <v>1</v>
      </c>
      <c r="C11" s="235">
        <v>0</v>
      </c>
      <c r="D11" s="66">
        <v>0</v>
      </c>
      <c r="E11" s="36">
        <f t="shared" si="2"/>
        <v>1</v>
      </c>
      <c r="F11" s="461" t="s">
        <v>731</v>
      </c>
      <c r="G11" s="453">
        <v>5</v>
      </c>
      <c r="H11" s="456">
        <v>0</v>
      </c>
      <c r="I11" s="454">
        <v>0</v>
      </c>
      <c r="J11" s="464">
        <f t="shared" si="3"/>
        <v>5</v>
      </c>
      <c r="S11" s="56"/>
    </row>
    <row r="12" spans="1:32" ht="14.95" customHeight="1" thickBot="1" x14ac:dyDescent="0.3">
      <c r="A12" s="35" t="s">
        <v>1017</v>
      </c>
      <c r="B12" s="283">
        <v>1</v>
      </c>
      <c r="C12" s="235">
        <v>0</v>
      </c>
      <c r="D12" s="66">
        <v>0</v>
      </c>
      <c r="E12" s="36">
        <f t="shared" si="2"/>
        <v>1</v>
      </c>
      <c r="F12" s="461" t="s">
        <v>1017</v>
      </c>
      <c r="G12" s="453">
        <v>5</v>
      </c>
      <c r="H12" s="456">
        <v>0</v>
      </c>
      <c r="I12" s="454">
        <v>0</v>
      </c>
      <c r="J12" s="464">
        <f t="shared" si="3"/>
        <v>5</v>
      </c>
      <c r="K12" s="563" t="s">
        <v>13</v>
      </c>
      <c r="L12" s="502">
        <v>2026</v>
      </c>
      <c r="M12" s="503"/>
      <c r="N12" s="504"/>
      <c r="O12" s="516">
        <v>2025</v>
      </c>
      <c r="P12" s="517"/>
      <c r="Q12" s="518"/>
      <c r="R12" s="516">
        <v>2024</v>
      </c>
      <c r="S12" s="517"/>
      <c r="T12" s="518"/>
      <c r="U12" s="516">
        <v>2023</v>
      </c>
      <c r="V12" s="517"/>
      <c r="W12" s="518"/>
      <c r="X12" s="56"/>
      <c r="Y12" s="56"/>
      <c r="AA12" s="516">
        <v>2022</v>
      </c>
      <c r="AB12" s="517"/>
      <c r="AC12" s="518"/>
    </row>
    <row r="13" spans="1:32" ht="14.95" customHeight="1" thickBot="1" x14ac:dyDescent="0.3">
      <c r="A13" s="35" t="s">
        <v>751</v>
      </c>
      <c r="B13" s="283">
        <v>0</v>
      </c>
      <c r="C13" s="235">
        <v>0</v>
      </c>
      <c r="D13" s="66">
        <v>0</v>
      </c>
      <c r="E13" s="36">
        <f t="shared" si="2"/>
        <v>0</v>
      </c>
      <c r="F13" s="461" t="s">
        <v>751</v>
      </c>
      <c r="G13" s="453">
        <v>0</v>
      </c>
      <c r="H13" s="456">
        <v>0</v>
      </c>
      <c r="I13" s="454">
        <v>0</v>
      </c>
      <c r="J13" s="464">
        <f t="shared" si="3"/>
        <v>0</v>
      </c>
      <c r="K13" s="564"/>
      <c r="L13" s="505"/>
      <c r="M13" s="506"/>
      <c r="N13" s="507"/>
      <c r="O13" s="519"/>
      <c r="P13" s="520"/>
      <c r="Q13" s="521"/>
      <c r="R13" s="519"/>
      <c r="S13" s="520"/>
      <c r="T13" s="521"/>
      <c r="U13" s="519"/>
      <c r="V13" s="520"/>
      <c r="W13" s="521"/>
      <c r="X13" s="56"/>
      <c r="Y13" s="56"/>
      <c r="AA13" s="519"/>
      <c r="AB13" s="520"/>
      <c r="AC13" s="521"/>
    </row>
    <row r="14" spans="1:32" ht="14.95" customHeight="1" thickBot="1" x14ac:dyDescent="0.3">
      <c r="A14" s="35" t="s">
        <v>744</v>
      </c>
      <c r="B14" s="283">
        <v>0</v>
      </c>
      <c r="C14" s="235">
        <v>0</v>
      </c>
      <c r="D14" s="66">
        <v>0</v>
      </c>
      <c r="E14" s="36">
        <f t="shared" si="2"/>
        <v>0</v>
      </c>
      <c r="F14" s="461" t="s">
        <v>744</v>
      </c>
      <c r="G14" s="453">
        <v>0</v>
      </c>
      <c r="H14" s="456">
        <v>0</v>
      </c>
      <c r="I14" s="454">
        <v>0</v>
      </c>
      <c r="J14" s="464">
        <f t="shared" si="3"/>
        <v>0</v>
      </c>
      <c r="K14" s="277"/>
      <c r="L14" s="1" t="s">
        <v>17</v>
      </c>
      <c r="M14" s="1" t="s">
        <v>5</v>
      </c>
      <c r="N14" s="1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X14" s="56"/>
      <c r="Y14" s="56"/>
      <c r="AA14" s="260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35" t="s">
        <v>952</v>
      </c>
      <c r="B15" s="283">
        <v>0</v>
      </c>
      <c r="C15" s="235">
        <v>0</v>
      </c>
      <c r="D15" s="66">
        <v>0</v>
      </c>
      <c r="E15" s="36">
        <f t="shared" si="2"/>
        <v>0</v>
      </c>
      <c r="F15" s="461" t="s">
        <v>952</v>
      </c>
      <c r="G15" s="453">
        <v>0</v>
      </c>
      <c r="H15" s="456">
        <v>0</v>
      </c>
      <c r="I15" s="454">
        <v>0</v>
      </c>
      <c r="J15" s="464">
        <f t="shared" si="3"/>
        <v>0</v>
      </c>
      <c r="K15" s="35" t="s">
        <v>391</v>
      </c>
      <c r="L15" s="36">
        <v>8</v>
      </c>
      <c r="M15" s="36">
        <v>10</v>
      </c>
      <c r="N15" s="39">
        <f>SUM(L15/M15)*100</f>
        <v>80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>
        <v>2</v>
      </c>
      <c r="V15" s="59">
        <v>2</v>
      </c>
      <c r="W15" s="117">
        <f>SUM(U15/V15)*100</f>
        <v>100</v>
      </c>
      <c r="X15" s="56"/>
      <c r="Y15" s="56"/>
      <c r="AA15" s="260" t="s">
        <v>8</v>
      </c>
      <c r="AB15" s="59" t="s">
        <v>8</v>
      </c>
      <c r="AC15" s="59" t="s">
        <v>8</v>
      </c>
    </row>
    <row r="16" spans="1:32" ht="14.95" customHeight="1" thickBot="1" x14ac:dyDescent="0.3">
      <c r="A16" s="35" t="s">
        <v>74</v>
      </c>
      <c r="B16" s="283">
        <v>0</v>
      </c>
      <c r="C16" s="235">
        <v>0</v>
      </c>
      <c r="D16" s="66">
        <v>0</v>
      </c>
      <c r="E16" s="36">
        <f t="shared" si="2"/>
        <v>0</v>
      </c>
      <c r="F16" s="461" t="s">
        <v>74</v>
      </c>
      <c r="G16" s="453">
        <v>0</v>
      </c>
      <c r="H16" s="456">
        <v>0</v>
      </c>
      <c r="I16" s="454">
        <v>0</v>
      </c>
      <c r="J16" s="464">
        <f t="shared" si="3"/>
        <v>0</v>
      </c>
      <c r="K16" s="35" t="s">
        <v>731</v>
      </c>
      <c r="L16" s="36" t="s">
        <v>8</v>
      </c>
      <c r="M16" s="36" t="s">
        <v>8</v>
      </c>
      <c r="N16" s="39" t="s">
        <v>8</v>
      </c>
      <c r="O16" s="59" t="s">
        <v>8</v>
      </c>
      <c r="P16" s="59" t="s">
        <v>8</v>
      </c>
      <c r="Q16" s="117" t="s">
        <v>8</v>
      </c>
      <c r="R16" s="59" t="s">
        <v>8</v>
      </c>
      <c r="S16" s="59" t="s">
        <v>8</v>
      </c>
      <c r="T16" s="117" t="s">
        <v>8</v>
      </c>
      <c r="U16" s="59">
        <v>2</v>
      </c>
      <c r="V16" s="59">
        <v>6</v>
      </c>
      <c r="W16" s="117">
        <f>SUM(U16/V16)*100</f>
        <v>33.333333333333329</v>
      </c>
      <c r="X16" s="56"/>
      <c r="Y16" s="56"/>
      <c r="AA16" s="260" t="s">
        <v>8</v>
      </c>
      <c r="AB16" s="59" t="s">
        <v>8</v>
      </c>
      <c r="AC16" s="59" t="s">
        <v>8</v>
      </c>
    </row>
    <row r="17" spans="1:29" ht="14.95" customHeight="1" thickBot="1" x14ac:dyDescent="0.3">
      <c r="A17" s="35" t="s">
        <v>75</v>
      </c>
      <c r="B17" s="283">
        <v>0</v>
      </c>
      <c r="C17" s="235">
        <v>0</v>
      </c>
      <c r="D17" s="66">
        <v>0</v>
      </c>
      <c r="E17" s="36">
        <f t="shared" si="2"/>
        <v>0</v>
      </c>
      <c r="F17" s="461" t="s">
        <v>75</v>
      </c>
      <c r="G17" s="453">
        <v>0</v>
      </c>
      <c r="H17" s="456">
        <v>0</v>
      </c>
      <c r="I17" s="454">
        <v>0</v>
      </c>
      <c r="J17" s="464">
        <f t="shared" si="3"/>
        <v>0</v>
      </c>
      <c r="K17" s="35" t="s">
        <v>399</v>
      </c>
      <c r="L17" s="36" t="s">
        <v>8</v>
      </c>
      <c r="M17" s="36" t="s">
        <v>8</v>
      </c>
      <c r="N17" s="39" t="s">
        <v>8</v>
      </c>
      <c r="O17" s="59">
        <v>26</v>
      </c>
      <c r="P17" s="59">
        <v>32</v>
      </c>
      <c r="Q17" s="117">
        <v>81.25</v>
      </c>
      <c r="R17" s="59">
        <v>2</v>
      </c>
      <c r="S17" s="59">
        <v>2</v>
      </c>
      <c r="T17" s="117">
        <f>SUM(R17/S17)*100</f>
        <v>100</v>
      </c>
      <c r="U17" s="59">
        <v>2</v>
      </c>
      <c r="V17" s="59">
        <v>5</v>
      </c>
      <c r="W17" s="117">
        <f>SUM(U17/V17)*100</f>
        <v>40</v>
      </c>
      <c r="X17" s="56"/>
      <c r="Y17" s="56"/>
      <c r="AA17" s="260" t="s">
        <v>8</v>
      </c>
      <c r="AB17" s="59" t="s">
        <v>8</v>
      </c>
      <c r="AC17" s="59" t="s">
        <v>8</v>
      </c>
    </row>
    <row r="18" spans="1:29" ht="14.95" customHeight="1" thickBot="1" x14ac:dyDescent="0.3">
      <c r="A18" s="35" t="s">
        <v>76</v>
      </c>
      <c r="B18" s="283">
        <v>0</v>
      </c>
      <c r="C18" s="235">
        <v>0</v>
      </c>
      <c r="D18" s="66">
        <v>0</v>
      </c>
      <c r="E18" s="36">
        <f t="shared" si="2"/>
        <v>0</v>
      </c>
      <c r="F18" s="461" t="s">
        <v>76</v>
      </c>
      <c r="G18" s="453">
        <v>0</v>
      </c>
      <c r="H18" s="456">
        <v>0</v>
      </c>
      <c r="I18" s="454">
        <v>0</v>
      </c>
      <c r="J18" s="464">
        <f t="shared" si="3"/>
        <v>0</v>
      </c>
      <c r="K18" s="35" t="s">
        <v>76</v>
      </c>
      <c r="L18" s="36" t="s">
        <v>8</v>
      </c>
      <c r="M18" s="36" t="s">
        <v>8</v>
      </c>
      <c r="N18" s="39" t="s">
        <v>8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 t="s">
        <v>8</v>
      </c>
      <c r="V18" s="59" t="s">
        <v>8</v>
      </c>
      <c r="W18" s="117" t="s">
        <v>8</v>
      </c>
      <c r="X18" s="56"/>
      <c r="Y18" s="56"/>
      <c r="AA18" s="260">
        <v>8</v>
      </c>
      <c r="AB18" s="59">
        <v>14</v>
      </c>
      <c r="AC18" s="117">
        <f>SUM(AA18/AB18)*100</f>
        <v>57.142857142857139</v>
      </c>
    </row>
    <row r="19" spans="1:29" ht="14.95" customHeight="1" thickBot="1" x14ac:dyDescent="0.3">
      <c r="A19" s="35" t="s">
        <v>77</v>
      </c>
      <c r="B19" s="283">
        <v>0</v>
      </c>
      <c r="C19" s="235">
        <v>0</v>
      </c>
      <c r="D19" s="66">
        <v>0</v>
      </c>
      <c r="E19" s="36">
        <f t="shared" si="2"/>
        <v>0</v>
      </c>
      <c r="F19" s="461" t="s">
        <v>77</v>
      </c>
      <c r="G19" s="453">
        <v>0</v>
      </c>
      <c r="H19" s="456">
        <v>0</v>
      </c>
      <c r="I19" s="454">
        <v>0</v>
      </c>
      <c r="J19" s="464">
        <f t="shared" si="3"/>
        <v>0</v>
      </c>
      <c r="K19" s="35" t="s">
        <v>381</v>
      </c>
      <c r="L19" s="36">
        <v>1</v>
      </c>
      <c r="M19" s="36">
        <v>2</v>
      </c>
      <c r="N19" s="39">
        <f>SUM(L19/M19)*100</f>
        <v>50</v>
      </c>
      <c r="O19" s="59" t="s">
        <v>8</v>
      </c>
      <c r="P19" s="59" t="s">
        <v>8</v>
      </c>
      <c r="Q19" s="117" t="s">
        <v>8</v>
      </c>
      <c r="R19" s="59">
        <v>18</v>
      </c>
      <c r="S19" s="59">
        <v>23</v>
      </c>
      <c r="T19" s="117">
        <f>SUM(R19/S19)*100</f>
        <v>78.260869565217391</v>
      </c>
      <c r="U19" s="59" t="s">
        <v>8</v>
      </c>
      <c r="V19" s="59" t="s">
        <v>8</v>
      </c>
      <c r="W19" s="117" t="s">
        <v>8</v>
      </c>
      <c r="X19" s="56"/>
      <c r="Y19" s="56"/>
      <c r="AA19" s="260" t="s">
        <v>8</v>
      </c>
      <c r="AB19" s="59" t="s">
        <v>8</v>
      </c>
      <c r="AC19" s="59" t="s">
        <v>8</v>
      </c>
    </row>
    <row r="20" spans="1:29" ht="14.95" customHeight="1" thickBot="1" x14ac:dyDescent="0.3">
      <c r="A20" s="35" t="s">
        <v>730</v>
      </c>
      <c r="B20" s="283">
        <v>1</v>
      </c>
      <c r="C20" s="235">
        <v>0</v>
      </c>
      <c r="D20" s="66">
        <v>0</v>
      </c>
      <c r="E20" s="36">
        <f t="shared" si="2"/>
        <v>1</v>
      </c>
      <c r="F20" s="461" t="s">
        <v>730</v>
      </c>
      <c r="G20" s="453">
        <v>5</v>
      </c>
      <c r="H20" s="456">
        <v>0</v>
      </c>
      <c r="I20" s="454">
        <v>0</v>
      </c>
      <c r="J20" s="464">
        <f t="shared" si="3"/>
        <v>5</v>
      </c>
      <c r="O20" s="56"/>
      <c r="P20" s="56"/>
      <c r="Q20" s="56"/>
      <c r="R20" s="56"/>
    </row>
    <row r="21" spans="1:29" ht="14.95" customHeight="1" thickBot="1" x14ac:dyDescent="0.3">
      <c r="A21" s="35" t="s">
        <v>597</v>
      </c>
      <c r="B21" s="283">
        <v>1</v>
      </c>
      <c r="C21" s="235">
        <v>0</v>
      </c>
      <c r="D21" s="66">
        <v>0</v>
      </c>
      <c r="E21" s="36">
        <f t="shared" si="2"/>
        <v>1</v>
      </c>
      <c r="F21" s="461" t="s">
        <v>597</v>
      </c>
      <c r="G21" s="453">
        <v>5</v>
      </c>
      <c r="H21" s="456">
        <v>0</v>
      </c>
      <c r="I21" s="454">
        <v>0</v>
      </c>
      <c r="J21" s="464">
        <f t="shared" si="3"/>
        <v>5</v>
      </c>
      <c r="K21" s="528" t="s">
        <v>345</v>
      </c>
      <c r="L21" s="516">
        <v>2025</v>
      </c>
      <c r="M21" s="517"/>
      <c r="N21" s="518"/>
      <c r="O21" s="516">
        <v>2022</v>
      </c>
      <c r="P21" s="517"/>
      <c r="Q21" s="518"/>
      <c r="R21" s="56"/>
      <c r="S21" s="56"/>
      <c r="T21" s="56"/>
      <c r="U21" s="56"/>
      <c r="V21" s="56"/>
    </row>
    <row r="22" spans="1:29" ht="14.95" customHeight="1" thickBot="1" x14ac:dyDescent="0.3">
      <c r="A22" s="35" t="s">
        <v>676</v>
      </c>
      <c r="B22" s="283">
        <v>0</v>
      </c>
      <c r="C22" s="235">
        <v>0</v>
      </c>
      <c r="D22" s="66">
        <v>0</v>
      </c>
      <c r="E22" s="36">
        <f t="shared" si="2"/>
        <v>0</v>
      </c>
      <c r="F22" s="461" t="s">
        <v>676</v>
      </c>
      <c r="G22" s="453">
        <v>0</v>
      </c>
      <c r="H22" s="456">
        <v>0</v>
      </c>
      <c r="I22" s="454">
        <v>0</v>
      </c>
      <c r="J22" s="464">
        <f t="shared" si="3"/>
        <v>0</v>
      </c>
      <c r="K22" s="529"/>
      <c r="L22" s="519"/>
      <c r="M22" s="520"/>
      <c r="N22" s="521"/>
      <c r="O22" s="519"/>
      <c r="P22" s="520"/>
      <c r="Q22" s="521"/>
      <c r="R22" s="56"/>
      <c r="S22" s="56"/>
      <c r="T22" s="56"/>
      <c r="U22" s="56"/>
      <c r="V22" s="56"/>
    </row>
    <row r="23" spans="1:29" ht="14.95" customHeight="1" thickBot="1" x14ac:dyDescent="0.3">
      <c r="A23" s="35" t="s">
        <v>78</v>
      </c>
      <c r="B23" s="283">
        <v>0</v>
      </c>
      <c r="C23" s="235">
        <v>0</v>
      </c>
      <c r="D23" s="66">
        <v>0</v>
      </c>
      <c r="E23" s="36">
        <f t="shared" si="2"/>
        <v>0</v>
      </c>
      <c r="F23" s="461" t="s">
        <v>78</v>
      </c>
      <c r="G23" s="453">
        <v>0</v>
      </c>
      <c r="H23" s="456">
        <v>0</v>
      </c>
      <c r="I23" s="454">
        <v>0</v>
      </c>
      <c r="J23" s="464">
        <f t="shared" si="3"/>
        <v>0</v>
      </c>
      <c r="K23" s="300"/>
      <c r="L23" s="59" t="s">
        <v>17</v>
      </c>
      <c r="M23" s="59" t="s">
        <v>5</v>
      </c>
      <c r="N23" s="59" t="s">
        <v>6</v>
      </c>
      <c r="O23" s="59" t="s">
        <v>17</v>
      </c>
      <c r="P23" s="59" t="s">
        <v>5</v>
      </c>
      <c r="Q23" s="59" t="s">
        <v>6</v>
      </c>
      <c r="R23" s="56"/>
      <c r="S23" s="56"/>
      <c r="T23" s="56"/>
      <c r="U23" s="56"/>
      <c r="V23" s="56"/>
    </row>
    <row r="24" spans="1:29" ht="14.95" customHeight="1" thickBot="1" x14ac:dyDescent="0.3">
      <c r="A24" s="35" t="s">
        <v>79</v>
      </c>
      <c r="B24" s="283">
        <v>0</v>
      </c>
      <c r="C24" s="235">
        <v>0</v>
      </c>
      <c r="D24" s="66">
        <v>0</v>
      </c>
      <c r="E24" s="36">
        <f t="shared" si="2"/>
        <v>0</v>
      </c>
      <c r="F24" s="461" t="s">
        <v>79</v>
      </c>
      <c r="G24" s="453">
        <v>0</v>
      </c>
      <c r="H24" s="456">
        <v>0</v>
      </c>
      <c r="I24" s="454">
        <v>0</v>
      </c>
      <c r="J24" s="464">
        <f t="shared" si="3"/>
        <v>0</v>
      </c>
      <c r="K24" s="35" t="s">
        <v>391</v>
      </c>
      <c r="L24" s="59">
        <v>1</v>
      </c>
      <c r="M24" s="59">
        <v>1</v>
      </c>
      <c r="N24" s="117">
        <f>SUM(L24/M24)*100</f>
        <v>100</v>
      </c>
      <c r="O24" s="59" t="s">
        <v>8</v>
      </c>
      <c r="P24" s="59" t="s">
        <v>8</v>
      </c>
      <c r="Q24" s="117" t="s">
        <v>8</v>
      </c>
      <c r="R24" s="56"/>
      <c r="S24" s="56"/>
      <c r="T24" s="56"/>
      <c r="U24" s="56"/>
      <c r="V24" s="56"/>
    </row>
    <row r="25" spans="1:29" ht="14.95" customHeight="1" thickBot="1" x14ac:dyDescent="0.3">
      <c r="A25" s="35" t="s">
        <v>983</v>
      </c>
      <c r="B25" s="283">
        <v>0</v>
      </c>
      <c r="C25" s="235">
        <v>0</v>
      </c>
      <c r="D25" s="66">
        <v>0</v>
      </c>
      <c r="E25" s="36">
        <f t="shared" si="2"/>
        <v>0</v>
      </c>
      <c r="F25" s="461" t="s">
        <v>983</v>
      </c>
      <c r="G25" s="453">
        <v>0</v>
      </c>
      <c r="H25" s="456">
        <v>0</v>
      </c>
      <c r="I25" s="454">
        <v>0</v>
      </c>
      <c r="J25" s="464">
        <f t="shared" si="3"/>
        <v>0</v>
      </c>
      <c r="K25" s="35" t="s">
        <v>399</v>
      </c>
      <c r="L25" s="59">
        <v>12</v>
      </c>
      <c r="M25" s="59">
        <v>17</v>
      </c>
      <c r="N25" s="117">
        <f>SUM(L25/M25)*100</f>
        <v>70.588235294117652</v>
      </c>
      <c r="O25" s="59" t="s">
        <v>8</v>
      </c>
      <c r="P25" s="59" t="s">
        <v>8</v>
      </c>
      <c r="Q25" s="117" t="s">
        <v>8</v>
      </c>
      <c r="R25" s="56"/>
      <c r="S25" s="56"/>
      <c r="T25" s="56"/>
      <c r="U25" s="56"/>
      <c r="V25" s="56"/>
    </row>
    <row r="26" spans="1:29" ht="14.95" customHeight="1" thickBot="1" x14ac:dyDescent="0.3">
      <c r="A26" s="35" t="s">
        <v>379</v>
      </c>
      <c r="B26" s="283">
        <v>0</v>
      </c>
      <c r="C26" s="235">
        <v>0</v>
      </c>
      <c r="D26" s="66">
        <v>0</v>
      </c>
      <c r="E26" s="36">
        <f t="shared" si="2"/>
        <v>0</v>
      </c>
      <c r="F26" s="461" t="s">
        <v>379</v>
      </c>
      <c r="G26" s="453">
        <v>0</v>
      </c>
      <c r="H26" s="456">
        <v>0</v>
      </c>
      <c r="I26" s="454">
        <v>0</v>
      </c>
      <c r="J26" s="464">
        <f t="shared" si="3"/>
        <v>0</v>
      </c>
      <c r="K26" s="35" t="s">
        <v>76</v>
      </c>
      <c r="L26" s="59" t="s">
        <v>8</v>
      </c>
      <c r="M26" s="59" t="s">
        <v>8</v>
      </c>
      <c r="N26" s="117" t="s">
        <v>8</v>
      </c>
      <c r="O26" s="59">
        <v>15</v>
      </c>
      <c r="P26" s="59">
        <v>21</v>
      </c>
      <c r="Q26" s="117">
        <v>73</v>
      </c>
      <c r="R26" s="56"/>
      <c r="S26" s="56"/>
      <c r="T26" s="56"/>
      <c r="U26" s="56"/>
      <c r="V26" s="56"/>
    </row>
    <row r="27" spans="1:29" ht="14.95" customHeight="1" thickBot="1" x14ac:dyDescent="0.3">
      <c r="A27" s="35" t="s">
        <v>1026</v>
      </c>
      <c r="B27" s="283">
        <v>3</v>
      </c>
      <c r="C27" s="235">
        <v>0</v>
      </c>
      <c r="D27" s="66">
        <v>0</v>
      </c>
      <c r="E27" s="36">
        <f t="shared" si="2"/>
        <v>3</v>
      </c>
      <c r="F27" s="461" t="s">
        <v>1026</v>
      </c>
      <c r="G27" s="453">
        <v>15</v>
      </c>
      <c r="H27" s="456">
        <v>0</v>
      </c>
      <c r="I27" s="454">
        <v>0</v>
      </c>
      <c r="J27" s="464">
        <f t="shared" si="3"/>
        <v>15</v>
      </c>
      <c r="K27" s="35" t="s">
        <v>197</v>
      </c>
      <c r="L27" s="59" t="s">
        <v>8</v>
      </c>
      <c r="M27" s="59" t="s">
        <v>8</v>
      </c>
      <c r="N27" s="117" t="s">
        <v>8</v>
      </c>
      <c r="O27" s="59">
        <v>4</v>
      </c>
      <c r="P27" s="59">
        <v>7</v>
      </c>
      <c r="Q27" s="117">
        <v>57</v>
      </c>
      <c r="V27" s="56"/>
    </row>
    <row r="28" spans="1:29" ht="14.95" customHeight="1" thickBot="1" x14ac:dyDescent="0.3">
      <c r="A28" s="35" t="s">
        <v>80</v>
      </c>
      <c r="B28" s="283">
        <v>0</v>
      </c>
      <c r="C28" s="235">
        <v>0</v>
      </c>
      <c r="D28" s="66">
        <v>0</v>
      </c>
      <c r="E28" s="36">
        <f t="shared" si="2"/>
        <v>0</v>
      </c>
      <c r="F28" s="461" t="s">
        <v>80</v>
      </c>
      <c r="G28" s="453">
        <v>0</v>
      </c>
      <c r="H28" s="456">
        <v>0</v>
      </c>
      <c r="I28" s="454">
        <v>0</v>
      </c>
      <c r="J28" s="464">
        <f t="shared" si="3"/>
        <v>0</v>
      </c>
      <c r="K28" s="35" t="s">
        <v>381</v>
      </c>
      <c r="L28" s="59">
        <v>9</v>
      </c>
      <c r="M28" s="59">
        <v>18</v>
      </c>
      <c r="N28" s="117">
        <f>SUM(L28/M28)*100</f>
        <v>50</v>
      </c>
      <c r="O28" s="59">
        <v>4</v>
      </c>
      <c r="P28" s="59">
        <v>5</v>
      </c>
      <c r="Q28" s="117">
        <v>80</v>
      </c>
      <c r="V28" s="56"/>
    </row>
    <row r="29" spans="1:29" ht="14.95" customHeight="1" thickBot="1" x14ac:dyDescent="0.3">
      <c r="A29" s="35" t="s">
        <v>81</v>
      </c>
      <c r="B29" s="283">
        <v>0</v>
      </c>
      <c r="C29" s="235">
        <v>0</v>
      </c>
      <c r="D29" s="66">
        <v>0</v>
      </c>
      <c r="E29" s="36">
        <f t="shared" si="2"/>
        <v>0</v>
      </c>
      <c r="F29" s="461" t="s">
        <v>81</v>
      </c>
      <c r="G29" s="453">
        <v>0</v>
      </c>
      <c r="H29" s="456">
        <v>0</v>
      </c>
      <c r="I29" s="454">
        <v>0</v>
      </c>
      <c r="J29" s="464">
        <f t="shared" si="3"/>
        <v>0</v>
      </c>
      <c r="K29" s="35" t="s">
        <v>646</v>
      </c>
      <c r="L29" s="59">
        <v>2</v>
      </c>
      <c r="M29" s="59">
        <v>3</v>
      </c>
      <c r="N29" s="117">
        <f>SUM(L29/M29)*100</f>
        <v>66.666666666666657</v>
      </c>
      <c r="O29" s="59" t="s">
        <v>8</v>
      </c>
      <c r="P29" s="59" t="s">
        <v>8</v>
      </c>
      <c r="Q29" s="117" t="s">
        <v>8</v>
      </c>
      <c r="V29" s="56"/>
    </row>
    <row r="30" spans="1:29" ht="14.95" customHeight="1" thickBot="1" x14ac:dyDescent="0.3">
      <c r="A30" s="35" t="s">
        <v>82</v>
      </c>
      <c r="B30" s="283">
        <v>0</v>
      </c>
      <c r="C30" s="235">
        <v>0</v>
      </c>
      <c r="D30" s="66">
        <v>0</v>
      </c>
      <c r="E30" s="36">
        <f t="shared" si="2"/>
        <v>0</v>
      </c>
      <c r="F30" s="461" t="s">
        <v>82</v>
      </c>
      <c r="G30" s="453">
        <v>0</v>
      </c>
      <c r="H30" s="456">
        <v>0</v>
      </c>
      <c r="I30" s="454">
        <v>0</v>
      </c>
      <c r="J30" s="464">
        <f t="shared" si="3"/>
        <v>0</v>
      </c>
      <c r="S30" s="56"/>
    </row>
    <row r="31" spans="1:29" ht="14.95" customHeight="1" thickBot="1" x14ac:dyDescent="0.3">
      <c r="A31" s="35" t="s">
        <v>83</v>
      </c>
      <c r="B31" s="283">
        <v>1</v>
      </c>
      <c r="C31" s="235">
        <v>0</v>
      </c>
      <c r="D31" s="66">
        <v>0</v>
      </c>
      <c r="E31" s="36">
        <f t="shared" si="2"/>
        <v>1</v>
      </c>
      <c r="F31" s="461" t="s">
        <v>83</v>
      </c>
      <c r="G31" s="453">
        <v>5</v>
      </c>
      <c r="H31" s="456">
        <v>0</v>
      </c>
      <c r="I31" s="454">
        <v>0</v>
      </c>
      <c r="J31" s="464">
        <f t="shared" si="3"/>
        <v>5</v>
      </c>
      <c r="K31" s="546" t="s">
        <v>500</v>
      </c>
      <c r="L31" s="530">
        <v>2026</v>
      </c>
      <c r="M31" s="531"/>
      <c r="N31" s="532"/>
      <c r="O31" s="516">
        <v>2024</v>
      </c>
      <c r="P31" s="517"/>
      <c r="Q31" s="518"/>
      <c r="R31" s="516">
        <v>2023</v>
      </c>
      <c r="S31" s="517"/>
      <c r="T31" s="518"/>
    </row>
    <row r="32" spans="1:29" ht="14.95" customHeight="1" thickBot="1" x14ac:dyDescent="0.3">
      <c r="A32" s="35" t="s">
        <v>590</v>
      </c>
      <c r="B32" s="283">
        <v>0</v>
      </c>
      <c r="C32" s="235">
        <v>0</v>
      </c>
      <c r="D32" s="66">
        <v>0</v>
      </c>
      <c r="E32" s="36">
        <f t="shared" si="2"/>
        <v>0</v>
      </c>
      <c r="F32" s="461" t="s">
        <v>590</v>
      </c>
      <c r="G32" s="453">
        <v>0</v>
      </c>
      <c r="H32" s="456">
        <v>0</v>
      </c>
      <c r="I32" s="454">
        <v>0</v>
      </c>
      <c r="J32" s="464">
        <f t="shared" si="3"/>
        <v>0</v>
      </c>
      <c r="K32" s="547"/>
      <c r="L32" s="533"/>
      <c r="M32" s="534"/>
      <c r="N32" s="535"/>
      <c r="O32" s="519"/>
      <c r="P32" s="520"/>
      <c r="Q32" s="521"/>
      <c r="R32" s="519"/>
      <c r="S32" s="520"/>
      <c r="T32" s="521"/>
    </row>
    <row r="33" spans="1:24" ht="14.95" customHeight="1" thickBot="1" x14ac:dyDescent="0.3">
      <c r="A33" s="35" t="s">
        <v>84</v>
      </c>
      <c r="B33" s="283">
        <v>0</v>
      </c>
      <c r="C33" s="235">
        <v>0</v>
      </c>
      <c r="D33" s="66">
        <v>0</v>
      </c>
      <c r="E33" s="36">
        <f t="shared" si="2"/>
        <v>0</v>
      </c>
      <c r="F33" s="461" t="s">
        <v>84</v>
      </c>
      <c r="G33" s="453">
        <v>0</v>
      </c>
      <c r="H33" s="456">
        <v>0</v>
      </c>
      <c r="I33" s="454">
        <v>0</v>
      </c>
      <c r="J33" s="464">
        <f t="shared" si="3"/>
        <v>0</v>
      </c>
      <c r="K33" s="221"/>
      <c r="L33" s="29" t="s">
        <v>17</v>
      </c>
      <c r="M33" s="29" t="s">
        <v>5</v>
      </c>
      <c r="N33" s="29" t="s">
        <v>6</v>
      </c>
      <c r="O33" s="59" t="s">
        <v>17</v>
      </c>
      <c r="P33" s="59" t="s">
        <v>5</v>
      </c>
      <c r="Q33" s="59" t="s">
        <v>6</v>
      </c>
      <c r="R33" s="59" t="s">
        <v>17</v>
      </c>
      <c r="S33" s="59" t="s">
        <v>5</v>
      </c>
      <c r="T33" s="59" t="s">
        <v>6</v>
      </c>
    </row>
    <row r="34" spans="1:24" ht="14.95" customHeight="1" thickBot="1" x14ac:dyDescent="0.3">
      <c r="A34" s="35" t="s">
        <v>85</v>
      </c>
      <c r="B34" s="283">
        <v>0</v>
      </c>
      <c r="C34" s="235">
        <v>0</v>
      </c>
      <c r="D34" s="66">
        <v>0</v>
      </c>
      <c r="E34" s="36">
        <f t="shared" si="2"/>
        <v>0</v>
      </c>
      <c r="F34" s="461" t="s">
        <v>85</v>
      </c>
      <c r="G34" s="453">
        <v>0</v>
      </c>
      <c r="H34" s="456">
        <v>0</v>
      </c>
      <c r="I34" s="454">
        <v>0</v>
      </c>
      <c r="J34" s="464">
        <f t="shared" si="3"/>
        <v>0</v>
      </c>
      <c r="K34" s="35" t="s">
        <v>399</v>
      </c>
      <c r="L34" s="36" t="s">
        <v>8</v>
      </c>
      <c r="M34" s="36" t="s">
        <v>8</v>
      </c>
      <c r="N34" s="39" t="s">
        <v>8</v>
      </c>
      <c r="O34" s="59" t="s">
        <v>8</v>
      </c>
      <c r="P34" s="59" t="s">
        <v>8</v>
      </c>
      <c r="Q34" s="117" t="s">
        <v>8</v>
      </c>
      <c r="R34" s="59">
        <v>9</v>
      </c>
      <c r="S34" s="59">
        <v>12</v>
      </c>
      <c r="T34" s="117">
        <f>SUM(R34/S34)*100</f>
        <v>75</v>
      </c>
    </row>
    <row r="35" spans="1:24" ht="14.95" customHeight="1" thickBot="1" x14ac:dyDescent="0.3">
      <c r="A35" s="35" t="s">
        <v>87</v>
      </c>
      <c r="B35" s="283">
        <v>0</v>
      </c>
      <c r="C35" s="235">
        <v>0</v>
      </c>
      <c r="D35" s="66">
        <v>0</v>
      </c>
      <c r="E35" s="36">
        <f t="shared" si="2"/>
        <v>0</v>
      </c>
      <c r="F35" s="462" t="s">
        <v>87</v>
      </c>
      <c r="G35" s="453">
        <v>0</v>
      </c>
      <c r="H35" s="456">
        <v>0</v>
      </c>
      <c r="I35" s="454">
        <v>0</v>
      </c>
      <c r="J35" s="464">
        <f t="shared" si="3"/>
        <v>0</v>
      </c>
      <c r="K35" s="35" t="s">
        <v>81</v>
      </c>
      <c r="L35" s="36" t="s">
        <v>8</v>
      </c>
      <c r="M35" s="36" t="s">
        <v>8</v>
      </c>
      <c r="N35" s="39" t="s">
        <v>8</v>
      </c>
      <c r="O35" s="59">
        <v>2</v>
      </c>
      <c r="P35" s="59">
        <v>5</v>
      </c>
      <c r="Q35" s="117">
        <f>SUM(O35/P35)*100</f>
        <v>40</v>
      </c>
      <c r="R35" s="59" t="s">
        <v>8</v>
      </c>
      <c r="S35" s="59" t="s">
        <v>8</v>
      </c>
      <c r="T35" s="117" t="s">
        <v>8</v>
      </c>
    </row>
    <row r="36" spans="1:24" ht="14.95" customHeight="1" thickBot="1" x14ac:dyDescent="0.3">
      <c r="A36" s="35" t="s">
        <v>86</v>
      </c>
      <c r="B36" s="283">
        <v>0</v>
      </c>
      <c r="C36" s="235">
        <v>0</v>
      </c>
      <c r="D36" s="66">
        <v>0</v>
      </c>
      <c r="E36" s="36">
        <f t="shared" si="2"/>
        <v>0</v>
      </c>
      <c r="F36" s="462" t="s">
        <v>86</v>
      </c>
      <c r="G36" s="453">
        <v>0</v>
      </c>
      <c r="H36" s="456">
        <v>0</v>
      </c>
      <c r="I36" s="454">
        <v>0</v>
      </c>
      <c r="J36" s="464">
        <f t="shared" si="3"/>
        <v>0</v>
      </c>
      <c r="K36" s="35" t="s">
        <v>381</v>
      </c>
      <c r="L36" s="36" t="s">
        <v>8</v>
      </c>
      <c r="M36" s="36" t="s">
        <v>8</v>
      </c>
      <c r="N36" s="39" t="s">
        <v>8</v>
      </c>
      <c r="O36" s="59">
        <v>5</v>
      </c>
      <c r="P36" s="59">
        <v>6</v>
      </c>
      <c r="Q36" s="117">
        <f>SUM(O36/P36)*100</f>
        <v>83.333333333333343</v>
      </c>
      <c r="R36" s="59" t="s">
        <v>8</v>
      </c>
      <c r="S36" s="59" t="s">
        <v>8</v>
      </c>
      <c r="T36" s="117" t="s">
        <v>8</v>
      </c>
    </row>
    <row r="37" spans="1:24" ht="14.95" customHeight="1" thickBot="1" x14ac:dyDescent="0.3">
      <c r="A37" s="35" t="s">
        <v>1019</v>
      </c>
      <c r="B37" s="283">
        <v>2</v>
      </c>
      <c r="C37" s="235">
        <v>0</v>
      </c>
      <c r="D37" s="66">
        <v>0</v>
      </c>
      <c r="E37" s="36">
        <f t="shared" si="2"/>
        <v>2</v>
      </c>
      <c r="F37" s="462" t="s">
        <v>1019</v>
      </c>
      <c r="G37" s="453">
        <v>10</v>
      </c>
      <c r="H37" s="456">
        <v>0</v>
      </c>
      <c r="I37" s="454">
        <v>0</v>
      </c>
      <c r="J37" s="464">
        <f t="shared" si="3"/>
        <v>10</v>
      </c>
    </row>
    <row r="38" spans="1:24" ht="14.95" customHeight="1" thickBot="1" x14ac:dyDescent="0.3">
      <c r="A38" s="35" t="s">
        <v>726</v>
      </c>
      <c r="B38" s="283">
        <v>0</v>
      </c>
      <c r="C38" s="235">
        <v>0</v>
      </c>
      <c r="D38" s="66">
        <v>0</v>
      </c>
      <c r="E38" s="36">
        <f t="shared" si="2"/>
        <v>0</v>
      </c>
      <c r="F38" s="462" t="s">
        <v>726</v>
      </c>
      <c r="G38" s="453">
        <v>0</v>
      </c>
      <c r="H38" s="456">
        <v>0</v>
      </c>
      <c r="I38" s="454">
        <v>0</v>
      </c>
      <c r="J38" s="464">
        <f t="shared" si="3"/>
        <v>0</v>
      </c>
      <c r="K38" s="577"/>
      <c r="L38" s="578"/>
      <c r="M38" s="578"/>
      <c r="N38" s="578"/>
      <c r="O38" s="578"/>
      <c r="P38" s="578"/>
      <c r="Q38" s="578"/>
      <c r="R38" s="578"/>
      <c r="S38" s="578"/>
      <c r="T38" s="578"/>
      <c r="U38" s="578"/>
      <c r="V38" s="578"/>
      <c r="W38" s="578"/>
      <c r="X38" s="578"/>
    </row>
    <row r="39" spans="1:24" ht="14.95" customHeight="1" thickBot="1" x14ac:dyDescent="0.3">
      <c r="A39" s="35" t="s">
        <v>208</v>
      </c>
      <c r="B39" s="283">
        <v>0</v>
      </c>
      <c r="C39" s="235">
        <v>0</v>
      </c>
      <c r="D39" s="66">
        <v>0</v>
      </c>
      <c r="E39" s="36">
        <f t="shared" si="2"/>
        <v>0</v>
      </c>
      <c r="F39" s="462" t="s">
        <v>208</v>
      </c>
      <c r="G39" s="453">
        <v>0</v>
      </c>
      <c r="H39" s="456">
        <v>0</v>
      </c>
      <c r="I39" s="454">
        <v>0</v>
      </c>
      <c r="J39" s="464">
        <f t="shared" ref="J39" si="4">SUM(G39:I39)</f>
        <v>0</v>
      </c>
    </row>
    <row r="40" spans="1:24" ht="14.95" customHeight="1" thickBot="1" x14ac:dyDescent="0.3">
      <c r="A40" s="35" t="s">
        <v>88</v>
      </c>
      <c r="B40" s="283">
        <v>0</v>
      </c>
      <c r="C40" s="235">
        <v>0</v>
      </c>
      <c r="D40" s="66">
        <v>0</v>
      </c>
      <c r="E40" s="36">
        <f t="shared" si="2"/>
        <v>0</v>
      </c>
      <c r="F40" s="462" t="s">
        <v>88</v>
      </c>
      <c r="G40" s="453">
        <v>0</v>
      </c>
      <c r="H40" s="456">
        <v>0</v>
      </c>
      <c r="I40" s="454">
        <v>0</v>
      </c>
      <c r="J40" s="464">
        <f t="shared" si="3"/>
        <v>0</v>
      </c>
    </row>
    <row r="41" spans="1:24" ht="14.95" customHeight="1" thickBot="1" x14ac:dyDescent="0.3">
      <c r="A41" s="35" t="s">
        <v>381</v>
      </c>
      <c r="B41" s="283">
        <v>0</v>
      </c>
      <c r="C41" s="235">
        <v>0</v>
      </c>
      <c r="D41" s="66">
        <v>0</v>
      </c>
      <c r="E41" s="36">
        <f t="shared" si="2"/>
        <v>0</v>
      </c>
      <c r="F41" s="462" t="s">
        <v>381</v>
      </c>
      <c r="G41" s="453">
        <v>2</v>
      </c>
      <c r="H41" s="456">
        <v>0</v>
      </c>
      <c r="I41" s="454">
        <v>0</v>
      </c>
      <c r="J41" s="464">
        <f t="shared" si="3"/>
        <v>2</v>
      </c>
    </row>
    <row r="42" spans="1:24" ht="14.95" customHeight="1" thickBot="1" x14ac:dyDescent="0.3">
      <c r="A42" s="35" t="s">
        <v>515</v>
      </c>
      <c r="B42" s="283">
        <v>0</v>
      </c>
      <c r="C42" s="235">
        <v>0</v>
      </c>
      <c r="D42" s="66">
        <v>0</v>
      </c>
      <c r="E42" s="36">
        <f t="shared" si="2"/>
        <v>0</v>
      </c>
      <c r="F42" s="462" t="s">
        <v>515</v>
      </c>
      <c r="G42" s="453">
        <v>0</v>
      </c>
      <c r="H42" s="456">
        <v>0</v>
      </c>
      <c r="I42" s="454">
        <v>0</v>
      </c>
      <c r="J42" s="464">
        <f t="shared" si="3"/>
        <v>0</v>
      </c>
    </row>
    <row r="43" spans="1:24" ht="14.95" customHeight="1" thickBot="1" x14ac:dyDescent="0.3">
      <c r="A43" s="35" t="s">
        <v>89</v>
      </c>
      <c r="B43" s="283">
        <v>0</v>
      </c>
      <c r="C43" s="235">
        <v>0</v>
      </c>
      <c r="D43" s="66">
        <v>0</v>
      </c>
      <c r="E43" s="36">
        <f t="shared" si="2"/>
        <v>0</v>
      </c>
      <c r="F43" s="462" t="s">
        <v>89</v>
      </c>
      <c r="G43" s="453">
        <v>0</v>
      </c>
      <c r="H43" s="456">
        <v>0</v>
      </c>
      <c r="I43" s="454">
        <v>0</v>
      </c>
      <c r="J43" s="464">
        <f t="shared" si="3"/>
        <v>0</v>
      </c>
    </row>
    <row r="44" spans="1:24" ht="14.95" customHeight="1" thickBot="1" x14ac:dyDescent="0.3">
      <c r="A44" s="35" t="s">
        <v>90</v>
      </c>
      <c r="B44" s="283">
        <v>0</v>
      </c>
      <c r="C44" s="235">
        <v>0</v>
      </c>
      <c r="D44" s="66">
        <v>0</v>
      </c>
      <c r="E44" s="36">
        <f t="shared" si="2"/>
        <v>0</v>
      </c>
      <c r="F44" s="462" t="s">
        <v>90</v>
      </c>
      <c r="G44" s="453">
        <v>0</v>
      </c>
      <c r="H44" s="456">
        <v>0</v>
      </c>
      <c r="I44" s="454">
        <v>0</v>
      </c>
      <c r="J44" s="464">
        <f t="shared" si="3"/>
        <v>0</v>
      </c>
    </row>
    <row r="45" spans="1:24" ht="14.95" customHeight="1" thickBot="1" x14ac:dyDescent="0.3">
      <c r="A45" s="35" t="s">
        <v>197</v>
      </c>
      <c r="B45" s="283">
        <v>0</v>
      </c>
      <c r="C45" s="235">
        <v>0</v>
      </c>
      <c r="D45" s="66">
        <v>0</v>
      </c>
      <c r="E45" s="36">
        <f t="shared" si="2"/>
        <v>0</v>
      </c>
      <c r="F45" s="462" t="s">
        <v>197</v>
      </c>
      <c r="G45" s="453">
        <v>0</v>
      </c>
      <c r="H45" s="456">
        <v>0</v>
      </c>
      <c r="I45" s="454">
        <v>0</v>
      </c>
      <c r="J45" s="464">
        <f t="shared" si="3"/>
        <v>0</v>
      </c>
    </row>
    <row r="46" spans="1:24" ht="14.95" thickBot="1" x14ac:dyDescent="0.3">
      <c r="A46" s="35" t="s">
        <v>646</v>
      </c>
      <c r="B46" s="283">
        <v>0</v>
      </c>
      <c r="C46" s="235">
        <v>0</v>
      </c>
      <c r="D46" s="66">
        <v>0</v>
      </c>
      <c r="E46" s="36">
        <f t="shared" si="2"/>
        <v>0</v>
      </c>
      <c r="F46" s="462" t="s">
        <v>646</v>
      </c>
      <c r="G46" s="453">
        <v>0</v>
      </c>
      <c r="H46" s="456">
        <v>0</v>
      </c>
      <c r="I46" s="454">
        <v>0</v>
      </c>
      <c r="J46" s="464">
        <f t="shared" si="3"/>
        <v>0</v>
      </c>
    </row>
    <row r="47" spans="1:24" ht="14.95" thickBot="1" x14ac:dyDescent="0.3">
      <c r="A47" s="35" t="s">
        <v>91</v>
      </c>
      <c r="B47" s="283">
        <v>0</v>
      </c>
      <c r="C47" s="235">
        <v>0</v>
      </c>
      <c r="D47" s="66">
        <v>0</v>
      </c>
      <c r="E47" s="36">
        <f t="shared" si="2"/>
        <v>0</v>
      </c>
      <c r="F47" s="462" t="s">
        <v>91</v>
      </c>
      <c r="G47" s="453">
        <v>0</v>
      </c>
      <c r="H47" s="456">
        <v>0</v>
      </c>
      <c r="I47" s="454">
        <v>0</v>
      </c>
      <c r="J47" s="464">
        <f t="shared" si="3"/>
        <v>0</v>
      </c>
    </row>
    <row r="48" spans="1:24" ht="14.95" thickBot="1" x14ac:dyDescent="0.3">
      <c r="A48" s="35" t="s">
        <v>3</v>
      </c>
      <c r="B48" s="283">
        <v>0</v>
      </c>
      <c r="C48" s="235">
        <v>0</v>
      </c>
      <c r="D48" s="66">
        <v>0</v>
      </c>
      <c r="E48" s="36">
        <f>SUM(E3:E47)</f>
        <v>12</v>
      </c>
      <c r="F48" s="462" t="s">
        <v>3</v>
      </c>
      <c r="G48" s="453">
        <f>SUM(G3:G47)</f>
        <v>78</v>
      </c>
      <c r="H48" s="456">
        <f>SUM(H3:H47)</f>
        <v>0</v>
      </c>
      <c r="I48" s="454">
        <f>SUM(I3:I47)</f>
        <v>0</v>
      </c>
      <c r="J48" s="464">
        <f>SUM(J3:J47)</f>
        <v>78</v>
      </c>
    </row>
    <row r="49" spans="1:10" ht="14.95" customHeight="1" x14ac:dyDescent="0.25">
      <c r="A49" t="s">
        <v>9</v>
      </c>
      <c r="F49" s="5"/>
      <c r="G49" s="6"/>
      <c r="H49" s="457"/>
      <c r="I49" s="6"/>
      <c r="J49" s="465"/>
    </row>
    <row r="50" spans="1:10" ht="14.95" customHeight="1" thickBot="1" x14ac:dyDescent="0.3">
      <c r="A50" t="s">
        <v>7</v>
      </c>
      <c r="F50" s="10"/>
      <c r="H50" s="458"/>
      <c r="J50" s="466"/>
    </row>
    <row r="51" spans="1:10" ht="14.95" customHeight="1" thickBot="1" x14ac:dyDescent="0.3">
      <c r="A51" s="85" t="s">
        <v>0</v>
      </c>
      <c r="B51" s="282" t="s">
        <v>14</v>
      </c>
      <c r="C51" s="236" t="s">
        <v>500</v>
      </c>
      <c r="D51" s="76" t="s">
        <v>11</v>
      </c>
      <c r="E51" s="77" t="s">
        <v>1</v>
      </c>
      <c r="F51" s="460" t="s">
        <v>2</v>
      </c>
      <c r="G51" s="451" t="s">
        <v>14</v>
      </c>
      <c r="H51" s="455" t="s">
        <v>500</v>
      </c>
      <c r="I51" s="452" t="s">
        <v>11</v>
      </c>
      <c r="J51" s="463" t="s">
        <v>1</v>
      </c>
    </row>
    <row r="52" spans="1:10" ht="14.95" thickBot="1" x14ac:dyDescent="0.3">
      <c r="A52" s="35" t="s">
        <v>1026</v>
      </c>
      <c r="B52" s="283">
        <v>3</v>
      </c>
      <c r="C52" s="235">
        <v>0</v>
      </c>
      <c r="D52" s="66">
        <v>0</v>
      </c>
      <c r="E52" s="36">
        <f t="shared" ref="E52:E96" si="5">SUM(B52:D52)</f>
        <v>3</v>
      </c>
      <c r="F52" s="461" t="s">
        <v>391</v>
      </c>
      <c r="G52" s="453">
        <v>21</v>
      </c>
      <c r="H52" s="456">
        <v>0</v>
      </c>
      <c r="I52" s="454">
        <v>0</v>
      </c>
      <c r="J52" s="464">
        <f t="shared" ref="J52:J96" si="6">SUM(G52:I52)</f>
        <v>21</v>
      </c>
    </row>
    <row r="53" spans="1:10" ht="14.95" thickBot="1" x14ac:dyDescent="0.3">
      <c r="A53" s="35" t="s">
        <v>1019</v>
      </c>
      <c r="B53" s="283">
        <v>2</v>
      </c>
      <c r="C53" s="235">
        <v>0</v>
      </c>
      <c r="D53" s="66">
        <v>0</v>
      </c>
      <c r="E53" s="36">
        <f t="shared" si="5"/>
        <v>2</v>
      </c>
      <c r="F53" s="461" t="s">
        <v>1026</v>
      </c>
      <c r="G53" s="453">
        <v>15</v>
      </c>
      <c r="H53" s="456">
        <v>0</v>
      </c>
      <c r="I53" s="454">
        <v>0</v>
      </c>
      <c r="J53" s="464">
        <f t="shared" si="6"/>
        <v>15</v>
      </c>
    </row>
    <row r="54" spans="1:10" ht="14.95" thickBot="1" x14ac:dyDescent="0.3">
      <c r="A54" s="35" t="s">
        <v>391</v>
      </c>
      <c r="B54" s="283">
        <v>1</v>
      </c>
      <c r="C54" s="235">
        <v>0</v>
      </c>
      <c r="D54" s="66">
        <v>0</v>
      </c>
      <c r="E54" s="36">
        <f t="shared" si="5"/>
        <v>1</v>
      </c>
      <c r="F54" s="461" t="s">
        <v>1019</v>
      </c>
      <c r="G54" s="453">
        <v>10</v>
      </c>
      <c r="H54" s="456">
        <v>0</v>
      </c>
      <c r="I54" s="454">
        <v>0</v>
      </c>
      <c r="J54" s="464">
        <f t="shared" si="6"/>
        <v>10</v>
      </c>
    </row>
    <row r="55" spans="1:10" ht="14.95" thickBot="1" x14ac:dyDescent="0.3">
      <c r="A55" s="35" t="s">
        <v>1021</v>
      </c>
      <c r="B55" s="283">
        <v>1</v>
      </c>
      <c r="C55" s="235">
        <v>0</v>
      </c>
      <c r="D55" s="66">
        <v>0</v>
      </c>
      <c r="E55" s="36">
        <f t="shared" si="5"/>
        <v>1</v>
      </c>
      <c r="F55" s="461" t="s">
        <v>1021</v>
      </c>
      <c r="G55" s="453">
        <v>5</v>
      </c>
      <c r="H55" s="456">
        <v>0</v>
      </c>
      <c r="I55" s="454">
        <v>0</v>
      </c>
      <c r="J55" s="464">
        <f t="shared" si="6"/>
        <v>5</v>
      </c>
    </row>
    <row r="56" spans="1:10" ht="14.95" thickBot="1" x14ac:dyDescent="0.3">
      <c r="A56" s="35" t="s">
        <v>731</v>
      </c>
      <c r="B56" s="283">
        <v>1</v>
      </c>
      <c r="C56" s="235">
        <v>0</v>
      </c>
      <c r="D56" s="66">
        <v>0</v>
      </c>
      <c r="E56" s="36">
        <f t="shared" si="5"/>
        <v>1</v>
      </c>
      <c r="F56" s="461" t="s">
        <v>731</v>
      </c>
      <c r="G56" s="453">
        <v>5</v>
      </c>
      <c r="H56" s="456">
        <v>0</v>
      </c>
      <c r="I56" s="454">
        <v>0</v>
      </c>
      <c r="J56" s="464">
        <f t="shared" si="6"/>
        <v>5</v>
      </c>
    </row>
    <row r="57" spans="1:10" ht="14.95" thickBot="1" x14ac:dyDescent="0.3">
      <c r="A57" s="35" t="s">
        <v>1017</v>
      </c>
      <c r="B57" s="283">
        <v>1</v>
      </c>
      <c r="C57" s="235">
        <v>0</v>
      </c>
      <c r="D57" s="66">
        <v>0</v>
      </c>
      <c r="E57" s="36">
        <f t="shared" si="5"/>
        <v>1</v>
      </c>
      <c r="F57" s="461" t="s">
        <v>1017</v>
      </c>
      <c r="G57" s="453">
        <v>5</v>
      </c>
      <c r="H57" s="456">
        <v>0</v>
      </c>
      <c r="I57" s="454">
        <v>0</v>
      </c>
      <c r="J57" s="464">
        <f t="shared" si="6"/>
        <v>5</v>
      </c>
    </row>
    <row r="58" spans="1:10" ht="14.95" thickBot="1" x14ac:dyDescent="0.3">
      <c r="A58" s="35" t="s">
        <v>730</v>
      </c>
      <c r="B58" s="283">
        <v>1</v>
      </c>
      <c r="C58" s="235">
        <v>0</v>
      </c>
      <c r="D58" s="66">
        <v>0</v>
      </c>
      <c r="E58" s="36">
        <f t="shared" si="5"/>
        <v>1</v>
      </c>
      <c r="F58" s="461" t="s">
        <v>730</v>
      </c>
      <c r="G58" s="453">
        <v>5</v>
      </c>
      <c r="H58" s="456">
        <v>0</v>
      </c>
      <c r="I58" s="454">
        <v>0</v>
      </c>
      <c r="J58" s="464">
        <f t="shared" si="6"/>
        <v>5</v>
      </c>
    </row>
    <row r="59" spans="1:10" ht="14.95" thickBot="1" x14ac:dyDescent="0.3">
      <c r="A59" s="35" t="s">
        <v>597</v>
      </c>
      <c r="B59" s="283">
        <v>1</v>
      </c>
      <c r="C59" s="235">
        <v>0</v>
      </c>
      <c r="D59" s="66">
        <v>0</v>
      </c>
      <c r="E59" s="36">
        <f t="shared" si="5"/>
        <v>1</v>
      </c>
      <c r="F59" s="461" t="s">
        <v>597</v>
      </c>
      <c r="G59" s="453">
        <v>5</v>
      </c>
      <c r="H59" s="456">
        <v>0</v>
      </c>
      <c r="I59" s="454">
        <v>0</v>
      </c>
      <c r="J59" s="464">
        <f t="shared" si="6"/>
        <v>5</v>
      </c>
    </row>
    <row r="60" spans="1:10" ht="14.95" thickBot="1" x14ac:dyDescent="0.3">
      <c r="A60" s="35" t="s">
        <v>83</v>
      </c>
      <c r="B60" s="283">
        <v>1</v>
      </c>
      <c r="C60" s="235">
        <v>0</v>
      </c>
      <c r="D60" s="66">
        <v>0</v>
      </c>
      <c r="E60" s="36">
        <f t="shared" si="5"/>
        <v>1</v>
      </c>
      <c r="F60" s="461" t="s">
        <v>83</v>
      </c>
      <c r="G60" s="453">
        <v>5</v>
      </c>
      <c r="H60" s="456">
        <v>0</v>
      </c>
      <c r="I60" s="454">
        <v>0</v>
      </c>
      <c r="J60" s="464">
        <f t="shared" si="6"/>
        <v>5</v>
      </c>
    </row>
    <row r="61" spans="1:10" ht="14.95" thickBot="1" x14ac:dyDescent="0.3">
      <c r="A61" s="35" t="s">
        <v>578</v>
      </c>
      <c r="B61" s="283">
        <v>0</v>
      </c>
      <c r="C61" s="235">
        <v>0</v>
      </c>
      <c r="D61" s="66">
        <v>0</v>
      </c>
      <c r="E61" s="36">
        <f t="shared" si="5"/>
        <v>0</v>
      </c>
      <c r="F61" s="461" t="s">
        <v>381</v>
      </c>
      <c r="G61" s="453">
        <v>2</v>
      </c>
      <c r="H61" s="456">
        <v>0</v>
      </c>
      <c r="I61" s="454">
        <v>0</v>
      </c>
      <c r="J61" s="464">
        <f t="shared" si="6"/>
        <v>2</v>
      </c>
    </row>
    <row r="62" spans="1:10" ht="14.95" thickBot="1" x14ac:dyDescent="0.3">
      <c r="A62" s="35" t="s">
        <v>72</v>
      </c>
      <c r="B62" s="283">
        <v>0</v>
      </c>
      <c r="C62" s="235">
        <v>0</v>
      </c>
      <c r="D62" s="66">
        <v>0</v>
      </c>
      <c r="E62" s="36">
        <f t="shared" si="5"/>
        <v>0</v>
      </c>
      <c r="F62" s="461" t="s">
        <v>578</v>
      </c>
      <c r="G62" s="453">
        <v>0</v>
      </c>
      <c r="H62" s="456">
        <v>0</v>
      </c>
      <c r="I62" s="454">
        <v>0</v>
      </c>
      <c r="J62" s="464">
        <f t="shared" si="6"/>
        <v>0</v>
      </c>
    </row>
    <row r="63" spans="1:10" ht="14.95" thickBot="1" x14ac:dyDescent="0.3">
      <c r="A63" s="35" t="s">
        <v>73</v>
      </c>
      <c r="B63" s="283">
        <v>0</v>
      </c>
      <c r="C63" s="235">
        <v>0</v>
      </c>
      <c r="D63" s="66">
        <v>0</v>
      </c>
      <c r="E63" s="36">
        <f t="shared" si="5"/>
        <v>0</v>
      </c>
      <c r="F63" s="461" t="s">
        <v>72</v>
      </c>
      <c r="G63" s="453">
        <v>0</v>
      </c>
      <c r="H63" s="456">
        <v>0</v>
      </c>
      <c r="I63" s="454">
        <v>0</v>
      </c>
      <c r="J63" s="464">
        <f t="shared" si="6"/>
        <v>0</v>
      </c>
    </row>
    <row r="64" spans="1:10" ht="14.95" thickBot="1" x14ac:dyDescent="0.3">
      <c r="A64" s="35" t="s">
        <v>742</v>
      </c>
      <c r="B64" s="283">
        <v>0</v>
      </c>
      <c r="C64" s="235">
        <v>0</v>
      </c>
      <c r="D64" s="66">
        <v>0</v>
      </c>
      <c r="E64" s="36">
        <f t="shared" si="5"/>
        <v>0</v>
      </c>
      <c r="F64" s="461" t="s">
        <v>73</v>
      </c>
      <c r="G64" s="453">
        <v>0</v>
      </c>
      <c r="H64" s="456">
        <v>0</v>
      </c>
      <c r="I64" s="454">
        <v>0</v>
      </c>
      <c r="J64" s="464">
        <f t="shared" si="6"/>
        <v>0</v>
      </c>
    </row>
    <row r="65" spans="1:10" ht="14.95" thickBot="1" x14ac:dyDescent="0.3">
      <c r="A65" s="35" t="s">
        <v>210</v>
      </c>
      <c r="B65" s="283">
        <v>0</v>
      </c>
      <c r="C65" s="235">
        <v>0</v>
      </c>
      <c r="D65" s="66">
        <v>0</v>
      </c>
      <c r="E65" s="36">
        <f t="shared" si="5"/>
        <v>0</v>
      </c>
      <c r="F65" s="461" t="s">
        <v>742</v>
      </c>
      <c r="G65" s="453">
        <v>0</v>
      </c>
      <c r="H65" s="456">
        <v>0</v>
      </c>
      <c r="I65" s="454">
        <v>0</v>
      </c>
      <c r="J65" s="464">
        <f t="shared" si="6"/>
        <v>0</v>
      </c>
    </row>
    <row r="66" spans="1:10" ht="14.95" thickBot="1" x14ac:dyDescent="0.3">
      <c r="A66" s="35" t="s">
        <v>200</v>
      </c>
      <c r="B66" s="283">
        <v>0</v>
      </c>
      <c r="C66" s="235">
        <v>0</v>
      </c>
      <c r="D66" s="66">
        <v>0</v>
      </c>
      <c r="E66" s="36">
        <f t="shared" si="5"/>
        <v>0</v>
      </c>
      <c r="F66" s="461" t="s">
        <v>210</v>
      </c>
      <c r="G66" s="453">
        <v>0</v>
      </c>
      <c r="H66" s="456">
        <v>0</v>
      </c>
      <c r="I66" s="454">
        <v>0</v>
      </c>
      <c r="J66" s="464">
        <f t="shared" si="6"/>
        <v>0</v>
      </c>
    </row>
    <row r="67" spans="1:10" ht="14.95" thickBot="1" x14ac:dyDescent="0.3">
      <c r="A67" s="35" t="s">
        <v>751</v>
      </c>
      <c r="B67" s="283">
        <v>0</v>
      </c>
      <c r="C67" s="235">
        <v>0</v>
      </c>
      <c r="D67" s="66">
        <v>0</v>
      </c>
      <c r="E67" s="36">
        <f t="shared" si="5"/>
        <v>0</v>
      </c>
      <c r="F67" s="461" t="s">
        <v>200</v>
      </c>
      <c r="G67" s="453">
        <v>0</v>
      </c>
      <c r="H67" s="456">
        <v>0</v>
      </c>
      <c r="I67" s="454">
        <v>0</v>
      </c>
      <c r="J67" s="464">
        <f t="shared" si="6"/>
        <v>0</v>
      </c>
    </row>
    <row r="68" spans="1:10" ht="14.95" thickBot="1" x14ac:dyDescent="0.3">
      <c r="A68" s="35" t="s">
        <v>744</v>
      </c>
      <c r="B68" s="283">
        <v>0</v>
      </c>
      <c r="C68" s="235">
        <v>0</v>
      </c>
      <c r="D68" s="66">
        <v>0</v>
      </c>
      <c r="E68" s="36">
        <f t="shared" si="5"/>
        <v>0</v>
      </c>
      <c r="F68" s="461" t="s">
        <v>751</v>
      </c>
      <c r="G68" s="453">
        <v>0</v>
      </c>
      <c r="H68" s="456">
        <v>0</v>
      </c>
      <c r="I68" s="454">
        <v>0</v>
      </c>
      <c r="J68" s="464">
        <f t="shared" si="6"/>
        <v>0</v>
      </c>
    </row>
    <row r="69" spans="1:10" ht="14.95" thickBot="1" x14ac:dyDescent="0.3">
      <c r="A69" s="35" t="s">
        <v>952</v>
      </c>
      <c r="B69" s="283">
        <v>0</v>
      </c>
      <c r="C69" s="235">
        <v>0</v>
      </c>
      <c r="D69" s="66">
        <v>0</v>
      </c>
      <c r="E69" s="36">
        <f t="shared" si="5"/>
        <v>0</v>
      </c>
      <c r="F69" s="461" t="s">
        <v>744</v>
      </c>
      <c r="G69" s="453">
        <v>0</v>
      </c>
      <c r="H69" s="456">
        <v>0</v>
      </c>
      <c r="I69" s="454">
        <v>0</v>
      </c>
      <c r="J69" s="464">
        <f t="shared" si="6"/>
        <v>0</v>
      </c>
    </row>
    <row r="70" spans="1:10" ht="14.95" thickBot="1" x14ac:dyDescent="0.3">
      <c r="A70" s="35" t="s">
        <v>74</v>
      </c>
      <c r="B70" s="283">
        <v>0</v>
      </c>
      <c r="C70" s="235">
        <v>0</v>
      </c>
      <c r="D70" s="66">
        <v>0</v>
      </c>
      <c r="E70" s="36">
        <f t="shared" si="5"/>
        <v>0</v>
      </c>
      <c r="F70" s="461" t="s">
        <v>952</v>
      </c>
      <c r="G70" s="453">
        <v>0</v>
      </c>
      <c r="H70" s="456">
        <v>0</v>
      </c>
      <c r="I70" s="454">
        <v>0</v>
      </c>
      <c r="J70" s="464">
        <f t="shared" si="6"/>
        <v>0</v>
      </c>
    </row>
    <row r="71" spans="1:10" ht="14.95" thickBot="1" x14ac:dyDescent="0.3">
      <c r="A71" s="35" t="s">
        <v>75</v>
      </c>
      <c r="B71" s="283">
        <v>0</v>
      </c>
      <c r="C71" s="235">
        <v>0</v>
      </c>
      <c r="D71" s="66">
        <v>0</v>
      </c>
      <c r="E71" s="36">
        <f t="shared" si="5"/>
        <v>0</v>
      </c>
      <c r="F71" s="461" t="s">
        <v>74</v>
      </c>
      <c r="G71" s="453">
        <v>0</v>
      </c>
      <c r="H71" s="456">
        <v>0</v>
      </c>
      <c r="I71" s="454">
        <v>0</v>
      </c>
      <c r="J71" s="464">
        <f t="shared" si="6"/>
        <v>0</v>
      </c>
    </row>
    <row r="72" spans="1:10" ht="14.95" thickBot="1" x14ac:dyDescent="0.3">
      <c r="A72" s="35" t="s">
        <v>76</v>
      </c>
      <c r="B72" s="283">
        <v>0</v>
      </c>
      <c r="C72" s="235">
        <v>0</v>
      </c>
      <c r="D72" s="66">
        <v>0</v>
      </c>
      <c r="E72" s="36">
        <f t="shared" si="5"/>
        <v>0</v>
      </c>
      <c r="F72" s="461" t="s">
        <v>75</v>
      </c>
      <c r="G72" s="453">
        <v>0</v>
      </c>
      <c r="H72" s="456">
        <v>0</v>
      </c>
      <c r="I72" s="454">
        <v>0</v>
      </c>
      <c r="J72" s="464">
        <f t="shared" si="6"/>
        <v>0</v>
      </c>
    </row>
    <row r="73" spans="1:10" ht="14.95" thickBot="1" x14ac:dyDescent="0.3">
      <c r="A73" s="35" t="s">
        <v>77</v>
      </c>
      <c r="B73" s="283">
        <v>0</v>
      </c>
      <c r="C73" s="235">
        <v>0</v>
      </c>
      <c r="D73" s="66">
        <v>0</v>
      </c>
      <c r="E73" s="36">
        <f t="shared" si="5"/>
        <v>0</v>
      </c>
      <c r="F73" s="461" t="s">
        <v>76</v>
      </c>
      <c r="G73" s="453">
        <v>0</v>
      </c>
      <c r="H73" s="456">
        <v>0</v>
      </c>
      <c r="I73" s="454">
        <v>0</v>
      </c>
      <c r="J73" s="464">
        <f t="shared" si="6"/>
        <v>0</v>
      </c>
    </row>
    <row r="74" spans="1:10" ht="14.95" thickBot="1" x14ac:dyDescent="0.3">
      <c r="A74" s="35" t="s">
        <v>676</v>
      </c>
      <c r="B74" s="283">
        <v>0</v>
      </c>
      <c r="C74" s="235">
        <v>0</v>
      </c>
      <c r="D74" s="66">
        <v>0</v>
      </c>
      <c r="E74" s="36">
        <f t="shared" si="5"/>
        <v>0</v>
      </c>
      <c r="F74" s="461" t="s">
        <v>77</v>
      </c>
      <c r="G74" s="453">
        <v>0</v>
      </c>
      <c r="H74" s="456">
        <v>0</v>
      </c>
      <c r="I74" s="454">
        <v>0</v>
      </c>
      <c r="J74" s="464">
        <f t="shared" si="6"/>
        <v>0</v>
      </c>
    </row>
    <row r="75" spans="1:10" ht="14.95" thickBot="1" x14ac:dyDescent="0.3">
      <c r="A75" s="35" t="s">
        <v>78</v>
      </c>
      <c r="B75" s="283">
        <v>0</v>
      </c>
      <c r="C75" s="235">
        <v>0</v>
      </c>
      <c r="D75" s="66">
        <v>0</v>
      </c>
      <c r="E75" s="36">
        <f t="shared" si="5"/>
        <v>0</v>
      </c>
      <c r="F75" s="461" t="s">
        <v>676</v>
      </c>
      <c r="G75" s="453">
        <v>0</v>
      </c>
      <c r="H75" s="456">
        <v>0</v>
      </c>
      <c r="I75" s="454">
        <v>0</v>
      </c>
      <c r="J75" s="464">
        <f t="shared" si="6"/>
        <v>0</v>
      </c>
    </row>
    <row r="76" spans="1:10" ht="14.95" thickBot="1" x14ac:dyDescent="0.3">
      <c r="A76" s="35" t="s">
        <v>79</v>
      </c>
      <c r="B76" s="283">
        <v>0</v>
      </c>
      <c r="C76" s="235">
        <v>0</v>
      </c>
      <c r="D76" s="66">
        <v>0</v>
      </c>
      <c r="E76" s="36">
        <f t="shared" si="5"/>
        <v>0</v>
      </c>
      <c r="F76" s="461" t="s">
        <v>78</v>
      </c>
      <c r="G76" s="453">
        <v>0</v>
      </c>
      <c r="H76" s="456">
        <v>0</v>
      </c>
      <c r="I76" s="454">
        <v>0</v>
      </c>
      <c r="J76" s="464">
        <f t="shared" si="6"/>
        <v>0</v>
      </c>
    </row>
    <row r="77" spans="1:10" ht="14.95" thickBot="1" x14ac:dyDescent="0.3">
      <c r="A77" s="35" t="s">
        <v>983</v>
      </c>
      <c r="B77" s="283">
        <v>0</v>
      </c>
      <c r="C77" s="235">
        <v>0</v>
      </c>
      <c r="D77" s="66">
        <v>0</v>
      </c>
      <c r="E77" s="36">
        <f t="shared" si="5"/>
        <v>0</v>
      </c>
      <c r="F77" s="461" t="s">
        <v>79</v>
      </c>
      <c r="G77" s="453">
        <v>0</v>
      </c>
      <c r="H77" s="456">
        <v>0</v>
      </c>
      <c r="I77" s="454">
        <v>0</v>
      </c>
      <c r="J77" s="464">
        <f t="shared" si="6"/>
        <v>0</v>
      </c>
    </row>
    <row r="78" spans="1:10" ht="14.95" thickBot="1" x14ac:dyDescent="0.3">
      <c r="A78" s="35" t="s">
        <v>379</v>
      </c>
      <c r="B78" s="283">
        <v>0</v>
      </c>
      <c r="C78" s="235">
        <v>0</v>
      </c>
      <c r="D78" s="66">
        <v>0</v>
      </c>
      <c r="E78" s="36">
        <f t="shared" si="5"/>
        <v>0</v>
      </c>
      <c r="F78" s="461" t="s">
        <v>983</v>
      </c>
      <c r="G78" s="453">
        <v>0</v>
      </c>
      <c r="H78" s="456">
        <v>0</v>
      </c>
      <c r="I78" s="454">
        <v>0</v>
      </c>
      <c r="J78" s="464">
        <f t="shared" si="6"/>
        <v>0</v>
      </c>
    </row>
    <row r="79" spans="1:10" ht="14.95" thickBot="1" x14ac:dyDescent="0.3">
      <c r="A79" s="35" t="s">
        <v>80</v>
      </c>
      <c r="B79" s="283">
        <v>0</v>
      </c>
      <c r="C79" s="235">
        <v>0</v>
      </c>
      <c r="D79" s="66">
        <v>0</v>
      </c>
      <c r="E79" s="36">
        <f t="shared" si="5"/>
        <v>0</v>
      </c>
      <c r="F79" s="461" t="s">
        <v>379</v>
      </c>
      <c r="G79" s="453">
        <v>0</v>
      </c>
      <c r="H79" s="456">
        <v>0</v>
      </c>
      <c r="I79" s="454">
        <v>0</v>
      </c>
      <c r="J79" s="464">
        <f t="shared" si="6"/>
        <v>0</v>
      </c>
    </row>
    <row r="80" spans="1:10" ht="14.95" thickBot="1" x14ac:dyDescent="0.3">
      <c r="A80" s="35" t="s">
        <v>81</v>
      </c>
      <c r="B80" s="283">
        <v>0</v>
      </c>
      <c r="C80" s="235">
        <v>0</v>
      </c>
      <c r="D80" s="66">
        <v>0</v>
      </c>
      <c r="E80" s="36">
        <f t="shared" si="5"/>
        <v>0</v>
      </c>
      <c r="F80" s="461" t="s">
        <v>80</v>
      </c>
      <c r="G80" s="453">
        <v>0</v>
      </c>
      <c r="H80" s="456">
        <v>0</v>
      </c>
      <c r="I80" s="454">
        <v>0</v>
      </c>
      <c r="J80" s="464">
        <f t="shared" si="6"/>
        <v>0</v>
      </c>
    </row>
    <row r="81" spans="1:10" ht="14.95" thickBot="1" x14ac:dyDescent="0.3">
      <c r="A81" s="35" t="s">
        <v>82</v>
      </c>
      <c r="B81" s="283">
        <v>0</v>
      </c>
      <c r="C81" s="235">
        <v>0</v>
      </c>
      <c r="D81" s="66">
        <v>0</v>
      </c>
      <c r="E81" s="36">
        <f t="shared" si="5"/>
        <v>0</v>
      </c>
      <c r="F81" s="461" t="s">
        <v>81</v>
      </c>
      <c r="G81" s="453">
        <v>0</v>
      </c>
      <c r="H81" s="456">
        <v>0</v>
      </c>
      <c r="I81" s="454">
        <v>0</v>
      </c>
      <c r="J81" s="464">
        <f t="shared" si="6"/>
        <v>0</v>
      </c>
    </row>
    <row r="82" spans="1:10" ht="14.95" thickBot="1" x14ac:dyDescent="0.3">
      <c r="A82" s="35" t="s">
        <v>590</v>
      </c>
      <c r="B82" s="283">
        <v>0</v>
      </c>
      <c r="C82" s="235">
        <v>0</v>
      </c>
      <c r="D82" s="66">
        <v>0</v>
      </c>
      <c r="E82" s="36">
        <f t="shared" si="5"/>
        <v>0</v>
      </c>
      <c r="F82" s="461" t="s">
        <v>82</v>
      </c>
      <c r="G82" s="453">
        <v>0</v>
      </c>
      <c r="H82" s="456">
        <v>0</v>
      </c>
      <c r="I82" s="454">
        <v>0</v>
      </c>
      <c r="J82" s="464">
        <f t="shared" si="6"/>
        <v>0</v>
      </c>
    </row>
    <row r="83" spans="1:10" ht="14.95" thickBot="1" x14ac:dyDescent="0.3">
      <c r="A83" s="35" t="s">
        <v>84</v>
      </c>
      <c r="B83" s="283">
        <v>0</v>
      </c>
      <c r="C83" s="235">
        <v>0</v>
      </c>
      <c r="D83" s="66">
        <v>0</v>
      </c>
      <c r="E83" s="36">
        <f t="shared" si="5"/>
        <v>0</v>
      </c>
      <c r="F83" s="461" t="s">
        <v>590</v>
      </c>
      <c r="G83" s="453">
        <v>0</v>
      </c>
      <c r="H83" s="456">
        <v>0</v>
      </c>
      <c r="I83" s="454">
        <v>0</v>
      </c>
      <c r="J83" s="464">
        <f t="shared" si="6"/>
        <v>0</v>
      </c>
    </row>
    <row r="84" spans="1:10" ht="14.95" thickBot="1" x14ac:dyDescent="0.3">
      <c r="A84" s="35" t="s">
        <v>85</v>
      </c>
      <c r="B84" s="283">
        <v>0</v>
      </c>
      <c r="C84" s="235">
        <v>0</v>
      </c>
      <c r="D84" s="66">
        <v>0</v>
      </c>
      <c r="E84" s="36">
        <f t="shared" si="5"/>
        <v>0</v>
      </c>
      <c r="F84" s="462" t="s">
        <v>84</v>
      </c>
      <c r="G84" s="453">
        <v>0</v>
      </c>
      <c r="H84" s="456">
        <v>0</v>
      </c>
      <c r="I84" s="454">
        <v>0</v>
      </c>
      <c r="J84" s="464">
        <f t="shared" si="6"/>
        <v>0</v>
      </c>
    </row>
    <row r="85" spans="1:10" ht="14.95" thickBot="1" x14ac:dyDescent="0.3">
      <c r="A85" s="35" t="s">
        <v>87</v>
      </c>
      <c r="B85" s="283">
        <v>0</v>
      </c>
      <c r="C85" s="235">
        <v>0</v>
      </c>
      <c r="D85" s="66">
        <v>0</v>
      </c>
      <c r="E85" s="36">
        <f t="shared" si="5"/>
        <v>0</v>
      </c>
      <c r="F85" s="462" t="s">
        <v>85</v>
      </c>
      <c r="G85" s="453">
        <v>0</v>
      </c>
      <c r="H85" s="456">
        <v>0</v>
      </c>
      <c r="I85" s="454">
        <v>0</v>
      </c>
      <c r="J85" s="464">
        <f t="shared" si="6"/>
        <v>0</v>
      </c>
    </row>
    <row r="86" spans="1:10" ht="14.95" thickBot="1" x14ac:dyDescent="0.3">
      <c r="A86" s="35" t="s">
        <v>86</v>
      </c>
      <c r="B86" s="283">
        <v>0</v>
      </c>
      <c r="C86" s="235">
        <v>0</v>
      </c>
      <c r="D86" s="66">
        <v>0</v>
      </c>
      <c r="E86" s="36">
        <f t="shared" si="5"/>
        <v>0</v>
      </c>
      <c r="F86" s="462" t="s">
        <v>87</v>
      </c>
      <c r="G86" s="453">
        <v>0</v>
      </c>
      <c r="H86" s="456">
        <v>0</v>
      </c>
      <c r="I86" s="454">
        <v>0</v>
      </c>
      <c r="J86" s="464">
        <f t="shared" si="6"/>
        <v>0</v>
      </c>
    </row>
    <row r="87" spans="1:10" ht="14.95" thickBot="1" x14ac:dyDescent="0.3">
      <c r="A87" s="35" t="s">
        <v>726</v>
      </c>
      <c r="B87" s="283">
        <v>0</v>
      </c>
      <c r="C87" s="235">
        <v>0</v>
      </c>
      <c r="D87" s="66">
        <v>0</v>
      </c>
      <c r="E87" s="36">
        <f t="shared" si="5"/>
        <v>0</v>
      </c>
      <c r="F87" s="462" t="s">
        <v>86</v>
      </c>
      <c r="G87" s="453">
        <v>0</v>
      </c>
      <c r="H87" s="456">
        <v>0</v>
      </c>
      <c r="I87" s="454">
        <v>0</v>
      </c>
      <c r="J87" s="464">
        <f t="shared" si="6"/>
        <v>0</v>
      </c>
    </row>
    <row r="88" spans="1:10" ht="14.95" thickBot="1" x14ac:dyDescent="0.3">
      <c r="A88" s="35" t="s">
        <v>208</v>
      </c>
      <c r="B88" s="283">
        <v>0</v>
      </c>
      <c r="C88" s="235">
        <v>0</v>
      </c>
      <c r="D88" s="66">
        <v>0</v>
      </c>
      <c r="E88" s="36">
        <f t="shared" si="5"/>
        <v>0</v>
      </c>
      <c r="F88" s="462" t="s">
        <v>726</v>
      </c>
      <c r="G88" s="453">
        <v>0</v>
      </c>
      <c r="H88" s="456">
        <v>0</v>
      </c>
      <c r="I88" s="454">
        <v>0</v>
      </c>
      <c r="J88" s="464">
        <f t="shared" si="6"/>
        <v>0</v>
      </c>
    </row>
    <row r="89" spans="1:10" ht="14.95" thickBot="1" x14ac:dyDescent="0.3">
      <c r="A89" s="35" t="s">
        <v>88</v>
      </c>
      <c r="B89" s="283">
        <v>0</v>
      </c>
      <c r="C89" s="235">
        <v>0</v>
      </c>
      <c r="D89" s="66">
        <v>0</v>
      </c>
      <c r="E89" s="36">
        <f t="shared" si="5"/>
        <v>0</v>
      </c>
      <c r="F89" s="462" t="s">
        <v>208</v>
      </c>
      <c r="G89" s="453">
        <v>0</v>
      </c>
      <c r="H89" s="456">
        <v>0</v>
      </c>
      <c r="I89" s="454">
        <v>0</v>
      </c>
      <c r="J89" s="464">
        <f t="shared" si="6"/>
        <v>0</v>
      </c>
    </row>
    <row r="90" spans="1:10" ht="14.95" thickBot="1" x14ac:dyDescent="0.3">
      <c r="A90" s="35" t="s">
        <v>381</v>
      </c>
      <c r="B90" s="283">
        <v>0</v>
      </c>
      <c r="C90" s="235">
        <v>0</v>
      </c>
      <c r="D90" s="66">
        <v>0</v>
      </c>
      <c r="E90" s="36">
        <f t="shared" si="5"/>
        <v>0</v>
      </c>
      <c r="F90" s="462" t="s">
        <v>88</v>
      </c>
      <c r="G90" s="453">
        <v>0</v>
      </c>
      <c r="H90" s="456">
        <v>0</v>
      </c>
      <c r="I90" s="454">
        <v>0</v>
      </c>
      <c r="J90" s="464">
        <f t="shared" si="6"/>
        <v>0</v>
      </c>
    </row>
    <row r="91" spans="1:10" ht="14.95" thickBot="1" x14ac:dyDescent="0.3">
      <c r="A91" s="35" t="s">
        <v>515</v>
      </c>
      <c r="B91" s="283">
        <v>0</v>
      </c>
      <c r="C91" s="235">
        <v>0</v>
      </c>
      <c r="D91" s="66">
        <v>0</v>
      </c>
      <c r="E91" s="36">
        <f t="shared" si="5"/>
        <v>0</v>
      </c>
      <c r="F91" s="462" t="s">
        <v>515</v>
      </c>
      <c r="G91" s="453">
        <v>0</v>
      </c>
      <c r="H91" s="456">
        <v>0</v>
      </c>
      <c r="I91" s="454">
        <v>0</v>
      </c>
      <c r="J91" s="464">
        <f t="shared" si="6"/>
        <v>0</v>
      </c>
    </row>
    <row r="92" spans="1:10" ht="14.95" thickBot="1" x14ac:dyDescent="0.3">
      <c r="A92" s="35" t="s">
        <v>89</v>
      </c>
      <c r="B92" s="283">
        <v>0</v>
      </c>
      <c r="C92" s="235">
        <v>0</v>
      </c>
      <c r="D92" s="66">
        <v>0</v>
      </c>
      <c r="E92" s="36">
        <f t="shared" si="5"/>
        <v>0</v>
      </c>
      <c r="F92" s="462" t="s">
        <v>89</v>
      </c>
      <c r="G92" s="453">
        <v>0</v>
      </c>
      <c r="H92" s="456">
        <v>0</v>
      </c>
      <c r="I92" s="454">
        <v>0</v>
      </c>
      <c r="J92" s="464">
        <f t="shared" si="6"/>
        <v>0</v>
      </c>
    </row>
    <row r="93" spans="1:10" ht="14.95" thickBot="1" x14ac:dyDescent="0.3">
      <c r="A93" s="35" t="s">
        <v>90</v>
      </c>
      <c r="B93" s="283">
        <v>0</v>
      </c>
      <c r="C93" s="235">
        <v>0</v>
      </c>
      <c r="D93" s="66">
        <v>0</v>
      </c>
      <c r="E93" s="36">
        <f t="shared" si="5"/>
        <v>0</v>
      </c>
      <c r="F93" s="462" t="s">
        <v>90</v>
      </c>
      <c r="G93" s="453">
        <v>0</v>
      </c>
      <c r="H93" s="456">
        <v>0</v>
      </c>
      <c r="I93" s="454">
        <v>0</v>
      </c>
      <c r="J93" s="464">
        <f t="shared" si="6"/>
        <v>0</v>
      </c>
    </row>
    <row r="94" spans="1:10" ht="14.95" thickBot="1" x14ac:dyDescent="0.3">
      <c r="A94" s="35" t="s">
        <v>197</v>
      </c>
      <c r="B94" s="283">
        <v>0</v>
      </c>
      <c r="C94" s="235">
        <v>0</v>
      </c>
      <c r="D94" s="66">
        <v>0</v>
      </c>
      <c r="E94" s="36">
        <f t="shared" si="5"/>
        <v>0</v>
      </c>
      <c r="F94" s="462" t="s">
        <v>197</v>
      </c>
      <c r="G94" s="453">
        <v>0</v>
      </c>
      <c r="H94" s="456">
        <v>0</v>
      </c>
      <c r="I94" s="454">
        <v>0</v>
      </c>
      <c r="J94" s="464">
        <f t="shared" si="6"/>
        <v>0</v>
      </c>
    </row>
    <row r="95" spans="1:10" ht="14.95" thickBot="1" x14ac:dyDescent="0.3">
      <c r="A95" s="35" t="s">
        <v>646</v>
      </c>
      <c r="B95" s="283">
        <v>0</v>
      </c>
      <c r="C95" s="235">
        <v>0</v>
      </c>
      <c r="D95" s="66">
        <v>0</v>
      </c>
      <c r="E95" s="36">
        <f t="shared" si="5"/>
        <v>0</v>
      </c>
      <c r="F95" s="462" t="s">
        <v>646</v>
      </c>
      <c r="G95" s="453">
        <v>0</v>
      </c>
      <c r="H95" s="456">
        <v>0</v>
      </c>
      <c r="I95" s="454">
        <v>0</v>
      </c>
      <c r="J95" s="464">
        <f t="shared" si="6"/>
        <v>0</v>
      </c>
    </row>
    <row r="96" spans="1:10" ht="14.95" thickBot="1" x14ac:dyDescent="0.3">
      <c r="A96" s="35" t="s">
        <v>91</v>
      </c>
      <c r="B96" s="283">
        <v>0</v>
      </c>
      <c r="C96" s="235">
        <v>0</v>
      </c>
      <c r="D96" s="66">
        <v>0</v>
      </c>
      <c r="E96" s="36">
        <f t="shared" si="5"/>
        <v>0</v>
      </c>
      <c r="F96" s="462" t="s">
        <v>91</v>
      </c>
      <c r="G96" s="453">
        <v>0</v>
      </c>
      <c r="H96" s="456">
        <v>0</v>
      </c>
      <c r="I96" s="454">
        <v>0</v>
      </c>
      <c r="J96" s="464">
        <f t="shared" si="6"/>
        <v>0</v>
      </c>
    </row>
    <row r="97" spans="1:10" ht="14.95" thickBot="1" x14ac:dyDescent="0.3">
      <c r="A97" s="35" t="s">
        <v>3</v>
      </c>
      <c r="B97" s="283">
        <v>0</v>
      </c>
      <c r="C97" s="235">
        <v>0</v>
      </c>
      <c r="D97" s="66">
        <v>0</v>
      </c>
      <c r="E97" s="36">
        <f>SUM(E52:E96)</f>
        <v>12</v>
      </c>
      <c r="F97" s="462" t="s">
        <v>3</v>
      </c>
      <c r="G97" s="453">
        <f>SUM(G52:G96)</f>
        <v>78</v>
      </c>
      <c r="H97" s="456">
        <f>SUM(H52:H96)</f>
        <v>0</v>
      </c>
      <c r="I97" s="454">
        <f>SUM(I52:I96)</f>
        <v>0</v>
      </c>
      <c r="J97" s="464">
        <f>SUM(J52:J96)</f>
        <v>78</v>
      </c>
    </row>
    <row r="98" spans="1:10" ht="16.3" x14ac:dyDescent="0.3">
      <c r="A98" s="524" t="s">
        <v>10</v>
      </c>
      <c r="B98" s="524"/>
      <c r="C98" s="524"/>
      <c r="D98" s="525"/>
    </row>
  </sheetData>
  <sortState xmlns:xlrd2="http://schemas.microsoft.com/office/spreadsheetml/2017/richdata2" ref="F52:J96">
    <sortCondition descending="1" ref="J52:J96"/>
  </sortState>
  <mergeCells count="24">
    <mergeCell ref="A98:D98"/>
    <mergeCell ref="K21:K22"/>
    <mergeCell ref="O21:Q22"/>
    <mergeCell ref="S1:U2"/>
    <mergeCell ref="R12:T13"/>
    <mergeCell ref="O31:Q32"/>
    <mergeCell ref="O1:Q2"/>
    <mergeCell ref="A1:J1"/>
    <mergeCell ref="K38:X38"/>
    <mergeCell ref="K31:K32"/>
    <mergeCell ref="L31:N32"/>
    <mergeCell ref="K1:K2"/>
    <mergeCell ref="L1:N2"/>
    <mergeCell ref="L12:N13"/>
    <mergeCell ref="K12:K13"/>
    <mergeCell ref="L21:N22"/>
    <mergeCell ref="R31:T32"/>
    <mergeCell ref="AD1:AF2"/>
    <mergeCell ref="O12:Q13"/>
    <mergeCell ref="V1:X2"/>
    <mergeCell ref="U12:W13"/>
    <mergeCell ref="R1:R2"/>
    <mergeCell ref="AA1:AC2"/>
    <mergeCell ref="AA12:AC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94"/>
  <sheetViews>
    <sheetView topLeftCell="A20" workbookViewId="0">
      <selection activeCell="B41" sqref="B41"/>
    </sheetView>
  </sheetViews>
  <sheetFormatPr defaultRowHeight="14.3" x14ac:dyDescent="0.25"/>
  <cols>
    <col min="1" max="1" width="19.125" customWidth="1"/>
    <col min="2" max="2" width="4.5" customWidth="1"/>
    <col min="3" max="3" width="4.875" customWidth="1"/>
    <col min="4" max="4" width="4.5" customWidth="1"/>
    <col min="5" max="5" width="4.75" customWidth="1"/>
    <col min="6" max="6" width="19.125" customWidth="1"/>
    <col min="7" max="7" width="5.25" customWidth="1"/>
    <col min="8" max="8" width="4.875" customWidth="1"/>
    <col min="9" max="10" width="5.25" customWidth="1"/>
    <col min="11" max="11" width="15.25" customWidth="1"/>
    <col min="12" max="26" width="5.5" customWidth="1"/>
    <col min="28" max="33" width="5.625" customWidth="1"/>
  </cols>
  <sheetData>
    <row r="1" spans="1:33" ht="14.95" customHeight="1" thickBot="1" x14ac:dyDescent="0.3">
      <c r="A1" s="583" t="s">
        <v>999</v>
      </c>
      <c r="B1" s="584"/>
      <c r="C1" s="584"/>
      <c r="D1" s="584"/>
      <c r="E1" s="584"/>
      <c r="F1" s="584"/>
      <c r="G1" s="584"/>
      <c r="H1" s="584"/>
      <c r="I1" s="584"/>
      <c r="J1" s="585"/>
      <c r="K1" s="586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Y1" s="588"/>
      <c r="Z1" s="588"/>
      <c r="AA1" s="588"/>
      <c r="AB1" s="516">
        <v>2023</v>
      </c>
      <c r="AC1" s="517"/>
      <c r="AD1" s="518"/>
      <c r="AE1" s="516">
        <v>2022</v>
      </c>
      <c r="AF1" s="517"/>
      <c r="AG1" s="518"/>
    </row>
    <row r="2" spans="1:33" ht="14.95" customHeight="1" thickBot="1" x14ac:dyDescent="0.3">
      <c r="A2" s="79" t="s">
        <v>0</v>
      </c>
      <c r="B2" s="273" t="s">
        <v>14</v>
      </c>
      <c r="C2" s="101" t="s">
        <v>500</v>
      </c>
      <c r="D2" s="256" t="s">
        <v>11</v>
      </c>
      <c r="E2" s="80" t="s">
        <v>1</v>
      </c>
      <c r="F2" s="69" t="s">
        <v>2</v>
      </c>
      <c r="G2" s="275" t="s">
        <v>14</v>
      </c>
      <c r="H2" s="103" t="s">
        <v>500</v>
      </c>
      <c r="I2" s="46" t="s">
        <v>11</v>
      </c>
      <c r="J2" s="70" t="s">
        <v>1</v>
      </c>
      <c r="K2" s="587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Y2" s="588"/>
      <c r="Z2" s="588"/>
      <c r="AA2" s="588"/>
      <c r="AB2" s="519"/>
      <c r="AC2" s="520"/>
      <c r="AD2" s="521"/>
      <c r="AE2" s="519"/>
      <c r="AF2" s="520"/>
      <c r="AG2" s="521"/>
    </row>
    <row r="3" spans="1:33" ht="14.95" customHeight="1" thickBot="1" x14ac:dyDescent="0.3">
      <c r="A3" s="47" t="s">
        <v>115</v>
      </c>
      <c r="B3" s="274">
        <v>0</v>
      </c>
      <c r="C3" s="102">
        <v>0</v>
      </c>
      <c r="D3" s="257">
        <v>0</v>
      </c>
      <c r="E3" s="30">
        <f t="shared" ref="E3:E45" si="0">SUM(B3:D3)</f>
        <v>0</v>
      </c>
      <c r="F3" s="13" t="s">
        <v>115</v>
      </c>
      <c r="G3" s="276">
        <v>0</v>
      </c>
      <c r="H3" s="104">
        <v>0</v>
      </c>
      <c r="I3" s="19">
        <v>0</v>
      </c>
      <c r="J3" s="15">
        <f t="shared" ref="J3:J45" si="1">SUM(G3:I3)</f>
        <v>0</v>
      </c>
      <c r="K3" s="239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260" t="s">
        <v>17</v>
      </c>
      <c r="W3" s="59" t="s">
        <v>5</v>
      </c>
      <c r="X3" s="59" t="s">
        <v>6</v>
      </c>
      <c r="Y3" s="24"/>
      <c r="Z3" s="24"/>
      <c r="AA3" s="24"/>
      <c r="AB3" s="260" t="s">
        <v>17</v>
      </c>
      <c r="AC3" s="59" t="s">
        <v>5</v>
      </c>
      <c r="AD3" s="59" t="s">
        <v>6</v>
      </c>
      <c r="AE3" s="260" t="s">
        <v>17</v>
      </c>
      <c r="AF3" s="59" t="s">
        <v>5</v>
      </c>
      <c r="AG3" s="59" t="s">
        <v>6</v>
      </c>
    </row>
    <row r="4" spans="1:33" ht="14.95" customHeight="1" thickBot="1" x14ac:dyDescent="0.3">
      <c r="A4" s="47" t="s">
        <v>96</v>
      </c>
      <c r="B4" s="274">
        <v>0</v>
      </c>
      <c r="C4" s="102">
        <v>0</v>
      </c>
      <c r="D4" s="257">
        <v>0</v>
      </c>
      <c r="E4" s="30">
        <f t="shared" si="0"/>
        <v>0</v>
      </c>
      <c r="F4" s="13" t="s">
        <v>96</v>
      </c>
      <c r="G4" s="276">
        <v>0</v>
      </c>
      <c r="H4" s="104">
        <v>0</v>
      </c>
      <c r="I4" s="19">
        <v>0</v>
      </c>
      <c r="J4" s="15">
        <f t="shared" si="1"/>
        <v>0</v>
      </c>
      <c r="K4" s="92" t="s">
        <v>110</v>
      </c>
      <c r="L4" s="30" t="s">
        <v>8</v>
      </c>
      <c r="M4" s="30" t="s">
        <v>8</v>
      </c>
      <c r="N4" s="31" t="s">
        <v>8</v>
      </c>
      <c r="O4" s="30" t="s">
        <v>8</v>
      </c>
      <c r="P4" s="30" t="s">
        <v>8</v>
      </c>
      <c r="Q4" s="31" t="s">
        <v>8</v>
      </c>
      <c r="R4" s="30">
        <v>1</v>
      </c>
      <c r="S4" s="59">
        <v>3</v>
      </c>
      <c r="T4" s="59">
        <v>6</v>
      </c>
      <c r="U4" s="117">
        <v>50</v>
      </c>
      <c r="V4" s="59">
        <v>2</v>
      </c>
      <c r="W4" s="59">
        <v>3</v>
      </c>
      <c r="X4" s="117">
        <f>SUM(V4/W4)*100</f>
        <v>66.666666666666657</v>
      </c>
      <c r="Y4" s="24"/>
      <c r="Z4" s="24"/>
      <c r="AA4" s="25"/>
      <c r="AB4" s="260" t="s">
        <v>8</v>
      </c>
      <c r="AC4" s="59" t="s">
        <v>8</v>
      </c>
      <c r="AD4" s="117" t="s">
        <v>8</v>
      </c>
      <c r="AE4" s="260">
        <v>1</v>
      </c>
      <c r="AF4" s="59">
        <v>2</v>
      </c>
      <c r="AG4" s="117">
        <f>SUM(AE4/AF4)*100</f>
        <v>50</v>
      </c>
    </row>
    <row r="5" spans="1:33" ht="14.95" customHeight="1" thickBot="1" x14ac:dyDescent="0.3">
      <c r="A5" s="47" t="s">
        <v>110</v>
      </c>
      <c r="B5" s="274">
        <v>0</v>
      </c>
      <c r="C5" s="102">
        <v>0</v>
      </c>
      <c r="D5" s="257">
        <v>0</v>
      </c>
      <c r="E5" s="30">
        <f t="shared" si="0"/>
        <v>0</v>
      </c>
      <c r="F5" s="13" t="s">
        <v>110</v>
      </c>
      <c r="G5" s="276">
        <v>0</v>
      </c>
      <c r="H5" s="104">
        <v>0</v>
      </c>
      <c r="I5" s="19">
        <v>0</v>
      </c>
      <c r="J5" s="15">
        <f t="shared" si="1"/>
        <v>0</v>
      </c>
      <c r="K5" s="92" t="s">
        <v>108</v>
      </c>
      <c r="L5" s="30" t="s">
        <v>8</v>
      </c>
      <c r="M5" s="30" t="s">
        <v>8</v>
      </c>
      <c r="N5" s="31" t="s">
        <v>8</v>
      </c>
      <c r="O5" s="30" t="s">
        <v>8</v>
      </c>
      <c r="P5" s="30" t="s">
        <v>8</v>
      </c>
      <c r="Q5" s="31" t="s">
        <v>8</v>
      </c>
      <c r="R5" s="30">
        <v>-3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Y5" s="24"/>
      <c r="Z5" s="24"/>
      <c r="AA5" s="25"/>
      <c r="AB5" s="260" t="s">
        <v>8</v>
      </c>
      <c r="AC5" s="59" t="s">
        <v>8</v>
      </c>
      <c r="AD5" s="117" t="s">
        <v>8</v>
      </c>
      <c r="AE5" s="260">
        <v>3</v>
      </c>
      <c r="AF5" s="59">
        <v>9</v>
      </c>
      <c r="AG5" s="117">
        <f>SUM(AE5/AF5)*100</f>
        <v>33.333333333333329</v>
      </c>
    </row>
    <row r="6" spans="1:33" ht="14.95" customHeight="1" thickBot="1" x14ac:dyDescent="0.3">
      <c r="A6" s="47" t="s">
        <v>109</v>
      </c>
      <c r="B6" s="274">
        <v>0</v>
      </c>
      <c r="C6" s="102">
        <v>0</v>
      </c>
      <c r="D6" s="257">
        <v>0</v>
      </c>
      <c r="E6" s="30">
        <f t="shared" si="0"/>
        <v>0</v>
      </c>
      <c r="F6" s="13" t="s">
        <v>109</v>
      </c>
      <c r="G6" s="276">
        <v>0</v>
      </c>
      <c r="H6" s="104">
        <v>0</v>
      </c>
      <c r="I6" s="19">
        <v>0</v>
      </c>
      <c r="J6" s="15">
        <f>SUM(G6:I6)</f>
        <v>0</v>
      </c>
      <c r="K6" s="92" t="s">
        <v>276</v>
      </c>
      <c r="L6" s="30" t="s">
        <v>8</v>
      </c>
      <c r="M6" s="30" t="s">
        <v>8</v>
      </c>
      <c r="N6" s="31" t="s">
        <v>8</v>
      </c>
      <c r="O6" s="30" t="s">
        <v>8</v>
      </c>
      <c r="P6" s="30" t="s">
        <v>8</v>
      </c>
      <c r="Q6" s="31" t="s">
        <v>8</v>
      </c>
      <c r="R6" s="30">
        <v>2</v>
      </c>
      <c r="S6" s="59" t="s">
        <v>8</v>
      </c>
      <c r="T6" s="59" t="s">
        <v>8</v>
      </c>
      <c r="U6" s="117" t="s">
        <v>8</v>
      </c>
      <c r="V6" s="59" t="s">
        <v>8</v>
      </c>
      <c r="W6" s="59" t="s">
        <v>8</v>
      </c>
      <c r="X6" s="117" t="s">
        <v>8</v>
      </c>
      <c r="Y6" s="24"/>
      <c r="Z6" s="24"/>
      <c r="AA6" s="25"/>
      <c r="AB6" s="260">
        <v>2</v>
      </c>
      <c r="AC6" s="59">
        <v>2</v>
      </c>
      <c r="AD6" s="117">
        <f>SUM(AB6/AC6)*100</f>
        <v>100</v>
      </c>
      <c r="AE6" s="260" t="s">
        <v>8</v>
      </c>
      <c r="AF6" s="59" t="s">
        <v>8</v>
      </c>
      <c r="AG6" s="117" t="s">
        <v>8</v>
      </c>
    </row>
    <row r="7" spans="1:33" ht="14.95" customHeight="1" thickBot="1" x14ac:dyDescent="0.3">
      <c r="A7" s="47" t="s">
        <v>648</v>
      </c>
      <c r="B7" s="274">
        <v>0</v>
      </c>
      <c r="C7" s="102">
        <v>0</v>
      </c>
      <c r="D7" s="257">
        <v>0</v>
      </c>
      <c r="E7" s="30">
        <f t="shared" si="0"/>
        <v>0</v>
      </c>
      <c r="F7" s="13" t="s">
        <v>648</v>
      </c>
      <c r="G7" s="276">
        <v>0</v>
      </c>
      <c r="H7" s="104">
        <v>0</v>
      </c>
      <c r="I7" s="19">
        <v>0</v>
      </c>
      <c r="J7" s="15">
        <f t="shared" si="1"/>
        <v>0</v>
      </c>
      <c r="K7" s="92" t="s">
        <v>570</v>
      </c>
      <c r="L7" s="30" t="s">
        <v>8</v>
      </c>
      <c r="M7" s="30" t="s">
        <v>8</v>
      </c>
      <c r="N7" s="31" t="s">
        <v>8</v>
      </c>
      <c r="O7" s="30" t="s">
        <v>8</v>
      </c>
      <c r="P7" s="30" t="s">
        <v>8</v>
      </c>
      <c r="Q7" s="31" t="s">
        <v>8</v>
      </c>
      <c r="R7" s="30">
        <v>3</v>
      </c>
      <c r="S7" s="59" t="s">
        <v>8</v>
      </c>
      <c r="T7" s="59" t="s">
        <v>8</v>
      </c>
      <c r="U7" s="117" t="s">
        <v>8</v>
      </c>
      <c r="V7" s="59">
        <v>2</v>
      </c>
      <c r="W7" s="59">
        <v>2</v>
      </c>
      <c r="X7" s="117">
        <f>SUM(V7/W7)*100</f>
        <v>100</v>
      </c>
      <c r="Y7" s="24"/>
      <c r="Z7" s="24"/>
      <c r="AA7" s="25"/>
      <c r="AB7" s="260">
        <v>6</v>
      </c>
      <c r="AC7" s="59">
        <v>8</v>
      </c>
      <c r="AD7" s="117">
        <f>SUM(AB7/AC7)*100</f>
        <v>75</v>
      </c>
      <c r="AE7" s="260" t="s">
        <v>8</v>
      </c>
      <c r="AF7" s="59" t="s">
        <v>8</v>
      </c>
      <c r="AG7" s="117" t="s">
        <v>8</v>
      </c>
    </row>
    <row r="8" spans="1:33" ht="14.95" customHeight="1" thickBot="1" x14ac:dyDescent="0.3">
      <c r="A8" s="47" t="s">
        <v>309</v>
      </c>
      <c r="B8" s="274">
        <v>0</v>
      </c>
      <c r="C8" s="102">
        <v>0</v>
      </c>
      <c r="D8" s="257">
        <v>0</v>
      </c>
      <c r="E8" s="30">
        <f t="shared" si="0"/>
        <v>0</v>
      </c>
      <c r="F8" s="14" t="s">
        <v>309</v>
      </c>
      <c r="G8" s="276">
        <v>0</v>
      </c>
      <c r="H8" s="104">
        <v>0</v>
      </c>
      <c r="I8" s="19">
        <v>0</v>
      </c>
      <c r="J8" s="15">
        <f t="shared" si="1"/>
        <v>0</v>
      </c>
      <c r="K8" s="92" t="s">
        <v>277</v>
      </c>
      <c r="L8" s="30">
        <v>7</v>
      </c>
      <c r="M8" s="30">
        <v>11</v>
      </c>
      <c r="N8" s="31">
        <f>SUM(L8/M8)*100</f>
        <v>63.636363636363633</v>
      </c>
      <c r="O8" s="30">
        <v>6</v>
      </c>
      <c r="P8" s="30">
        <v>9</v>
      </c>
      <c r="Q8" s="31">
        <f>SUM(O8/P8)*100</f>
        <v>66.666666666666657</v>
      </c>
      <c r="R8" s="30">
        <v>1</v>
      </c>
      <c r="S8" s="59">
        <v>26</v>
      </c>
      <c r="T8" s="59">
        <v>40</v>
      </c>
      <c r="U8" s="117">
        <v>65</v>
      </c>
      <c r="V8" s="59">
        <v>17</v>
      </c>
      <c r="W8" s="59">
        <v>26</v>
      </c>
      <c r="X8" s="117">
        <f>SUM(V8/W8)*100</f>
        <v>65.384615384615387</v>
      </c>
      <c r="Y8" s="24"/>
      <c r="Z8" s="24"/>
      <c r="AA8" s="25"/>
      <c r="AB8" s="260">
        <v>16</v>
      </c>
      <c r="AC8" s="59">
        <v>24</v>
      </c>
      <c r="AD8" s="117">
        <f>SUM(AB8/AC8)*100</f>
        <v>66.666666666666657</v>
      </c>
      <c r="AE8" s="260">
        <v>6</v>
      </c>
      <c r="AF8" s="59">
        <v>11</v>
      </c>
      <c r="AG8" s="117">
        <f>SUM(AE8/AF8)*100</f>
        <v>54.54545454545454</v>
      </c>
    </row>
    <row r="9" spans="1:33" ht="14.95" customHeight="1" thickBot="1" x14ac:dyDescent="0.3">
      <c r="A9" s="47" t="s">
        <v>678</v>
      </c>
      <c r="B9" s="274">
        <v>0</v>
      </c>
      <c r="C9" s="102">
        <v>0</v>
      </c>
      <c r="D9" s="257">
        <v>0</v>
      </c>
      <c r="E9" s="30">
        <f t="shared" si="0"/>
        <v>0</v>
      </c>
      <c r="F9" s="14" t="s">
        <v>678</v>
      </c>
      <c r="G9" s="276">
        <v>0</v>
      </c>
      <c r="H9" s="104">
        <v>0</v>
      </c>
      <c r="I9" s="19">
        <v>0</v>
      </c>
      <c r="J9" s="15">
        <f t="shared" ref="J9" si="2">SUM(G9:I9)</f>
        <v>0</v>
      </c>
      <c r="K9" s="92" t="s">
        <v>213</v>
      </c>
      <c r="L9" s="30" t="s">
        <v>8</v>
      </c>
      <c r="M9" s="30" t="s">
        <v>8</v>
      </c>
      <c r="N9" s="31" t="s">
        <v>8</v>
      </c>
      <c r="O9" s="30" t="s">
        <v>8</v>
      </c>
      <c r="P9" s="30" t="s">
        <v>8</v>
      </c>
      <c r="Q9" s="31" t="s">
        <v>8</v>
      </c>
      <c r="R9" s="30">
        <v>-1</v>
      </c>
      <c r="S9" s="59" t="s">
        <v>8</v>
      </c>
      <c r="T9" s="59" t="s">
        <v>8</v>
      </c>
      <c r="U9" s="117" t="s">
        <v>8</v>
      </c>
      <c r="V9" s="59" t="s">
        <v>8</v>
      </c>
      <c r="W9" s="59" t="s">
        <v>8</v>
      </c>
      <c r="X9" s="117" t="s">
        <v>8</v>
      </c>
      <c r="Y9" s="24"/>
      <c r="Z9" s="24"/>
      <c r="AA9" s="25"/>
      <c r="AB9" s="260" t="s">
        <v>8</v>
      </c>
      <c r="AC9" s="59" t="s">
        <v>8</v>
      </c>
      <c r="AD9" s="117" t="s">
        <v>8</v>
      </c>
      <c r="AE9" s="260">
        <v>1</v>
      </c>
      <c r="AF9" s="59">
        <v>2</v>
      </c>
      <c r="AG9" s="117">
        <f>SUM(AE9/AF9)*100</f>
        <v>50</v>
      </c>
    </row>
    <row r="10" spans="1:33" ht="14.95" customHeight="1" thickBot="1" x14ac:dyDescent="0.3">
      <c r="A10" s="47" t="s">
        <v>195</v>
      </c>
      <c r="B10" s="274">
        <v>0</v>
      </c>
      <c r="C10" s="102">
        <v>0</v>
      </c>
      <c r="D10" s="257">
        <v>0</v>
      </c>
      <c r="E10" s="30">
        <f t="shared" si="0"/>
        <v>0</v>
      </c>
      <c r="F10" s="14" t="s">
        <v>195</v>
      </c>
      <c r="G10" s="276">
        <v>0</v>
      </c>
      <c r="H10" s="104">
        <v>0</v>
      </c>
      <c r="I10" s="19">
        <v>0</v>
      </c>
      <c r="J10" s="15">
        <f t="shared" si="1"/>
        <v>0</v>
      </c>
      <c r="S10" s="56"/>
      <c r="T10" s="56"/>
      <c r="U10" s="56"/>
      <c r="V10" s="56"/>
      <c r="W10" s="56"/>
    </row>
    <row r="11" spans="1:33" ht="14.95" customHeight="1" thickBot="1" x14ac:dyDescent="0.3">
      <c r="A11" s="47" t="s">
        <v>275</v>
      </c>
      <c r="B11" s="274">
        <v>0</v>
      </c>
      <c r="C11" s="102">
        <v>0</v>
      </c>
      <c r="D11" s="257">
        <v>0</v>
      </c>
      <c r="E11" s="30">
        <f t="shared" si="0"/>
        <v>0</v>
      </c>
      <c r="F11" s="14" t="s">
        <v>275</v>
      </c>
      <c r="G11" s="276">
        <v>0</v>
      </c>
      <c r="H11" s="104">
        <v>0</v>
      </c>
      <c r="I11" s="19">
        <v>0</v>
      </c>
      <c r="J11" s="15">
        <f t="shared" si="1"/>
        <v>0</v>
      </c>
      <c r="K11" s="563" t="s">
        <v>13</v>
      </c>
      <c r="L11" s="502">
        <v>2026</v>
      </c>
      <c r="M11" s="503"/>
      <c r="N11" s="504"/>
      <c r="O11" s="516">
        <v>2025</v>
      </c>
      <c r="P11" s="517"/>
      <c r="Q11" s="518"/>
      <c r="R11" s="516">
        <v>2024</v>
      </c>
      <c r="S11" s="517"/>
      <c r="T11" s="518"/>
      <c r="U11" s="516">
        <v>2023</v>
      </c>
      <c r="V11" s="517"/>
      <c r="W11" s="518"/>
      <c r="X11" s="56"/>
      <c r="Y11" s="56"/>
      <c r="Z11" s="56"/>
      <c r="AA11" s="56"/>
      <c r="AB11" s="516">
        <v>2022</v>
      </c>
      <c r="AC11" s="517"/>
      <c r="AD11" s="518"/>
    </row>
    <row r="12" spans="1:33" ht="14.95" customHeight="1" thickBot="1" x14ac:dyDescent="0.3">
      <c r="A12" s="47" t="s">
        <v>276</v>
      </c>
      <c r="B12" s="274">
        <v>0</v>
      </c>
      <c r="C12" s="102">
        <v>0</v>
      </c>
      <c r="D12" s="257">
        <v>0</v>
      </c>
      <c r="E12" s="30">
        <f t="shared" si="0"/>
        <v>0</v>
      </c>
      <c r="F12" s="14" t="s">
        <v>276</v>
      </c>
      <c r="G12" s="276">
        <v>0</v>
      </c>
      <c r="H12" s="104">
        <v>0</v>
      </c>
      <c r="I12" s="19">
        <v>0</v>
      </c>
      <c r="J12" s="15">
        <f>SUM(G12:I12)</f>
        <v>0</v>
      </c>
      <c r="K12" s="564"/>
      <c r="L12" s="505"/>
      <c r="M12" s="506"/>
      <c r="N12" s="507"/>
      <c r="O12" s="519"/>
      <c r="P12" s="520"/>
      <c r="Q12" s="521"/>
      <c r="R12" s="519"/>
      <c r="S12" s="520"/>
      <c r="T12" s="521"/>
      <c r="U12" s="519"/>
      <c r="V12" s="520"/>
      <c r="W12" s="521"/>
      <c r="X12" s="56"/>
      <c r="Y12" s="56"/>
      <c r="Z12" s="56"/>
      <c r="AA12" s="56"/>
      <c r="AB12" s="519"/>
      <c r="AC12" s="520"/>
      <c r="AD12" s="521"/>
    </row>
    <row r="13" spans="1:33" ht="14.95" customHeight="1" thickBot="1" x14ac:dyDescent="0.3">
      <c r="A13" s="47" t="s">
        <v>94</v>
      </c>
      <c r="B13" s="274">
        <v>0</v>
      </c>
      <c r="C13" s="102">
        <v>0</v>
      </c>
      <c r="D13" s="257">
        <v>0</v>
      </c>
      <c r="E13" s="30">
        <f t="shared" si="0"/>
        <v>0</v>
      </c>
      <c r="F13" s="14" t="s">
        <v>94</v>
      </c>
      <c r="G13" s="276">
        <v>0</v>
      </c>
      <c r="H13" s="104">
        <v>0</v>
      </c>
      <c r="I13" s="19">
        <v>0</v>
      </c>
      <c r="J13" s="15">
        <f t="shared" si="1"/>
        <v>0</v>
      </c>
      <c r="K13" s="277" t="s">
        <v>9</v>
      </c>
      <c r="L13" s="1" t="s">
        <v>17</v>
      </c>
      <c r="M13" s="1" t="s">
        <v>5</v>
      </c>
      <c r="N13" s="1" t="s">
        <v>6</v>
      </c>
      <c r="O13" s="59" t="s">
        <v>17</v>
      </c>
      <c r="P13" s="59" t="s">
        <v>5</v>
      </c>
      <c r="Q13" s="59" t="s">
        <v>6</v>
      </c>
      <c r="R13" s="59" t="s">
        <v>17</v>
      </c>
      <c r="S13" s="59" t="s">
        <v>5</v>
      </c>
      <c r="T13" s="59" t="s">
        <v>6</v>
      </c>
      <c r="U13" s="59" t="s">
        <v>17</v>
      </c>
      <c r="V13" s="59" t="s">
        <v>5</v>
      </c>
      <c r="W13" s="59" t="s">
        <v>6</v>
      </c>
      <c r="X13" s="56"/>
      <c r="Y13" s="56"/>
      <c r="Z13" s="56"/>
      <c r="AA13" s="56"/>
      <c r="AB13" s="260" t="s">
        <v>17</v>
      </c>
      <c r="AC13" s="59" t="s">
        <v>5</v>
      </c>
      <c r="AD13" s="59" t="s">
        <v>6</v>
      </c>
    </row>
    <row r="14" spans="1:33" ht="14.95" customHeight="1" thickBot="1" x14ac:dyDescent="0.3">
      <c r="A14" s="47" t="s">
        <v>114</v>
      </c>
      <c r="B14" s="274">
        <v>0</v>
      </c>
      <c r="C14" s="102">
        <v>0</v>
      </c>
      <c r="D14" s="257">
        <v>0</v>
      </c>
      <c r="E14" s="30">
        <f t="shared" si="0"/>
        <v>0</v>
      </c>
      <c r="F14" s="14" t="s">
        <v>114</v>
      </c>
      <c r="G14" s="276">
        <v>0</v>
      </c>
      <c r="H14" s="104">
        <v>0</v>
      </c>
      <c r="I14" s="19">
        <v>0</v>
      </c>
      <c r="J14" s="15">
        <f t="shared" si="1"/>
        <v>0</v>
      </c>
      <c r="K14" s="92" t="s">
        <v>110</v>
      </c>
      <c r="L14" s="30" t="s">
        <v>8</v>
      </c>
      <c r="M14" s="30" t="s">
        <v>8</v>
      </c>
      <c r="N14" s="31" t="s">
        <v>8</v>
      </c>
      <c r="O14" s="59">
        <v>2</v>
      </c>
      <c r="P14" s="59">
        <v>3</v>
      </c>
      <c r="Q14" s="117">
        <v>66.666666666666657</v>
      </c>
      <c r="R14" s="59" t="s">
        <v>8</v>
      </c>
      <c r="S14" s="59" t="s">
        <v>8</v>
      </c>
      <c r="T14" s="117" t="s">
        <v>8</v>
      </c>
      <c r="U14" s="59" t="s">
        <v>8</v>
      </c>
      <c r="V14" s="59" t="s">
        <v>8</v>
      </c>
      <c r="W14" s="117" t="s">
        <v>8</v>
      </c>
      <c r="X14" s="56"/>
      <c r="Y14" s="56"/>
      <c r="Z14" s="56"/>
      <c r="AA14" s="56"/>
      <c r="AB14" s="260">
        <v>1</v>
      </c>
      <c r="AC14" s="59">
        <v>2</v>
      </c>
      <c r="AD14" s="117">
        <f>SUM(AB14/AC14)*100</f>
        <v>50</v>
      </c>
    </row>
    <row r="15" spans="1:33" ht="14.95" customHeight="1" thickBot="1" x14ac:dyDescent="0.3">
      <c r="A15" s="47" t="s">
        <v>985</v>
      </c>
      <c r="B15" s="274">
        <v>0</v>
      </c>
      <c r="C15" s="102">
        <v>0</v>
      </c>
      <c r="D15" s="257">
        <v>0</v>
      </c>
      <c r="E15" s="30">
        <f t="shared" si="0"/>
        <v>0</v>
      </c>
      <c r="F15" s="14" t="s">
        <v>985</v>
      </c>
      <c r="G15" s="276">
        <v>0</v>
      </c>
      <c r="H15" s="104">
        <v>0</v>
      </c>
      <c r="I15" s="19">
        <v>0</v>
      </c>
      <c r="J15" s="15">
        <f t="shared" si="1"/>
        <v>0</v>
      </c>
      <c r="K15" s="92" t="s">
        <v>108</v>
      </c>
      <c r="L15" s="30" t="s">
        <v>8</v>
      </c>
      <c r="M15" s="30" t="s">
        <v>8</v>
      </c>
      <c r="N15" s="31" t="s">
        <v>8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 t="s">
        <v>8</v>
      </c>
      <c r="V15" s="59" t="s">
        <v>8</v>
      </c>
      <c r="W15" s="117" t="s">
        <v>8</v>
      </c>
      <c r="X15" s="56"/>
      <c r="Y15" s="56"/>
      <c r="Z15" s="56"/>
      <c r="AA15" s="56"/>
      <c r="AB15" s="260">
        <v>3</v>
      </c>
      <c r="AC15" s="59">
        <v>9</v>
      </c>
      <c r="AD15" s="117">
        <f>SUM(AB15/AC15)*100</f>
        <v>33.333333333333329</v>
      </c>
    </row>
    <row r="16" spans="1:33" ht="14.95" customHeight="1" thickBot="1" x14ac:dyDescent="0.3">
      <c r="A16" s="47" t="s">
        <v>99</v>
      </c>
      <c r="B16" s="274">
        <v>0</v>
      </c>
      <c r="C16" s="102">
        <v>0</v>
      </c>
      <c r="D16" s="257">
        <v>0</v>
      </c>
      <c r="E16" s="30">
        <f t="shared" si="0"/>
        <v>0</v>
      </c>
      <c r="F16" s="14" t="s">
        <v>99</v>
      </c>
      <c r="G16" s="276">
        <v>0</v>
      </c>
      <c r="H16" s="104">
        <v>0</v>
      </c>
      <c r="I16" s="19">
        <v>0</v>
      </c>
      <c r="J16" s="15">
        <f t="shared" si="1"/>
        <v>0</v>
      </c>
      <c r="K16" s="92" t="s">
        <v>570</v>
      </c>
      <c r="L16" s="30" t="s">
        <v>8</v>
      </c>
      <c r="M16" s="30" t="s">
        <v>8</v>
      </c>
      <c r="N16" s="31" t="s">
        <v>8</v>
      </c>
      <c r="O16" s="59" t="s">
        <v>8</v>
      </c>
      <c r="P16" s="59" t="s">
        <v>8</v>
      </c>
      <c r="Q16" s="117" t="s">
        <v>8</v>
      </c>
      <c r="R16" s="59">
        <v>1</v>
      </c>
      <c r="S16" s="59">
        <v>1</v>
      </c>
      <c r="T16" s="117">
        <f>SUM(R16/S16)*100</f>
        <v>100</v>
      </c>
      <c r="U16" s="59" t="s">
        <v>8</v>
      </c>
      <c r="V16" s="59" t="s">
        <v>8</v>
      </c>
      <c r="W16" s="117" t="s">
        <v>8</v>
      </c>
      <c r="X16" s="56"/>
      <c r="Y16" s="56"/>
      <c r="Z16" s="56"/>
      <c r="AA16" s="56"/>
      <c r="AB16" s="260" t="s">
        <v>8</v>
      </c>
      <c r="AC16" s="59" t="s">
        <v>8</v>
      </c>
      <c r="AD16" s="117" t="s">
        <v>8</v>
      </c>
    </row>
    <row r="17" spans="1:30" ht="14.95" customHeight="1" thickBot="1" x14ac:dyDescent="0.3">
      <c r="A17" s="47" t="s">
        <v>95</v>
      </c>
      <c r="B17" s="274">
        <v>0</v>
      </c>
      <c r="C17" s="102">
        <v>0</v>
      </c>
      <c r="D17" s="257">
        <v>0</v>
      </c>
      <c r="E17" s="30">
        <f t="shared" si="0"/>
        <v>0</v>
      </c>
      <c r="F17" s="14" t="s">
        <v>95</v>
      </c>
      <c r="G17" s="276">
        <v>0</v>
      </c>
      <c r="H17" s="104">
        <v>0</v>
      </c>
      <c r="I17" s="19">
        <v>0</v>
      </c>
      <c r="J17" s="15">
        <f t="shared" si="1"/>
        <v>0</v>
      </c>
      <c r="K17" s="92" t="s">
        <v>277</v>
      </c>
      <c r="L17" s="30">
        <v>7</v>
      </c>
      <c r="M17" s="30">
        <v>11</v>
      </c>
      <c r="N17" s="31">
        <f>SUM(L17/M17)*100</f>
        <v>63.636363636363633</v>
      </c>
      <c r="O17" s="59">
        <v>12</v>
      </c>
      <c r="P17" s="59">
        <v>18</v>
      </c>
      <c r="Q17" s="117">
        <v>66.666666666666657</v>
      </c>
      <c r="R17" s="59">
        <v>12</v>
      </c>
      <c r="S17" s="59">
        <v>14</v>
      </c>
      <c r="T17" s="117">
        <f>SUM(R17/S17)*100</f>
        <v>85.714285714285708</v>
      </c>
      <c r="U17" s="59">
        <v>3</v>
      </c>
      <c r="V17" s="59">
        <v>4</v>
      </c>
      <c r="W17" s="117">
        <f>SUM(U17/V17)*100</f>
        <v>75</v>
      </c>
      <c r="X17" s="56"/>
      <c r="Y17" s="56"/>
      <c r="Z17" s="56"/>
      <c r="AA17" s="56"/>
      <c r="AB17" s="260" t="s">
        <v>8</v>
      </c>
      <c r="AC17" s="59" t="s">
        <v>8</v>
      </c>
      <c r="AD17" s="117" t="s">
        <v>8</v>
      </c>
    </row>
    <row r="18" spans="1:30" ht="14.95" customHeight="1" thickBot="1" x14ac:dyDescent="0.3">
      <c r="A18" s="47" t="s">
        <v>111</v>
      </c>
      <c r="B18" s="274">
        <v>0</v>
      </c>
      <c r="C18" s="102">
        <v>0</v>
      </c>
      <c r="D18" s="257">
        <v>0</v>
      </c>
      <c r="E18" s="30">
        <f t="shared" si="0"/>
        <v>0</v>
      </c>
      <c r="F18" s="14" t="s">
        <v>111</v>
      </c>
      <c r="G18" s="276">
        <v>0</v>
      </c>
      <c r="H18" s="104">
        <v>0</v>
      </c>
      <c r="I18" s="19">
        <v>0</v>
      </c>
      <c r="J18" s="15">
        <f t="shared" si="1"/>
        <v>0</v>
      </c>
      <c r="K18" s="92" t="s">
        <v>213</v>
      </c>
      <c r="L18" s="30" t="s">
        <v>8</v>
      </c>
      <c r="M18" s="30" t="s">
        <v>8</v>
      </c>
      <c r="N18" s="31" t="s">
        <v>8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 t="s">
        <v>8</v>
      </c>
      <c r="V18" s="59" t="s">
        <v>8</v>
      </c>
      <c r="W18" s="117" t="s">
        <v>8</v>
      </c>
      <c r="X18" s="56"/>
      <c r="Y18" s="56"/>
      <c r="Z18" s="56"/>
      <c r="AA18" s="56"/>
      <c r="AB18" s="260">
        <v>1</v>
      </c>
      <c r="AC18" s="59">
        <v>2</v>
      </c>
      <c r="AD18" s="117">
        <f>SUM(AB18/AC18)*100</f>
        <v>50</v>
      </c>
    </row>
    <row r="19" spans="1:30" ht="14.95" customHeight="1" thickBot="1" x14ac:dyDescent="0.3">
      <c r="A19" s="47" t="s">
        <v>105</v>
      </c>
      <c r="B19" s="274">
        <v>1</v>
      </c>
      <c r="C19" s="102">
        <v>0</v>
      </c>
      <c r="D19" s="257">
        <v>0</v>
      </c>
      <c r="E19" s="30">
        <f t="shared" si="0"/>
        <v>1</v>
      </c>
      <c r="F19" s="14" t="s">
        <v>105</v>
      </c>
      <c r="G19" s="276">
        <v>5</v>
      </c>
      <c r="H19" s="104">
        <v>0</v>
      </c>
      <c r="I19" s="19">
        <v>0</v>
      </c>
      <c r="J19" s="15">
        <f t="shared" si="1"/>
        <v>5</v>
      </c>
      <c r="O19" s="56"/>
      <c r="P19" s="56"/>
      <c r="Q19" s="56"/>
      <c r="R19" s="56"/>
      <c r="S19" s="9"/>
      <c r="T19" s="9"/>
    </row>
    <row r="20" spans="1:30" ht="14.95" customHeight="1" thickBot="1" x14ac:dyDescent="0.3">
      <c r="A20" s="47" t="s">
        <v>97</v>
      </c>
      <c r="B20" s="274">
        <v>0</v>
      </c>
      <c r="C20" s="102">
        <v>0</v>
      </c>
      <c r="D20" s="257">
        <v>0</v>
      </c>
      <c r="E20" s="30">
        <f t="shared" si="0"/>
        <v>0</v>
      </c>
      <c r="F20" s="14" t="s">
        <v>97</v>
      </c>
      <c r="G20" s="276">
        <v>0</v>
      </c>
      <c r="H20" s="104">
        <v>0</v>
      </c>
      <c r="I20" s="19">
        <v>0</v>
      </c>
      <c r="J20" s="15">
        <f>SUM(G20:I20)</f>
        <v>0</v>
      </c>
      <c r="K20" s="528" t="s">
        <v>345</v>
      </c>
      <c r="L20" s="516">
        <v>2025</v>
      </c>
      <c r="M20" s="517"/>
      <c r="N20" s="518"/>
      <c r="O20" s="56"/>
      <c r="P20" s="56"/>
      <c r="Q20" s="56"/>
      <c r="R20" s="56"/>
      <c r="S20" s="9"/>
      <c r="T20" s="9"/>
    </row>
    <row r="21" spans="1:30" ht="14.95" customHeight="1" thickBot="1" x14ac:dyDescent="0.3">
      <c r="A21" s="47" t="s">
        <v>107</v>
      </c>
      <c r="B21" s="274">
        <v>0</v>
      </c>
      <c r="C21" s="102">
        <v>0</v>
      </c>
      <c r="D21" s="257">
        <v>0</v>
      </c>
      <c r="E21" s="30">
        <f t="shared" si="0"/>
        <v>0</v>
      </c>
      <c r="F21" s="14" t="s">
        <v>107</v>
      </c>
      <c r="G21" s="276">
        <v>0</v>
      </c>
      <c r="H21" s="104">
        <v>0</v>
      </c>
      <c r="I21" s="19">
        <v>0</v>
      </c>
      <c r="J21" s="15">
        <f t="shared" si="1"/>
        <v>0</v>
      </c>
      <c r="K21" s="529"/>
      <c r="L21" s="519"/>
      <c r="M21" s="520"/>
      <c r="N21" s="521"/>
      <c r="O21" s="56"/>
      <c r="P21" s="56"/>
      <c r="Q21" s="56"/>
      <c r="R21" s="56"/>
      <c r="S21" s="9"/>
      <c r="T21" s="9"/>
    </row>
    <row r="22" spans="1:30" ht="14.95" customHeight="1" thickBot="1" x14ac:dyDescent="0.3">
      <c r="A22" s="47" t="s">
        <v>117</v>
      </c>
      <c r="B22" s="274">
        <v>0</v>
      </c>
      <c r="C22" s="102">
        <v>0</v>
      </c>
      <c r="D22" s="257">
        <v>0</v>
      </c>
      <c r="E22" s="30">
        <f t="shared" si="0"/>
        <v>0</v>
      </c>
      <c r="F22" s="14" t="s">
        <v>117</v>
      </c>
      <c r="G22" s="276">
        <v>0</v>
      </c>
      <c r="H22" s="104">
        <v>0</v>
      </c>
      <c r="I22" s="19">
        <v>0</v>
      </c>
      <c r="J22" s="15">
        <f t="shared" si="1"/>
        <v>0</v>
      </c>
      <c r="K22" s="300"/>
      <c r="L22" s="59" t="s">
        <v>17</v>
      </c>
      <c r="M22" s="59" t="s">
        <v>5</v>
      </c>
      <c r="N22" s="59" t="s">
        <v>6</v>
      </c>
      <c r="O22" s="56"/>
      <c r="P22" s="56"/>
      <c r="Q22" s="56"/>
      <c r="R22" s="56"/>
      <c r="S22" s="9"/>
      <c r="T22" s="9"/>
    </row>
    <row r="23" spans="1:30" ht="14.95" thickBot="1" x14ac:dyDescent="0.3">
      <c r="A23" s="47" t="s">
        <v>98</v>
      </c>
      <c r="B23" s="274">
        <v>0</v>
      </c>
      <c r="C23" s="102">
        <v>0</v>
      </c>
      <c r="D23" s="257">
        <v>0</v>
      </c>
      <c r="E23" s="30">
        <f t="shared" si="0"/>
        <v>0</v>
      </c>
      <c r="F23" s="14" t="s">
        <v>98</v>
      </c>
      <c r="G23" s="276">
        <v>0</v>
      </c>
      <c r="H23" s="104">
        <v>0</v>
      </c>
      <c r="I23" s="19">
        <v>0</v>
      </c>
      <c r="J23" s="15">
        <f t="shared" si="1"/>
        <v>0</v>
      </c>
      <c r="K23" s="92" t="s">
        <v>110</v>
      </c>
      <c r="L23" s="59">
        <v>1</v>
      </c>
      <c r="M23" s="59">
        <v>1</v>
      </c>
      <c r="N23" s="117">
        <f>SUM(L23/M23)*100</f>
        <v>100</v>
      </c>
      <c r="O23" s="56"/>
      <c r="P23" s="56"/>
      <c r="Q23" s="56"/>
      <c r="R23" s="56"/>
      <c r="S23" s="9"/>
      <c r="T23" s="9"/>
    </row>
    <row r="24" spans="1:30" ht="14.95" thickBot="1" x14ac:dyDescent="0.3">
      <c r="A24" s="47" t="s">
        <v>605</v>
      </c>
      <c r="B24" s="274">
        <v>1</v>
      </c>
      <c r="C24" s="102">
        <v>0</v>
      </c>
      <c r="D24" s="257">
        <v>0</v>
      </c>
      <c r="E24" s="30">
        <f t="shared" si="0"/>
        <v>1</v>
      </c>
      <c r="F24" s="14" t="s">
        <v>605</v>
      </c>
      <c r="G24" s="276">
        <v>5</v>
      </c>
      <c r="H24" s="104">
        <v>0</v>
      </c>
      <c r="I24" s="19">
        <v>0</v>
      </c>
      <c r="J24" s="15">
        <f t="shared" si="1"/>
        <v>5</v>
      </c>
      <c r="K24" s="92" t="s">
        <v>277</v>
      </c>
      <c r="L24" s="59">
        <v>10</v>
      </c>
      <c r="M24" s="59">
        <v>15</v>
      </c>
      <c r="N24" s="117">
        <f>SUM(L24/M24)*100</f>
        <v>66.666666666666657</v>
      </c>
      <c r="O24" s="56"/>
      <c r="P24" s="56"/>
      <c r="Q24" s="56"/>
      <c r="R24" s="56"/>
      <c r="S24" s="9"/>
      <c r="T24" s="9"/>
    </row>
    <row r="25" spans="1:30" ht="14.95" thickBot="1" x14ac:dyDescent="0.3">
      <c r="A25" s="47" t="s">
        <v>761</v>
      </c>
      <c r="B25" s="274">
        <v>1</v>
      </c>
      <c r="C25" s="102">
        <v>0</v>
      </c>
      <c r="D25" s="257">
        <v>0</v>
      </c>
      <c r="E25" s="30">
        <f t="shared" si="0"/>
        <v>1</v>
      </c>
      <c r="F25" s="14" t="s">
        <v>761</v>
      </c>
      <c r="G25" s="276">
        <v>5</v>
      </c>
      <c r="H25" s="104">
        <v>0</v>
      </c>
      <c r="I25" s="19">
        <v>0</v>
      </c>
      <c r="J25" s="15">
        <f t="shared" si="1"/>
        <v>5</v>
      </c>
      <c r="O25" s="56"/>
      <c r="P25" s="56"/>
      <c r="Q25" s="56"/>
      <c r="R25" s="56"/>
      <c r="S25" s="9"/>
      <c r="T25" s="9"/>
    </row>
    <row r="26" spans="1:30" ht="14.95" thickBot="1" x14ac:dyDescent="0.3">
      <c r="A26" s="47" t="s">
        <v>101</v>
      </c>
      <c r="B26" s="274">
        <v>1</v>
      </c>
      <c r="C26" s="102">
        <v>0</v>
      </c>
      <c r="D26" s="257">
        <v>0</v>
      </c>
      <c r="E26" s="30">
        <f t="shared" si="0"/>
        <v>1</v>
      </c>
      <c r="F26" s="14" t="s">
        <v>101</v>
      </c>
      <c r="G26" s="276">
        <v>5</v>
      </c>
      <c r="H26" s="104">
        <v>0</v>
      </c>
      <c r="I26" s="19">
        <v>0</v>
      </c>
      <c r="J26" s="15">
        <f t="shared" si="1"/>
        <v>5</v>
      </c>
      <c r="K26" s="581" t="s">
        <v>500</v>
      </c>
      <c r="L26" s="530">
        <v>2026</v>
      </c>
      <c r="M26" s="531"/>
      <c r="N26" s="532"/>
      <c r="O26" s="510">
        <v>2024</v>
      </c>
      <c r="P26" s="511"/>
      <c r="Q26" s="512"/>
      <c r="R26" s="510">
        <v>2023</v>
      </c>
      <c r="S26" s="511"/>
      <c r="T26" s="512"/>
    </row>
    <row r="27" spans="1:30" ht="14.95" thickBot="1" x14ac:dyDescent="0.3">
      <c r="A27" s="47" t="s">
        <v>876</v>
      </c>
      <c r="B27" s="274">
        <v>0</v>
      </c>
      <c r="C27" s="102">
        <v>0</v>
      </c>
      <c r="D27" s="257">
        <v>0</v>
      </c>
      <c r="E27" s="30">
        <f t="shared" si="0"/>
        <v>0</v>
      </c>
      <c r="F27" s="14" t="s">
        <v>876</v>
      </c>
      <c r="G27" s="276">
        <v>0</v>
      </c>
      <c r="H27" s="104">
        <v>0</v>
      </c>
      <c r="I27" s="19">
        <v>0</v>
      </c>
      <c r="J27" s="15">
        <f t="shared" si="1"/>
        <v>0</v>
      </c>
      <c r="K27" s="582"/>
      <c r="L27" s="533"/>
      <c r="M27" s="534"/>
      <c r="N27" s="535"/>
      <c r="O27" s="513"/>
      <c r="P27" s="514"/>
      <c r="Q27" s="515"/>
      <c r="R27" s="513"/>
      <c r="S27" s="514"/>
      <c r="T27" s="515"/>
    </row>
    <row r="28" spans="1:30" ht="14.95" customHeight="1" thickBot="1" x14ac:dyDescent="0.3">
      <c r="A28" s="47" t="s">
        <v>875</v>
      </c>
      <c r="B28" s="274">
        <v>0</v>
      </c>
      <c r="C28" s="102">
        <v>0</v>
      </c>
      <c r="D28" s="257">
        <v>0</v>
      </c>
      <c r="E28" s="30">
        <f t="shared" si="0"/>
        <v>0</v>
      </c>
      <c r="F28" s="14" t="s">
        <v>875</v>
      </c>
      <c r="G28" s="276">
        <v>0</v>
      </c>
      <c r="H28" s="104">
        <v>0</v>
      </c>
      <c r="I28" s="19">
        <v>0</v>
      </c>
      <c r="J28" s="15">
        <f t="shared" si="1"/>
        <v>0</v>
      </c>
      <c r="K28" s="221" t="s">
        <v>9</v>
      </c>
      <c r="L28" s="29" t="s">
        <v>17</v>
      </c>
      <c r="M28" s="29" t="s">
        <v>5</v>
      </c>
      <c r="N28" s="29" t="s">
        <v>6</v>
      </c>
      <c r="O28" s="217" t="s">
        <v>17</v>
      </c>
      <c r="P28" s="217" t="s">
        <v>5</v>
      </c>
      <c r="Q28" s="217" t="s">
        <v>6</v>
      </c>
      <c r="R28" s="217" t="s">
        <v>17</v>
      </c>
      <c r="S28" s="217" t="s">
        <v>5</v>
      </c>
      <c r="T28" s="217" t="s">
        <v>6</v>
      </c>
    </row>
    <row r="29" spans="1:30" ht="14.95" customHeight="1" thickBot="1" x14ac:dyDescent="0.3">
      <c r="A29" s="47" t="s">
        <v>856</v>
      </c>
      <c r="B29" s="274">
        <v>1</v>
      </c>
      <c r="C29" s="102">
        <v>0</v>
      </c>
      <c r="D29" s="257">
        <v>0</v>
      </c>
      <c r="E29" s="30">
        <f t="shared" si="0"/>
        <v>1</v>
      </c>
      <c r="F29" s="14" t="s">
        <v>856</v>
      </c>
      <c r="G29" s="276">
        <v>5</v>
      </c>
      <c r="H29" s="104">
        <v>0</v>
      </c>
      <c r="I29" s="19">
        <v>0</v>
      </c>
      <c r="J29" s="15">
        <f t="shared" si="1"/>
        <v>5</v>
      </c>
      <c r="K29" s="92" t="s">
        <v>276</v>
      </c>
      <c r="L29" s="30" t="s">
        <v>8</v>
      </c>
      <c r="M29" s="30" t="s">
        <v>8</v>
      </c>
      <c r="N29" s="31" t="s">
        <v>8</v>
      </c>
      <c r="O29" s="59" t="s">
        <v>8</v>
      </c>
      <c r="P29" s="59" t="s">
        <v>8</v>
      </c>
      <c r="Q29" s="117" t="s">
        <v>8</v>
      </c>
      <c r="R29" s="59">
        <v>2</v>
      </c>
      <c r="S29" s="59">
        <v>2</v>
      </c>
      <c r="T29" s="117">
        <f>SUM(R29/S29)*100</f>
        <v>100</v>
      </c>
    </row>
    <row r="30" spans="1:30" ht="14.95" thickBot="1" x14ac:dyDescent="0.3">
      <c r="A30" s="47" t="s">
        <v>100</v>
      </c>
      <c r="B30" s="274">
        <v>0</v>
      </c>
      <c r="C30" s="102">
        <v>0</v>
      </c>
      <c r="D30" s="257">
        <v>0</v>
      </c>
      <c r="E30" s="30">
        <f t="shared" si="0"/>
        <v>0</v>
      </c>
      <c r="F30" s="14" t="s">
        <v>100</v>
      </c>
      <c r="G30" s="276">
        <v>0</v>
      </c>
      <c r="H30" s="104">
        <v>0</v>
      </c>
      <c r="I30" s="19">
        <v>0</v>
      </c>
      <c r="J30" s="15">
        <f t="shared" si="1"/>
        <v>0</v>
      </c>
      <c r="K30" s="92" t="s">
        <v>570</v>
      </c>
      <c r="L30" s="30" t="s">
        <v>8</v>
      </c>
      <c r="M30" s="30" t="s">
        <v>8</v>
      </c>
      <c r="N30" s="31" t="s">
        <v>8</v>
      </c>
      <c r="O30" s="59">
        <v>1</v>
      </c>
      <c r="P30" s="59">
        <v>1</v>
      </c>
      <c r="Q30" s="117">
        <f>SUM(O30/P30)*100</f>
        <v>100</v>
      </c>
      <c r="R30" s="59">
        <v>6</v>
      </c>
      <c r="S30" s="59">
        <v>8</v>
      </c>
      <c r="T30" s="117">
        <f>SUM(R30/S30)*100</f>
        <v>75</v>
      </c>
    </row>
    <row r="31" spans="1:30" ht="14.95" thickBot="1" x14ac:dyDescent="0.3">
      <c r="A31" s="47" t="s">
        <v>102</v>
      </c>
      <c r="B31" s="274">
        <v>0</v>
      </c>
      <c r="C31" s="102">
        <v>0</v>
      </c>
      <c r="D31" s="257">
        <v>0</v>
      </c>
      <c r="E31" s="30">
        <f t="shared" si="0"/>
        <v>0</v>
      </c>
      <c r="F31" s="14" t="s">
        <v>102</v>
      </c>
      <c r="G31" s="276">
        <v>0</v>
      </c>
      <c r="H31" s="104">
        <v>0</v>
      </c>
      <c r="I31" s="19">
        <v>0</v>
      </c>
      <c r="J31" s="15">
        <f t="shared" si="1"/>
        <v>0</v>
      </c>
      <c r="K31" s="92" t="s">
        <v>277</v>
      </c>
      <c r="L31" s="30" t="s">
        <v>8</v>
      </c>
      <c r="M31" s="30" t="s">
        <v>8</v>
      </c>
      <c r="N31" s="31" t="s">
        <v>8</v>
      </c>
      <c r="O31" s="59">
        <v>4</v>
      </c>
      <c r="P31" s="59">
        <v>9</v>
      </c>
      <c r="Q31" s="117">
        <f t="shared" ref="Q31" si="3">SUM(O31/P31)*100</f>
        <v>44.444444444444443</v>
      </c>
      <c r="R31" s="59">
        <v>13</v>
      </c>
      <c r="S31" s="59">
        <v>20</v>
      </c>
      <c r="T31" s="117">
        <f>SUM(R31/S31)*100</f>
        <v>65</v>
      </c>
    </row>
    <row r="32" spans="1:30" ht="14.95" thickBot="1" x14ac:dyDescent="0.3">
      <c r="A32" s="47" t="s">
        <v>112</v>
      </c>
      <c r="B32" s="274">
        <v>0</v>
      </c>
      <c r="C32" s="102">
        <v>0</v>
      </c>
      <c r="D32" s="257">
        <v>0</v>
      </c>
      <c r="E32" s="30">
        <f t="shared" si="0"/>
        <v>0</v>
      </c>
      <c r="F32" s="14" t="s">
        <v>112</v>
      </c>
      <c r="G32" s="276">
        <v>0</v>
      </c>
      <c r="H32" s="104">
        <v>0</v>
      </c>
      <c r="I32" s="19">
        <v>0</v>
      </c>
      <c r="J32" s="15">
        <f t="shared" si="1"/>
        <v>0</v>
      </c>
      <c r="S32" s="56"/>
      <c r="T32" s="56"/>
    </row>
    <row r="33" spans="1:20" ht="14.95" thickBot="1" x14ac:dyDescent="0.3">
      <c r="A33" s="47" t="s">
        <v>877</v>
      </c>
      <c r="B33" s="274">
        <v>0</v>
      </c>
      <c r="C33" s="102">
        <v>0</v>
      </c>
      <c r="D33" s="257">
        <v>0</v>
      </c>
      <c r="E33" s="30">
        <f t="shared" si="0"/>
        <v>0</v>
      </c>
      <c r="F33" s="14" t="s">
        <v>877</v>
      </c>
      <c r="G33" s="276">
        <v>0</v>
      </c>
      <c r="H33" s="104">
        <v>0</v>
      </c>
      <c r="I33" s="19">
        <v>0</v>
      </c>
      <c r="J33" s="15">
        <f t="shared" si="1"/>
        <v>0</v>
      </c>
      <c r="S33" s="56"/>
      <c r="T33" s="56"/>
    </row>
    <row r="34" spans="1:20" ht="14.95" thickBot="1" x14ac:dyDescent="0.3">
      <c r="A34" s="47" t="s">
        <v>277</v>
      </c>
      <c r="B34" s="274">
        <v>0</v>
      </c>
      <c r="C34" s="102">
        <v>0</v>
      </c>
      <c r="D34" s="257">
        <v>0</v>
      </c>
      <c r="E34" s="30">
        <f t="shared" si="0"/>
        <v>0</v>
      </c>
      <c r="F34" s="14" t="s">
        <v>277</v>
      </c>
      <c r="G34" s="276">
        <v>14</v>
      </c>
      <c r="H34" s="104">
        <v>0</v>
      </c>
      <c r="I34" s="19">
        <v>0</v>
      </c>
      <c r="J34" s="15">
        <f t="shared" si="1"/>
        <v>14</v>
      </c>
    </row>
    <row r="35" spans="1:20" ht="14.95" thickBot="1" x14ac:dyDescent="0.3">
      <c r="A35" s="47" t="s">
        <v>1040</v>
      </c>
      <c r="B35" s="274">
        <v>1</v>
      </c>
      <c r="C35" s="102">
        <v>0</v>
      </c>
      <c r="D35" s="257">
        <v>0</v>
      </c>
      <c r="E35" s="30">
        <f t="shared" si="0"/>
        <v>1</v>
      </c>
      <c r="F35" s="14" t="s">
        <v>1040</v>
      </c>
      <c r="G35" s="276">
        <v>5</v>
      </c>
      <c r="H35" s="104">
        <v>0</v>
      </c>
      <c r="I35" s="19">
        <v>0</v>
      </c>
      <c r="J35" s="15">
        <f t="shared" si="1"/>
        <v>5</v>
      </c>
      <c r="O35" s="21"/>
      <c r="P35" s="21"/>
      <c r="Q35" s="21"/>
    </row>
    <row r="36" spans="1:20" ht="14.95" thickBot="1" x14ac:dyDescent="0.3">
      <c r="A36" s="47" t="s">
        <v>106</v>
      </c>
      <c r="B36" s="274">
        <v>0</v>
      </c>
      <c r="C36" s="102">
        <v>0</v>
      </c>
      <c r="D36" s="257">
        <v>0</v>
      </c>
      <c r="E36" s="30">
        <f t="shared" si="0"/>
        <v>0</v>
      </c>
      <c r="F36" s="14" t="s">
        <v>106</v>
      </c>
      <c r="G36" s="276">
        <v>0</v>
      </c>
      <c r="H36" s="104">
        <v>0</v>
      </c>
      <c r="I36" s="19">
        <v>0</v>
      </c>
      <c r="J36" s="15">
        <f t="shared" si="1"/>
        <v>0</v>
      </c>
      <c r="O36" s="21"/>
      <c r="P36" s="21"/>
      <c r="Q36" s="12"/>
    </row>
    <row r="37" spans="1:20" ht="14.95" thickBot="1" x14ac:dyDescent="0.3">
      <c r="A37" s="47" t="s">
        <v>92</v>
      </c>
      <c r="B37" s="274">
        <v>0</v>
      </c>
      <c r="C37" s="102">
        <v>0</v>
      </c>
      <c r="D37" s="257">
        <v>0</v>
      </c>
      <c r="E37" s="30">
        <f t="shared" si="0"/>
        <v>0</v>
      </c>
      <c r="F37" s="14" t="s">
        <v>92</v>
      </c>
      <c r="G37" s="276">
        <v>0</v>
      </c>
      <c r="H37" s="104">
        <v>0</v>
      </c>
      <c r="I37" s="19">
        <v>0</v>
      </c>
      <c r="J37" s="15">
        <f t="shared" si="1"/>
        <v>0</v>
      </c>
      <c r="O37" s="21"/>
      <c r="P37" s="21"/>
      <c r="Q37" s="12"/>
    </row>
    <row r="38" spans="1:20" ht="14.95" thickBot="1" x14ac:dyDescent="0.3">
      <c r="A38" s="47" t="s">
        <v>113</v>
      </c>
      <c r="B38" s="274">
        <v>3</v>
      </c>
      <c r="C38" s="102">
        <v>0</v>
      </c>
      <c r="D38" s="257">
        <v>0</v>
      </c>
      <c r="E38" s="30">
        <f t="shared" si="0"/>
        <v>3</v>
      </c>
      <c r="F38" s="14" t="s">
        <v>113</v>
      </c>
      <c r="G38" s="276">
        <v>15</v>
      </c>
      <c r="H38" s="104">
        <v>0</v>
      </c>
      <c r="I38" s="19">
        <v>0</v>
      </c>
      <c r="J38" s="15">
        <f t="shared" si="1"/>
        <v>15</v>
      </c>
      <c r="O38" s="21"/>
      <c r="P38" s="21"/>
      <c r="Q38" s="21"/>
    </row>
    <row r="39" spans="1:20" ht="14.95" thickBot="1" x14ac:dyDescent="0.3">
      <c r="A39" s="47" t="s">
        <v>93</v>
      </c>
      <c r="B39" s="274">
        <v>0</v>
      </c>
      <c r="C39" s="102">
        <v>0</v>
      </c>
      <c r="D39" s="257">
        <v>0</v>
      </c>
      <c r="E39" s="30">
        <f t="shared" si="0"/>
        <v>0</v>
      </c>
      <c r="F39" s="14" t="s">
        <v>93</v>
      </c>
      <c r="G39" s="276">
        <v>0</v>
      </c>
      <c r="H39" s="104">
        <v>0</v>
      </c>
      <c r="I39" s="19">
        <v>0</v>
      </c>
      <c r="J39" s="15">
        <f t="shared" si="1"/>
        <v>0</v>
      </c>
      <c r="O39" s="21"/>
      <c r="P39" s="21"/>
      <c r="Q39" s="21"/>
    </row>
    <row r="40" spans="1:20" ht="14.95" thickBot="1" x14ac:dyDescent="0.3">
      <c r="A40" s="47" t="s">
        <v>208</v>
      </c>
      <c r="B40" s="274">
        <v>0</v>
      </c>
      <c r="C40" s="102">
        <v>0</v>
      </c>
      <c r="D40" s="257">
        <v>0</v>
      </c>
      <c r="E40" s="30">
        <f t="shared" si="0"/>
        <v>0</v>
      </c>
      <c r="F40" s="14" t="s">
        <v>208</v>
      </c>
      <c r="G40" s="276">
        <v>0</v>
      </c>
      <c r="H40" s="104">
        <v>0</v>
      </c>
      <c r="I40" s="19">
        <v>0</v>
      </c>
      <c r="J40" s="15">
        <f t="shared" si="1"/>
        <v>0</v>
      </c>
      <c r="O40" s="21"/>
      <c r="P40" s="21"/>
      <c r="Q40" s="21"/>
    </row>
    <row r="41" spans="1:20" ht="14.95" thickBot="1" x14ac:dyDescent="0.3">
      <c r="A41" s="47" t="s">
        <v>225</v>
      </c>
      <c r="B41" s="274">
        <v>1</v>
      </c>
      <c r="C41" s="102">
        <v>0</v>
      </c>
      <c r="D41" s="257">
        <v>0</v>
      </c>
      <c r="E41" s="30">
        <f t="shared" si="0"/>
        <v>1</v>
      </c>
      <c r="F41" s="14" t="s">
        <v>225</v>
      </c>
      <c r="G41" s="276">
        <v>5</v>
      </c>
      <c r="H41" s="104">
        <v>0</v>
      </c>
      <c r="I41" s="19">
        <v>0</v>
      </c>
      <c r="J41" s="15">
        <f t="shared" si="1"/>
        <v>5</v>
      </c>
    </row>
    <row r="42" spans="1:20" ht="14.95" customHeight="1" thickBot="1" x14ac:dyDescent="0.3">
      <c r="A42" s="47" t="s">
        <v>116</v>
      </c>
      <c r="B42" s="274">
        <v>0</v>
      </c>
      <c r="C42" s="102">
        <v>0</v>
      </c>
      <c r="D42" s="257">
        <v>0</v>
      </c>
      <c r="E42" s="30">
        <f t="shared" si="0"/>
        <v>0</v>
      </c>
      <c r="F42" s="14" t="s">
        <v>116</v>
      </c>
      <c r="G42" s="276">
        <v>0</v>
      </c>
      <c r="H42" s="104">
        <v>0</v>
      </c>
      <c r="I42" s="19">
        <v>0</v>
      </c>
      <c r="J42" s="15">
        <f t="shared" si="1"/>
        <v>0</v>
      </c>
    </row>
    <row r="43" spans="1:20" ht="14.95" thickBot="1" x14ac:dyDescent="0.3">
      <c r="A43" s="47" t="s">
        <v>915</v>
      </c>
      <c r="B43" s="274">
        <v>0</v>
      </c>
      <c r="C43" s="102">
        <v>0</v>
      </c>
      <c r="D43" s="257">
        <v>0</v>
      </c>
      <c r="E43" s="30">
        <f t="shared" si="0"/>
        <v>0</v>
      </c>
      <c r="F43" s="14" t="s">
        <v>915</v>
      </c>
      <c r="G43" s="276">
        <v>0</v>
      </c>
      <c r="H43" s="104">
        <v>0</v>
      </c>
      <c r="I43" s="19">
        <v>0</v>
      </c>
      <c r="J43" s="15">
        <f t="shared" si="1"/>
        <v>0</v>
      </c>
    </row>
    <row r="44" spans="1:20" ht="14.95" thickBot="1" x14ac:dyDescent="0.3">
      <c r="A44" s="47" t="s">
        <v>104</v>
      </c>
      <c r="B44" s="274">
        <v>1</v>
      </c>
      <c r="C44" s="102">
        <v>0</v>
      </c>
      <c r="D44" s="257">
        <v>0</v>
      </c>
      <c r="E44" s="30">
        <f t="shared" si="0"/>
        <v>1</v>
      </c>
      <c r="F44" s="14" t="s">
        <v>104</v>
      </c>
      <c r="G44" s="276">
        <v>5</v>
      </c>
      <c r="H44" s="104">
        <v>0</v>
      </c>
      <c r="I44" s="19">
        <v>0</v>
      </c>
      <c r="J44" s="15">
        <f t="shared" si="1"/>
        <v>5</v>
      </c>
    </row>
    <row r="45" spans="1:20" ht="14.95" thickBot="1" x14ac:dyDescent="0.3">
      <c r="A45" s="47" t="s">
        <v>103</v>
      </c>
      <c r="B45" s="274">
        <v>0</v>
      </c>
      <c r="C45" s="102">
        <v>0</v>
      </c>
      <c r="D45" s="257">
        <v>0</v>
      </c>
      <c r="E45" s="30">
        <f t="shared" si="0"/>
        <v>0</v>
      </c>
      <c r="F45" s="14" t="s">
        <v>103</v>
      </c>
      <c r="G45" s="276">
        <v>0</v>
      </c>
      <c r="H45" s="104">
        <v>0</v>
      </c>
      <c r="I45" s="19">
        <v>0</v>
      </c>
      <c r="J45" s="15">
        <f t="shared" si="1"/>
        <v>0</v>
      </c>
    </row>
    <row r="46" spans="1:20" ht="14.95" thickBot="1" x14ac:dyDescent="0.3">
      <c r="A46" s="47" t="s">
        <v>3</v>
      </c>
      <c r="B46" s="274">
        <f>SUM(B3:B45)</f>
        <v>11</v>
      </c>
      <c r="C46" s="102">
        <f>SUM(C3:C45)</f>
        <v>0</v>
      </c>
      <c r="D46" s="257">
        <f>SUM(D3:D45)</f>
        <v>0</v>
      </c>
      <c r="E46" s="30">
        <f>SUM(E3:E45)</f>
        <v>11</v>
      </c>
      <c r="F46" s="13" t="s">
        <v>3</v>
      </c>
      <c r="G46" s="276">
        <f>SUM(G3:G45)</f>
        <v>69</v>
      </c>
      <c r="H46" s="104">
        <f>SUM(H3:H45)</f>
        <v>0</v>
      </c>
      <c r="I46" s="19">
        <f>SUM(I3:I45)</f>
        <v>0</v>
      </c>
      <c r="J46" s="15">
        <f>SUM(J3:J45)</f>
        <v>69</v>
      </c>
    </row>
    <row r="47" spans="1:20" x14ac:dyDescent="0.25">
      <c r="A47" s="2"/>
      <c r="B47" s="2"/>
      <c r="C47" s="2"/>
      <c r="D47" s="2"/>
      <c r="E47" s="2"/>
      <c r="F47" s="7"/>
      <c r="G47" s="7"/>
      <c r="H47" s="7"/>
      <c r="I47" s="7"/>
      <c r="J47" s="7"/>
    </row>
    <row r="48" spans="1:20" ht="14.95" thickBot="1" x14ac:dyDescent="0.3">
      <c r="A48" t="s">
        <v>7</v>
      </c>
      <c r="F48" s="6"/>
      <c r="G48" s="6"/>
      <c r="H48" s="6"/>
      <c r="I48" s="6"/>
      <c r="J48" s="6"/>
    </row>
    <row r="49" spans="1:10" ht="14.95" customHeight="1" thickBot="1" x14ac:dyDescent="0.3">
      <c r="A49" s="79" t="s">
        <v>0</v>
      </c>
      <c r="B49" s="273" t="s">
        <v>14</v>
      </c>
      <c r="C49" s="101" t="s">
        <v>500</v>
      </c>
      <c r="D49" s="256" t="s">
        <v>11</v>
      </c>
      <c r="E49" s="80" t="s">
        <v>1</v>
      </c>
      <c r="F49" s="69" t="s">
        <v>2</v>
      </c>
      <c r="G49" s="275" t="s">
        <v>14</v>
      </c>
      <c r="H49" s="103" t="s">
        <v>500</v>
      </c>
      <c r="I49" s="46" t="s">
        <v>11</v>
      </c>
      <c r="J49" s="70" t="s">
        <v>1</v>
      </c>
    </row>
    <row r="50" spans="1:10" ht="14.95" thickBot="1" x14ac:dyDescent="0.3">
      <c r="A50" s="47" t="s">
        <v>113</v>
      </c>
      <c r="B50" s="274">
        <v>3</v>
      </c>
      <c r="C50" s="102">
        <v>0</v>
      </c>
      <c r="D50" s="257">
        <v>0</v>
      </c>
      <c r="E50" s="30">
        <f t="shared" ref="E50:E92" si="4">SUM(B50:D50)</f>
        <v>3</v>
      </c>
      <c r="F50" s="13" t="s">
        <v>113</v>
      </c>
      <c r="G50" s="276">
        <v>15</v>
      </c>
      <c r="H50" s="104">
        <v>0</v>
      </c>
      <c r="I50" s="19">
        <v>0</v>
      </c>
      <c r="J50" s="15">
        <f t="shared" ref="J50:J92" si="5">SUM(G50:I50)</f>
        <v>15</v>
      </c>
    </row>
    <row r="51" spans="1:10" ht="14.95" thickBot="1" x14ac:dyDescent="0.3">
      <c r="A51" s="47" t="s">
        <v>105</v>
      </c>
      <c r="B51" s="274">
        <v>1</v>
      </c>
      <c r="C51" s="102">
        <v>0</v>
      </c>
      <c r="D51" s="257">
        <v>0</v>
      </c>
      <c r="E51" s="30">
        <f t="shared" si="4"/>
        <v>1</v>
      </c>
      <c r="F51" s="13" t="s">
        <v>277</v>
      </c>
      <c r="G51" s="276">
        <v>14</v>
      </c>
      <c r="H51" s="104">
        <v>0</v>
      </c>
      <c r="I51" s="19">
        <v>0</v>
      </c>
      <c r="J51" s="15">
        <f t="shared" si="5"/>
        <v>14</v>
      </c>
    </row>
    <row r="52" spans="1:10" ht="14.95" thickBot="1" x14ac:dyDescent="0.3">
      <c r="A52" s="47" t="s">
        <v>605</v>
      </c>
      <c r="B52" s="274">
        <v>1</v>
      </c>
      <c r="C52" s="102">
        <v>0</v>
      </c>
      <c r="D52" s="257">
        <v>0</v>
      </c>
      <c r="E52" s="30">
        <f t="shared" si="4"/>
        <v>1</v>
      </c>
      <c r="F52" s="13" t="s">
        <v>105</v>
      </c>
      <c r="G52" s="276">
        <v>5</v>
      </c>
      <c r="H52" s="104">
        <v>0</v>
      </c>
      <c r="I52" s="19">
        <v>0</v>
      </c>
      <c r="J52" s="15">
        <f t="shared" si="5"/>
        <v>5</v>
      </c>
    </row>
    <row r="53" spans="1:10" ht="14.95" thickBot="1" x14ac:dyDescent="0.3">
      <c r="A53" s="47" t="s">
        <v>761</v>
      </c>
      <c r="B53" s="274">
        <v>1</v>
      </c>
      <c r="C53" s="102">
        <v>0</v>
      </c>
      <c r="D53" s="257">
        <v>0</v>
      </c>
      <c r="E53" s="30">
        <f t="shared" si="4"/>
        <v>1</v>
      </c>
      <c r="F53" s="13" t="s">
        <v>605</v>
      </c>
      <c r="G53" s="276">
        <v>5</v>
      </c>
      <c r="H53" s="104">
        <v>0</v>
      </c>
      <c r="I53" s="19">
        <v>0</v>
      </c>
      <c r="J53" s="15">
        <f t="shared" si="5"/>
        <v>5</v>
      </c>
    </row>
    <row r="54" spans="1:10" ht="14.95" thickBot="1" x14ac:dyDescent="0.3">
      <c r="A54" s="47" t="s">
        <v>101</v>
      </c>
      <c r="B54" s="274">
        <v>1</v>
      </c>
      <c r="C54" s="102">
        <v>0</v>
      </c>
      <c r="D54" s="257">
        <v>0</v>
      </c>
      <c r="E54" s="30">
        <f t="shared" si="4"/>
        <v>1</v>
      </c>
      <c r="F54" s="13" t="s">
        <v>761</v>
      </c>
      <c r="G54" s="276">
        <v>5</v>
      </c>
      <c r="H54" s="104">
        <v>0</v>
      </c>
      <c r="I54" s="19">
        <v>0</v>
      </c>
      <c r="J54" s="15">
        <f t="shared" si="5"/>
        <v>5</v>
      </c>
    </row>
    <row r="55" spans="1:10" ht="14.95" thickBot="1" x14ac:dyDescent="0.3">
      <c r="A55" s="47" t="s">
        <v>856</v>
      </c>
      <c r="B55" s="274">
        <v>1</v>
      </c>
      <c r="C55" s="102">
        <v>0</v>
      </c>
      <c r="D55" s="257">
        <v>0</v>
      </c>
      <c r="E55" s="30">
        <f t="shared" si="4"/>
        <v>1</v>
      </c>
      <c r="F55" s="14" t="s">
        <v>101</v>
      </c>
      <c r="G55" s="276">
        <v>5</v>
      </c>
      <c r="H55" s="104">
        <v>0</v>
      </c>
      <c r="I55" s="19">
        <v>0</v>
      </c>
      <c r="J55" s="15">
        <f t="shared" si="5"/>
        <v>5</v>
      </c>
    </row>
    <row r="56" spans="1:10" ht="14.95" thickBot="1" x14ac:dyDescent="0.3">
      <c r="A56" s="47" t="s">
        <v>1040</v>
      </c>
      <c r="B56" s="274">
        <v>1</v>
      </c>
      <c r="C56" s="102">
        <v>0</v>
      </c>
      <c r="D56" s="257">
        <v>0</v>
      </c>
      <c r="E56" s="30">
        <f t="shared" si="4"/>
        <v>1</v>
      </c>
      <c r="F56" s="14" t="s">
        <v>856</v>
      </c>
      <c r="G56" s="276">
        <v>5</v>
      </c>
      <c r="H56" s="104">
        <v>0</v>
      </c>
      <c r="I56" s="19">
        <v>0</v>
      </c>
      <c r="J56" s="15">
        <f t="shared" si="5"/>
        <v>5</v>
      </c>
    </row>
    <row r="57" spans="1:10" ht="14.95" thickBot="1" x14ac:dyDescent="0.3">
      <c r="A57" s="47" t="s">
        <v>225</v>
      </c>
      <c r="B57" s="274">
        <v>1</v>
      </c>
      <c r="C57" s="102">
        <v>0</v>
      </c>
      <c r="D57" s="257">
        <v>0</v>
      </c>
      <c r="E57" s="30">
        <f t="shared" si="4"/>
        <v>1</v>
      </c>
      <c r="F57" s="14" t="s">
        <v>1040</v>
      </c>
      <c r="G57" s="276">
        <v>5</v>
      </c>
      <c r="H57" s="104">
        <v>0</v>
      </c>
      <c r="I57" s="19">
        <v>0</v>
      </c>
      <c r="J57" s="15">
        <f t="shared" si="5"/>
        <v>5</v>
      </c>
    </row>
    <row r="58" spans="1:10" ht="14.95" thickBot="1" x14ac:dyDescent="0.3">
      <c r="A58" s="47" t="s">
        <v>104</v>
      </c>
      <c r="B58" s="274">
        <v>1</v>
      </c>
      <c r="C58" s="102">
        <v>0</v>
      </c>
      <c r="D58" s="257">
        <v>0</v>
      </c>
      <c r="E58" s="30">
        <f t="shared" si="4"/>
        <v>1</v>
      </c>
      <c r="F58" s="14" t="s">
        <v>225</v>
      </c>
      <c r="G58" s="276">
        <v>5</v>
      </c>
      <c r="H58" s="104">
        <v>0</v>
      </c>
      <c r="I58" s="19">
        <v>0</v>
      </c>
      <c r="J58" s="15">
        <f t="shared" si="5"/>
        <v>5</v>
      </c>
    </row>
    <row r="59" spans="1:10" ht="14.95" thickBot="1" x14ac:dyDescent="0.3">
      <c r="A59" s="47" t="s">
        <v>115</v>
      </c>
      <c r="B59" s="274">
        <v>0</v>
      </c>
      <c r="C59" s="102">
        <v>0</v>
      </c>
      <c r="D59" s="257">
        <v>0</v>
      </c>
      <c r="E59" s="30">
        <f t="shared" si="4"/>
        <v>0</v>
      </c>
      <c r="F59" s="14" t="s">
        <v>104</v>
      </c>
      <c r="G59" s="276">
        <v>5</v>
      </c>
      <c r="H59" s="104">
        <v>0</v>
      </c>
      <c r="I59" s="19">
        <v>0</v>
      </c>
      <c r="J59" s="15">
        <f t="shared" si="5"/>
        <v>5</v>
      </c>
    </row>
    <row r="60" spans="1:10" ht="14.95" thickBot="1" x14ac:dyDescent="0.3">
      <c r="A60" s="47" t="s">
        <v>96</v>
      </c>
      <c r="B60" s="274">
        <v>0</v>
      </c>
      <c r="C60" s="102">
        <v>0</v>
      </c>
      <c r="D60" s="257">
        <v>0</v>
      </c>
      <c r="E60" s="30">
        <f t="shared" si="4"/>
        <v>0</v>
      </c>
      <c r="F60" s="14" t="s">
        <v>115</v>
      </c>
      <c r="G60" s="276">
        <v>0</v>
      </c>
      <c r="H60" s="104">
        <v>0</v>
      </c>
      <c r="I60" s="19">
        <v>0</v>
      </c>
      <c r="J60" s="15">
        <f t="shared" si="5"/>
        <v>0</v>
      </c>
    </row>
    <row r="61" spans="1:10" ht="14.95" thickBot="1" x14ac:dyDescent="0.3">
      <c r="A61" s="47" t="s">
        <v>110</v>
      </c>
      <c r="B61" s="274">
        <v>0</v>
      </c>
      <c r="C61" s="102">
        <v>0</v>
      </c>
      <c r="D61" s="257">
        <v>0</v>
      </c>
      <c r="E61" s="30">
        <f t="shared" si="4"/>
        <v>0</v>
      </c>
      <c r="F61" s="14" t="s">
        <v>96</v>
      </c>
      <c r="G61" s="276">
        <v>0</v>
      </c>
      <c r="H61" s="104">
        <v>0</v>
      </c>
      <c r="I61" s="19">
        <v>0</v>
      </c>
      <c r="J61" s="15">
        <f t="shared" si="5"/>
        <v>0</v>
      </c>
    </row>
    <row r="62" spans="1:10" ht="14.95" thickBot="1" x14ac:dyDescent="0.3">
      <c r="A62" s="47" t="s">
        <v>109</v>
      </c>
      <c r="B62" s="274">
        <v>0</v>
      </c>
      <c r="C62" s="102">
        <v>0</v>
      </c>
      <c r="D62" s="257">
        <v>0</v>
      </c>
      <c r="E62" s="30">
        <f t="shared" si="4"/>
        <v>0</v>
      </c>
      <c r="F62" s="14" t="s">
        <v>110</v>
      </c>
      <c r="G62" s="276">
        <v>0</v>
      </c>
      <c r="H62" s="104">
        <v>0</v>
      </c>
      <c r="I62" s="19">
        <v>0</v>
      </c>
      <c r="J62" s="15">
        <f t="shared" si="5"/>
        <v>0</v>
      </c>
    </row>
    <row r="63" spans="1:10" ht="14.95" thickBot="1" x14ac:dyDescent="0.3">
      <c r="A63" s="47" t="s">
        <v>648</v>
      </c>
      <c r="B63" s="274">
        <v>0</v>
      </c>
      <c r="C63" s="102">
        <v>0</v>
      </c>
      <c r="D63" s="257">
        <v>0</v>
      </c>
      <c r="E63" s="30">
        <f t="shared" si="4"/>
        <v>0</v>
      </c>
      <c r="F63" s="14" t="s">
        <v>109</v>
      </c>
      <c r="G63" s="276">
        <v>0</v>
      </c>
      <c r="H63" s="104">
        <v>0</v>
      </c>
      <c r="I63" s="19">
        <v>0</v>
      </c>
      <c r="J63" s="15">
        <f t="shared" si="5"/>
        <v>0</v>
      </c>
    </row>
    <row r="64" spans="1:10" ht="14.95" thickBot="1" x14ac:dyDescent="0.3">
      <c r="A64" s="47" t="s">
        <v>309</v>
      </c>
      <c r="B64" s="274">
        <v>0</v>
      </c>
      <c r="C64" s="102">
        <v>0</v>
      </c>
      <c r="D64" s="257">
        <v>0</v>
      </c>
      <c r="E64" s="30">
        <f t="shared" si="4"/>
        <v>0</v>
      </c>
      <c r="F64" s="14" t="s">
        <v>648</v>
      </c>
      <c r="G64" s="276">
        <v>0</v>
      </c>
      <c r="H64" s="104">
        <v>0</v>
      </c>
      <c r="I64" s="19">
        <v>0</v>
      </c>
      <c r="J64" s="15">
        <f t="shared" si="5"/>
        <v>0</v>
      </c>
    </row>
    <row r="65" spans="1:10" ht="14.95" thickBot="1" x14ac:dyDescent="0.3">
      <c r="A65" s="47" t="s">
        <v>678</v>
      </c>
      <c r="B65" s="274">
        <v>0</v>
      </c>
      <c r="C65" s="102">
        <v>0</v>
      </c>
      <c r="D65" s="257">
        <v>0</v>
      </c>
      <c r="E65" s="30">
        <f t="shared" si="4"/>
        <v>0</v>
      </c>
      <c r="F65" s="14" t="s">
        <v>309</v>
      </c>
      <c r="G65" s="276">
        <v>0</v>
      </c>
      <c r="H65" s="104">
        <v>0</v>
      </c>
      <c r="I65" s="19">
        <v>0</v>
      </c>
      <c r="J65" s="15">
        <f t="shared" si="5"/>
        <v>0</v>
      </c>
    </row>
    <row r="66" spans="1:10" ht="14.95" thickBot="1" x14ac:dyDescent="0.3">
      <c r="A66" s="47" t="s">
        <v>195</v>
      </c>
      <c r="B66" s="274">
        <v>0</v>
      </c>
      <c r="C66" s="102">
        <v>0</v>
      </c>
      <c r="D66" s="257">
        <v>0</v>
      </c>
      <c r="E66" s="30">
        <f t="shared" si="4"/>
        <v>0</v>
      </c>
      <c r="F66" s="14" t="s">
        <v>678</v>
      </c>
      <c r="G66" s="276">
        <v>0</v>
      </c>
      <c r="H66" s="104">
        <v>0</v>
      </c>
      <c r="I66" s="19">
        <v>0</v>
      </c>
      <c r="J66" s="15">
        <f t="shared" si="5"/>
        <v>0</v>
      </c>
    </row>
    <row r="67" spans="1:10" ht="14.95" thickBot="1" x14ac:dyDescent="0.3">
      <c r="A67" s="47" t="s">
        <v>275</v>
      </c>
      <c r="B67" s="274">
        <v>0</v>
      </c>
      <c r="C67" s="102">
        <v>0</v>
      </c>
      <c r="D67" s="257">
        <v>0</v>
      </c>
      <c r="E67" s="30">
        <f t="shared" si="4"/>
        <v>0</v>
      </c>
      <c r="F67" s="14" t="s">
        <v>195</v>
      </c>
      <c r="G67" s="276">
        <v>0</v>
      </c>
      <c r="H67" s="104">
        <v>0</v>
      </c>
      <c r="I67" s="19">
        <v>0</v>
      </c>
      <c r="J67" s="15">
        <f t="shared" si="5"/>
        <v>0</v>
      </c>
    </row>
    <row r="68" spans="1:10" ht="14.95" thickBot="1" x14ac:dyDescent="0.3">
      <c r="A68" s="47" t="s">
        <v>276</v>
      </c>
      <c r="B68" s="274">
        <v>0</v>
      </c>
      <c r="C68" s="102">
        <v>0</v>
      </c>
      <c r="D68" s="257">
        <v>0</v>
      </c>
      <c r="E68" s="30">
        <f t="shared" si="4"/>
        <v>0</v>
      </c>
      <c r="F68" s="14" t="s">
        <v>275</v>
      </c>
      <c r="G68" s="276">
        <v>0</v>
      </c>
      <c r="H68" s="104">
        <v>0</v>
      </c>
      <c r="I68" s="19">
        <v>0</v>
      </c>
      <c r="J68" s="15">
        <f t="shared" si="5"/>
        <v>0</v>
      </c>
    </row>
    <row r="69" spans="1:10" ht="14.95" thickBot="1" x14ac:dyDescent="0.3">
      <c r="A69" s="47" t="s">
        <v>94</v>
      </c>
      <c r="B69" s="274">
        <v>0</v>
      </c>
      <c r="C69" s="102">
        <v>0</v>
      </c>
      <c r="D69" s="257">
        <v>0</v>
      </c>
      <c r="E69" s="30">
        <f t="shared" si="4"/>
        <v>0</v>
      </c>
      <c r="F69" s="14" t="s">
        <v>276</v>
      </c>
      <c r="G69" s="276">
        <v>0</v>
      </c>
      <c r="H69" s="104">
        <v>0</v>
      </c>
      <c r="I69" s="19">
        <v>0</v>
      </c>
      <c r="J69" s="15">
        <f t="shared" si="5"/>
        <v>0</v>
      </c>
    </row>
    <row r="70" spans="1:10" ht="14.95" thickBot="1" x14ac:dyDescent="0.3">
      <c r="A70" s="47" t="s">
        <v>114</v>
      </c>
      <c r="B70" s="274">
        <v>0</v>
      </c>
      <c r="C70" s="102">
        <v>0</v>
      </c>
      <c r="D70" s="257">
        <v>0</v>
      </c>
      <c r="E70" s="30">
        <f t="shared" si="4"/>
        <v>0</v>
      </c>
      <c r="F70" s="14" t="s">
        <v>94</v>
      </c>
      <c r="G70" s="276">
        <v>0</v>
      </c>
      <c r="H70" s="104">
        <v>0</v>
      </c>
      <c r="I70" s="19">
        <v>0</v>
      </c>
      <c r="J70" s="15">
        <f t="shared" si="5"/>
        <v>0</v>
      </c>
    </row>
    <row r="71" spans="1:10" ht="14.95" thickBot="1" x14ac:dyDescent="0.3">
      <c r="A71" s="47" t="s">
        <v>985</v>
      </c>
      <c r="B71" s="274">
        <v>0</v>
      </c>
      <c r="C71" s="102">
        <v>0</v>
      </c>
      <c r="D71" s="257">
        <v>0</v>
      </c>
      <c r="E71" s="30">
        <f t="shared" si="4"/>
        <v>0</v>
      </c>
      <c r="F71" s="14" t="s">
        <v>114</v>
      </c>
      <c r="G71" s="276">
        <v>0</v>
      </c>
      <c r="H71" s="104">
        <v>0</v>
      </c>
      <c r="I71" s="19">
        <v>0</v>
      </c>
      <c r="J71" s="15">
        <f t="shared" si="5"/>
        <v>0</v>
      </c>
    </row>
    <row r="72" spans="1:10" ht="14.95" thickBot="1" x14ac:dyDescent="0.3">
      <c r="A72" s="47" t="s">
        <v>99</v>
      </c>
      <c r="B72" s="274">
        <v>0</v>
      </c>
      <c r="C72" s="102">
        <v>0</v>
      </c>
      <c r="D72" s="257">
        <v>0</v>
      </c>
      <c r="E72" s="30">
        <f t="shared" si="4"/>
        <v>0</v>
      </c>
      <c r="F72" s="14" t="s">
        <v>985</v>
      </c>
      <c r="G72" s="276">
        <v>0</v>
      </c>
      <c r="H72" s="104">
        <v>0</v>
      </c>
      <c r="I72" s="19">
        <v>0</v>
      </c>
      <c r="J72" s="15">
        <f t="shared" si="5"/>
        <v>0</v>
      </c>
    </row>
    <row r="73" spans="1:10" ht="14.95" thickBot="1" x14ac:dyDescent="0.3">
      <c r="A73" s="47" t="s">
        <v>95</v>
      </c>
      <c r="B73" s="274">
        <v>0</v>
      </c>
      <c r="C73" s="102">
        <v>0</v>
      </c>
      <c r="D73" s="257">
        <v>0</v>
      </c>
      <c r="E73" s="30">
        <f t="shared" si="4"/>
        <v>0</v>
      </c>
      <c r="F73" s="14" t="s">
        <v>99</v>
      </c>
      <c r="G73" s="276">
        <v>0</v>
      </c>
      <c r="H73" s="104">
        <v>0</v>
      </c>
      <c r="I73" s="19">
        <v>0</v>
      </c>
      <c r="J73" s="15">
        <f t="shared" si="5"/>
        <v>0</v>
      </c>
    </row>
    <row r="74" spans="1:10" ht="14.95" thickBot="1" x14ac:dyDescent="0.3">
      <c r="A74" s="47" t="s">
        <v>111</v>
      </c>
      <c r="B74" s="274">
        <v>0</v>
      </c>
      <c r="C74" s="102">
        <v>0</v>
      </c>
      <c r="D74" s="257">
        <v>0</v>
      </c>
      <c r="E74" s="30">
        <f t="shared" si="4"/>
        <v>0</v>
      </c>
      <c r="F74" s="14" t="s">
        <v>95</v>
      </c>
      <c r="G74" s="276">
        <v>0</v>
      </c>
      <c r="H74" s="104">
        <v>0</v>
      </c>
      <c r="I74" s="19">
        <v>0</v>
      </c>
      <c r="J74" s="15">
        <f t="shared" si="5"/>
        <v>0</v>
      </c>
    </row>
    <row r="75" spans="1:10" ht="14.95" thickBot="1" x14ac:dyDescent="0.3">
      <c r="A75" s="47" t="s">
        <v>97</v>
      </c>
      <c r="B75" s="274">
        <v>0</v>
      </c>
      <c r="C75" s="102">
        <v>0</v>
      </c>
      <c r="D75" s="257">
        <v>0</v>
      </c>
      <c r="E75" s="30">
        <f t="shared" si="4"/>
        <v>0</v>
      </c>
      <c r="F75" s="14" t="s">
        <v>111</v>
      </c>
      <c r="G75" s="276">
        <v>0</v>
      </c>
      <c r="H75" s="104">
        <v>0</v>
      </c>
      <c r="I75" s="19">
        <v>0</v>
      </c>
      <c r="J75" s="15">
        <f t="shared" si="5"/>
        <v>0</v>
      </c>
    </row>
    <row r="76" spans="1:10" ht="14.95" thickBot="1" x14ac:dyDescent="0.3">
      <c r="A76" s="47" t="s">
        <v>107</v>
      </c>
      <c r="B76" s="274">
        <v>0</v>
      </c>
      <c r="C76" s="102">
        <v>0</v>
      </c>
      <c r="D76" s="257">
        <v>0</v>
      </c>
      <c r="E76" s="30">
        <f t="shared" si="4"/>
        <v>0</v>
      </c>
      <c r="F76" s="14" t="s">
        <v>97</v>
      </c>
      <c r="G76" s="276">
        <v>0</v>
      </c>
      <c r="H76" s="104">
        <v>0</v>
      </c>
      <c r="I76" s="19">
        <v>0</v>
      </c>
      <c r="J76" s="15">
        <f t="shared" si="5"/>
        <v>0</v>
      </c>
    </row>
    <row r="77" spans="1:10" ht="14.95" thickBot="1" x14ac:dyDescent="0.3">
      <c r="A77" s="47" t="s">
        <v>117</v>
      </c>
      <c r="B77" s="274">
        <v>0</v>
      </c>
      <c r="C77" s="102">
        <v>0</v>
      </c>
      <c r="D77" s="257">
        <v>0</v>
      </c>
      <c r="E77" s="30">
        <f t="shared" si="4"/>
        <v>0</v>
      </c>
      <c r="F77" s="14" t="s">
        <v>107</v>
      </c>
      <c r="G77" s="276">
        <v>0</v>
      </c>
      <c r="H77" s="104">
        <v>0</v>
      </c>
      <c r="I77" s="19">
        <v>0</v>
      </c>
      <c r="J77" s="15">
        <f t="shared" si="5"/>
        <v>0</v>
      </c>
    </row>
    <row r="78" spans="1:10" ht="14.95" thickBot="1" x14ac:dyDescent="0.3">
      <c r="A78" s="47" t="s">
        <v>98</v>
      </c>
      <c r="B78" s="274">
        <v>0</v>
      </c>
      <c r="C78" s="102">
        <v>0</v>
      </c>
      <c r="D78" s="257">
        <v>0</v>
      </c>
      <c r="E78" s="30">
        <f t="shared" si="4"/>
        <v>0</v>
      </c>
      <c r="F78" s="14" t="s">
        <v>117</v>
      </c>
      <c r="G78" s="276">
        <v>0</v>
      </c>
      <c r="H78" s="104">
        <v>0</v>
      </c>
      <c r="I78" s="19">
        <v>0</v>
      </c>
      <c r="J78" s="15">
        <f t="shared" si="5"/>
        <v>0</v>
      </c>
    </row>
    <row r="79" spans="1:10" ht="14.95" thickBot="1" x14ac:dyDescent="0.3">
      <c r="A79" s="47" t="s">
        <v>876</v>
      </c>
      <c r="B79" s="274">
        <v>0</v>
      </c>
      <c r="C79" s="102">
        <v>0</v>
      </c>
      <c r="D79" s="257">
        <v>0</v>
      </c>
      <c r="E79" s="30">
        <f t="shared" si="4"/>
        <v>0</v>
      </c>
      <c r="F79" s="14" t="s">
        <v>98</v>
      </c>
      <c r="G79" s="276">
        <v>0</v>
      </c>
      <c r="H79" s="104">
        <v>0</v>
      </c>
      <c r="I79" s="19">
        <v>0</v>
      </c>
      <c r="J79" s="15">
        <f t="shared" si="5"/>
        <v>0</v>
      </c>
    </row>
    <row r="80" spans="1:10" ht="14.95" thickBot="1" x14ac:dyDescent="0.3">
      <c r="A80" s="47" t="s">
        <v>875</v>
      </c>
      <c r="B80" s="274">
        <v>0</v>
      </c>
      <c r="C80" s="102">
        <v>0</v>
      </c>
      <c r="D80" s="257">
        <v>0</v>
      </c>
      <c r="E80" s="30">
        <f t="shared" si="4"/>
        <v>0</v>
      </c>
      <c r="F80" s="14" t="s">
        <v>876</v>
      </c>
      <c r="G80" s="276">
        <v>0</v>
      </c>
      <c r="H80" s="104">
        <v>0</v>
      </c>
      <c r="I80" s="19">
        <v>0</v>
      </c>
      <c r="J80" s="15">
        <f t="shared" si="5"/>
        <v>0</v>
      </c>
    </row>
    <row r="81" spans="1:10" ht="14.95" thickBot="1" x14ac:dyDescent="0.3">
      <c r="A81" s="47" t="s">
        <v>100</v>
      </c>
      <c r="B81" s="274">
        <v>0</v>
      </c>
      <c r="C81" s="102">
        <v>0</v>
      </c>
      <c r="D81" s="257">
        <v>0</v>
      </c>
      <c r="E81" s="30">
        <f t="shared" si="4"/>
        <v>0</v>
      </c>
      <c r="F81" s="14" t="s">
        <v>875</v>
      </c>
      <c r="G81" s="276">
        <v>0</v>
      </c>
      <c r="H81" s="104">
        <v>0</v>
      </c>
      <c r="I81" s="19">
        <v>0</v>
      </c>
      <c r="J81" s="15">
        <f t="shared" si="5"/>
        <v>0</v>
      </c>
    </row>
    <row r="82" spans="1:10" ht="14.95" thickBot="1" x14ac:dyDescent="0.3">
      <c r="A82" s="47" t="s">
        <v>102</v>
      </c>
      <c r="B82" s="274">
        <v>0</v>
      </c>
      <c r="C82" s="102">
        <v>0</v>
      </c>
      <c r="D82" s="257">
        <v>0</v>
      </c>
      <c r="E82" s="30">
        <f t="shared" si="4"/>
        <v>0</v>
      </c>
      <c r="F82" s="14" t="s">
        <v>100</v>
      </c>
      <c r="G82" s="276">
        <v>0</v>
      </c>
      <c r="H82" s="104">
        <v>0</v>
      </c>
      <c r="I82" s="19">
        <v>0</v>
      </c>
      <c r="J82" s="15">
        <f t="shared" si="5"/>
        <v>0</v>
      </c>
    </row>
    <row r="83" spans="1:10" ht="14.95" thickBot="1" x14ac:dyDescent="0.3">
      <c r="A83" s="47" t="s">
        <v>112</v>
      </c>
      <c r="B83" s="274">
        <v>0</v>
      </c>
      <c r="C83" s="102">
        <v>0</v>
      </c>
      <c r="D83" s="257">
        <v>0</v>
      </c>
      <c r="E83" s="30">
        <f t="shared" si="4"/>
        <v>0</v>
      </c>
      <c r="F83" s="14" t="s">
        <v>102</v>
      </c>
      <c r="G83" s="276">
        <v>0</v>
      </c>
      <c r="H83" s="104">
        <v>0</v>
      </c>
      <c r="I83" s="19">
        <v>0</v>
      </c>
      <c r="J83" s="15">
        <f t="shared" si="5"/>
        <v>0</v>
      </c>
    </row>
    <row r="84" spans="1:10" ht="14.95" thickBot="1" x14ac:dyDescent="0.3">
      <c r="A84" s="47" t="s">
        <v>877</v>
      </c>
      <c r="B84" s="274">
        <v>0</v>
      </c>
      <c r="C84" s="102">
        <v>0</v>
      </c>
      <c r="D84" s="257">
        <v>0</v>
      </c>
      <c r="E84" s="30">
        <f t="shared" si="4"/>
        <v>0</v>
      </c>
      <c r="F84" s="14" t="s">
        <v>112</v>
      </c>
      <c r="G84" s="276">
        <v>0</v>
      </c>
      <c r="H84" s="104">
        <v>0</v>
      </c>
      <c r="I84" s="19">
        <v>0</v>
      </c>
      <c r="J84" s="15">
        <f t="shared" si="5"/>
        <v>0</v>
      </c>
    </row>
    <row r="85" spans="1:10" ht="14.95" thickBot="1" x14ac:dyDescent="0.3">
      <c r="A85" s="47" t="s">
        <v>277</v>
      </c>
      <c r="B85" s="274">
        <v>0</v>
      </c>
      <c r="C85" s="102">
        <v>0</v>
      </c>
      <c r="D85" s="257">
        <v>0</v>
      </c>
      <c r="E85" s="30">
        <f t="shared" si="4"/>
        <v>0</v>
      </c>
      <c r="F85" s="14" t="s">
        <v>877</v>
      </c>
      <c r="G85" s="276">
        <v>0</v>
      </c>
      <c r="H85" s="104">
        <v>0</v>
      </c>
      <c r="I85" s="19">
        <v>0</v>
      </c>
      <c r="J85" s="15">
        <f t="shared" si="5"/>
        <v>0</v>
      </c>
    </row>
    <row r="86" spans="1:10" ht="14.95" thickBot="1" x14ac:dyDescent="0.3">
      <c r="A86" s="47" t="s">
        <v>106</v>
      </c>
      <c r="B86" s="274">
        <v>0</v>
      </c>
      <c r="C86" s="102">
        <v>0</v>
      </c>
      <c r="D86" s="257">
        <v>0</v>
      </c>
      <c r="E86" s="30">
        <f t="shared" si="4"/>
        <v>0</v>
      </c>
      <c r="F86" s="14" t="s">
        <v>106</v>
      </c>
      <c r="G86" s="276">
        <v>0</v>
      </c>
      <c r="H86" s="104">
        <v>0</v>
      </c>
      <c r="I86" s="19">
        <v>0</v>
      </c>
      <c r="J86" s="15">
        <f t="shared" si="5"/>
        <v>0</v>
      </c>
    </row>
    <row r="87" spans="1:10" ht="14.95" thickBot="1" x14ac:dyDescent="0.3">
      <c r="A87" s="47" t="s">
        <v>92</v>
      </c>
      <c r="B87" s="274">
        <v>0</v>
      </c>
      <c r="C87" s="102">
        <v>0</v>
      </c>
      <c r="D87" s="257">
        <v>0</v>
      </c>
      <c r="E87" s="30">
        <f t="shared" si="4"/>
        <v>0</v>
      </c>
      <c r="F87" s="14" t="s">
        <v>92</v>
      </c>
      <c r="G87" s="276">
        <v>0</v>
      </c>
      <c r="H87" s="104">
        <v>0</v>
      </c>
      <c r="I87" s="19">
        <v>0</v>
      </c>
      <c r="J87" s="15">
        <f t="shared" si="5"/>
        <v>0</v>
      </c>
    </row>
    <row r="88" spans="1:10" ht="14.95" thickBot="1" x14ac:dyDescent="0.3">
      <c r="A88" s="47" t="s">
        <v>93</v>
      </c>
      <c r="B88" s="274">
        <v>0</v>
      </c>
      <c r="C88" s="102">
        <v>0</v>
      </c>
      <c r="D88" s="257">
        <v>0</v>
      </c>
      <c r="E88" s="30">
        <f t="shared" si="4"/>
        <v>0</v>
      </c>
      <c r="F88" s="14" t="s">
        <v>93</v>
      </c>
      <c r="G88" s="276">
        <v>0</v>
      </c>
      <c r="H88" s="104">
        <v>0</v>
      </c>
      <c r="I88" s="19">
        <v>0</v>
      </c>
      <c r="J88" s="15">
        <f t="shared" si="5"/>
        <v>0</v>
      </c>
    </row>
    <row r="89" spans="1:10" ht="14.95" thickBot="1" x14ac:dyDescent="0.3">
      <c r="A89" s="47" t="s">
        <v>208</v>
      </c>
      <c r="B89" s="274">
        <v>0</v>
      </c>
      <c r="C89" s="102">
        <v>0</v>
      </c>
      <c r="D89" s="257">
        <v>0</v>
      </c>
      <c r="E89" s="30">
        <f t="shared" si="4"/>
        <v>0</v>
      </c>
      <c r="F89" s="14" t="s">
        <v>208</v>
      </c>
      <c r="G89" s="276">
        <v>0</v>
      </c>
      <c r="H89" s="104">
        <v>0</v>
      </c>
      <c r="I89" s="19">
        <v>0</v>
      </c>
      <c r="J89" s="15">
        <f t="shared" si="5"/>
        <v>0</v>
      </c>
    </row>
    <row r="90" spans="1:10" ht="14.95" thickBot="1" x14ac:dyDescent="0.3">
      <c r="A90" s="47" t="s">
        <v>116</v>
      </c>
      <c r="B90" s="274">
        <v>0</v>
      </c>
      <c r="C90" s="102">
        <v>0</v>
      </c>
      <c r="D90" s="257">
        <v>0</v>
      </c>
      <c r="E90" s="30">
        <f t="shared" si="4"/>
        <v>0</v>
      </c>
      <c r="F90" s="14" t="s">
        <v>116</v>
      </c>
      <c r="G90" s="276">
        <v>0</v>
      </c>
      <c r="H90" s="104">
        <v>0</v>
      </c>
      <c r="I90" s="19">
        <v>0</v>
      </c>
      <c r="J90" s="15">
        <f t="shared" si="5"/>
        <v>0</v>
      </c>
    </row>
    <row r="91" spans="1:10" ht="14.95" thickBot="1" x14ac:dyDescent="0.3">
      <c r="A91" s="47" t="s">
        <v>915</v>
      </c>
      <c r="B91" s="274">
        <v>0</v>
      </c>
      <c r="C91" s="102">
        <v>0</v>
      </c>
      <c r="D91" s="257">
        <v>0</v>
      </c>
      <c r="E91" s="30">
        <f t="shared" si="4"/>
        <v>0</v>
      </c>
      <c r="F91" s="14" t="s">
        <v>915</v>
      </c>
      <c r="G91" s="276">
        <v>0</v>
      </c>
      <c r="H91" s="104">
        <v>0</v>
      </c>
      <c r="I91" s="19">
        <v>0</v>
      </c>
      <c r="J91" s="15">
        <f t="shared" si="5"/>
        <v>0</v>
      </c>
    </row>
    <row r="92" spans="1:10" ht="14.95" thickBot="1" x14ac:dyDescent="0.3">
      <c r="A92" s="47" t="s">
        <v>103</v>
      </c>
      <c r="B92" s="274">
        <v>0</v>
      </c>
      <c r="C92" s="102">
        <v>0</v>
      </c>
      <c r="D92" s="257">
        <v>0</v>
      </c>
      <c r="E92" s="30">
        <f t="shared" si="4"/>
        <v>0</v>
      </c>
      <c r="F92" s="14" t="s">
        <v>103</v>
      </c>
      <c r="G92" s="276">
        <v>0</v>
      </c>
      <c r="H92" s="104">
        <v>0</v>
      </c>
      <c r="I92" s="19">
        <v>0</v>
      </c>
      <c r="J92" s="15">
        <f t="shared" si="5"/>
        <v>0</v>
      </c>
    </row>
    <row r="93" spans="1:10" ht="14.95" thickBot="1" x14ac:dyDescent="0.3">
      <c r="A93" s="47" t="s">
        <v>3</v>
      </c>
      <c r="B93" s="274">
        <f>SUM(B50:B92)</f>
        <v>11</v>
      </c>
      <c r="C93" s="102">
        <f>SUM(C50:C92)</f>
        <v>0</v>
      </c>
      <c r="D93" s="257">
        <f>SUM(D50:D92)</f>
        <v>0</v>
      </c>
      <c r="E93" s="30">
        <f>SUM(E50:E92)</f>
        <v>11</v>
      </c>
      <c r="F93" s="13" t="s">
        <v>3</v>
      </c>
      <c r="G93" s="276">
        <f>SUM(G50:G92)</f>
        <v>69</v>
      </c>
      <c r="H93" s="104">
        <f>SUM(H50:H92)</f>
        <v>0</v>
      </c>
      <c r="I93" s="19">
        <f>SUM(I50:I92)</f>
        <v>0</v>
      </c>
      <c r="J93" s="15">
        <f>SUM(J50:J92)</f>
        <v>69</v>
      </c>
    </row>
    <row r="94" spans="1:10" ht="16.3" x14ac:dyDescent="0.3">
      <c r="A94" s="524" t="s">
        <v>10</v>
      </c>
      <c r="B94" s="524"/>
      <c r="C94" s="524"/>
      <c r="D94" s="525"/>
    </row>
  </sheetData>
  <sortState xmlns:xlrd2="http://schemas.microsoft.com/office/spreadsheetml/2017/richdata2" ref="F50:J92">
    <sortCondition descending="1" ref="J50:J92"/>
  </sortState>
  <mergeCells count="23">
    <mergeCell ref="AE1:AG2"/>
    <mergeCell ref="O11:Q12"/>
    <mergeCell ref="A1:J1"/>
    <mergeCell ref="K1:K2"/>
    <mergeCell ref="L1:N2"/>
    <mergeCell ref="Y1:AA2"/>
    <mergeCell ref="K11:K12"/>
    <mergeCell ref="L11:N12"/>
    <mergeCell ref="U11:W12"/>
    <mergeCell ref="V1:X2"/>
    <mergeCell ref="R11:T12"/>
    <mergeCell ref="R1:R2"/>
    <mergeCell ref="O1:Q2"/>
    <mergeCell ref="AB1:AD2"/>
    <mergeCell ref="AB11:AD12"/>
    <mergeCell ref="K20:K21"/>
    <mergeCell ref="L20:N21"/>
    <mergeCell ref="O26:Q27"/>
    <mergeCell ref="S1:U2"/>
    <mergeCell ref="A94:D94"/>
    <mergeCell ref="K26:K27"/>
    <mergeCell ref="L26:N27"/>
    <mergeCell ref="R26:T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80"/>
  <sheetViews>
    <sheetView zoomScaleNormal="100" workbookViewId="0">
      <selection activeCell="M20" sqref="M20"/>
    </sheetView>
  </sheetViews>
  <sheetFormatPr defaultRowHeight="14.3" x14ac:dyDescent="0.25"/>
  <cols>
    <col min="1" max="1" width="16.5" customWidth="1"/>
    <col min="2" max="2" width="4.5" customWidth="1"/>
    <col min="3" max="3" width="5" customWidth="1"/>
    <col min="4" max="4" width="4.5" customWidth="1"/>
    <col min="5" max="5" width="4.75" customWidth="1"/>
    <col min="6" max="6" width="16.5" customWidth="1"/>
    <col min="7" max="10" width="5.25" customWidth="1"/>
    <col min="11" max="11" width="15.25" customWidth="1"/>
    <col min="12" max="29" width="5.5" customWidth="1"/>
    <col min="30" max="32" width="5.625" customWidth="1"/>
  </cols>
  <sheetData>
    <row r="1" spans="1:32" ht="14.95" customHeight="1" thickBot="1" x14ac:dyDescent="0.3">
      <c r="A1" s="589" t="s">
        <v>1000</v>
      </c>
      <c r="B1" s="590"/>
      <c r="C1" s="590"/>
      <c r="D1" s="590"/>
      <c r="E1" s="590"/>
      <c r="F1" s="590"/>
      <c r="G1" s="590"/>
      <c r="H1" s="590"/>
      <c r="I1" s="590"/>
      <c r="J1" s="591"/>
      <c r="K1" s="592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Y1" s="56"/>
      <c r="Z1" s="56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82" t="s">
        <v>0</v>
      </c>
      <c r="B2" s="284" t="s">
        <v>14</v>
      </c>
      <c r="C2" s="467" t="s">
        <v>500</v>
      </c>
      <c r="D2" s="237" t="s">
        <v>11</v>
      </c>
      <c r="E2" s="175" t="s">
        <v>1</v>
      </c>
      <c r="F2" s="286" t="s">
        <v>2</v>
      </c>
      <c r="G2" s="280" t="s">
        <v>14</v>
      </c>
      <c r="H2" s="469" t="s">
        <v>500</v>
      </c>
      <c r="I2" s="118" t="s">
        <v>11</v>
      </c>
      <c r="J2" s="177" t="s">
        <v>1</v>
      </c>
      <c r="K2" s="593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Y2" s="56"/>
      <c r="Z2" s="56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32" t="s">
        <v>118</v>
      </c>
      <c r="B3" s="285">
        <v>0</v>
      </c>
      <c r="C3" s="468">
        <v>0</v>
      </c>
      <c r="D3" s="383">
        <v>0</v>
      </c>
      <c r="E3" s="33">
        <f t="shared" ref="E3:E39" si="0">SUM(B3:D3)</f>
        <v>0</v>
      </c>
      <c r="F3" s="287" t="s">
        <v>118</v>
      </c>
      <c r="G3" s="281">
        <v>0</v>
      </c>
      <c r="H3" s="470">
        <v>0</v>
      </c>
      <c r="I3" s="29">
        <v>0</v>
      </c>
      <c r="J3" s="178">
        <f t="shared" ref="J3:J39" si="1">SUM(G3:I3)</f>
        <v>0</v>
      </c>
      <c r="K3" s="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Y3" s="56"/>
      <c r="Z3" s="56"/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32" t="s">
        <v>119</v>
      </c>
      <c r="B4" s="285">
        <v>0</v>
      </c>
      <c r="C4" s="468">
        <v>0</v>
      </c>
      <c r="D4" s="383">
        <v>0</v>
      </c>
      <c r="E4" s="33">
        <f t="shared" si="0"/>
        <v>0</v>
      </c>
      <c r="F4" s="287" t="s">
        <v>119</v>
      </c>
      <c r="G4" s="281">
        <v>0</v>
      </c>
      <c r="H4" s="470">
        <v>0</v>
      </c>
      <c r="I4" s="29">
        <v>0</v>
      </c>
      <c r="J4" s="178">
        <f t="shared" si="1"/>
        <v>0</v>
      </c>
      <c r="K4" s="32" t="s">
        <v>978</v>
      </c>
      <c r="L4" s="33" t="s">
        <v>8</v>
      </c>
      <c r="M4" s="33" t="s">
        <v>8</v>
      </c>
      <c r="N4" s="34" t="s">
        <v>8</v>
      </c>
      <c r="O4" s="33" t="s">
        <v>8</v>
      </c>
      <c r="P4" s="33" t="s">
        <v>8</v>
      </c>
      <c r="Q4" s="34" t="s">
        <v>8</v>
      </c>
      <c r="R4" s="33">
        <v>-1</v>
      </c>
      <c r="S4" s="59">
        <v>1</v>
      </c>
      <c r="T4" s="59">
        <v>7</v>
      </c>
      <c r="U4" s="117">
        <v>14.285714285714285</v>
      </c>
      <c r="V4" s="59" t="s">
        <v>8</v>
      </c>
      <c r="W4" s="59" t="s">
        <v>8</v>
      </c>
      <c r="X4" s="117" t="s">
        <v>8</v>
      </c>
      <c r="Y4" s="56"/>
      <c r="Z4" s="56"/>
      <c r="AA4" s="260" t="s">
        <v>8</v>
      </c>
      <c r="AB4" s="59" t="s">
        <v>8</v>
      </c>
      <c r="AC4" s="117" t="s">
        <v>8</v>
      </c>
      <c r="AD4" s="260" t="s">
        <v>8</v>
      </c>
      <c r="AE4" s="59" t="s">
        <v>8</v>
      </c>
      <c r="AF4" s="117" t="s">
        <v>8</v>
      </c>
    </row>
    <row r="5" spans="1:32" ht="14.95" customHeight="1" thickBot="1" x14ac:dyDescent="0.3">
      <c r="A5" s="32" t="s">
        <v>978</v>
      </c>
      <c r="B5" s="285">
        <v>0</v>
      </c>
      <c r="C5" s="468">
        <v>0</v>
      </c>
      <c r="D5" s="383">
        <v>0</v>
      </c>
      <c r="E5" s="33">
        <f t="shared" si="0"/>
        <v>0</v>
      </c>
      <c r="F5" s="287" t="s">
        <v>978</v>
      </c>
      <c r="G5" s="281">
        <v>0</v>
      </c>
      <c r="H5" s="470">
        <v>0</v>
      </c>
      <c r="I5" s="29">
        <v>0</v>
      </c>
      <c r="J5" s="178">
        <f t="shared" si="1"/>
        <v>0</v>
      </c>
      <c r="K5" s="32" t="s">
        <v>976</v>
      </c>
      <c r="L5" s="33">
        <v>0</v>
      </c>
      <c r="M5" s="33">
        <v>3</v>
      </c>
      <c r="N5" s="34">
        <f t="shared" ref="N5" si="2">SUM(L5/M5)*100</f>
        <v>0</v>
      </c>
      <c r="O5" s="33">
        <v>0</v>
      </c>
      <c r="P5" s="33">
        <v>3</v>
      </c>
      <c r="Q5" s="34">
        <f t="shared" ref="Q5" si="3">SUM(O5/P5)*100</f>
        <v>0</v>
      </c>
      <c r="R5" s="33">
        <v>-3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Y5" s="56"/>
      <c r="Z5" s="56"/>
      <c r="AA5" s="185" t="s">
        <v>8</v>
      </c>
      <c r="AB5" s="59" t="s">
        <v>8</v>
      </c>
      <c r="AC5" s="117" t="s">
        <v>8</v>
      </c>
      <c r="AD5" s="59" t="s">
        <v>8</v>
      </c>
      <c r="AE5" s="59" t="s">
        <v>8</v>
      </c>
      <c r="AF5" s="117" t="s">
        <v>8</v>
      </c>
    </row>
    <row r="6" spans="1:32" ht="14.95" customHeight="1" thickBot="1" x14ac:dyDescent="0.3">
      <c r="A6" s="32" t="s">
        <v>976</v>
      </c>
      <c r="B6" s="285">
        <v>1</v>
      </c>
      <c r="C6" s="468">
        <v>0</v>
      </c>
      <c r="D6" s="383">
        <v>0</v>
      </c>
      <c r="E6" s="33">
        <f t="shared" si="0"/>
        <v>1</v>
      </c>
      <c r="F6" s="287" t="s">
        <v>976</v>
      </c>
      <c r="G6" s="281">
        <v>5</v>
      </c>
      <c r="H6" s="470">
        <v>0</v>
      </c>
      <c r="I6" s="29">
        <v>0</v>
      </c>
      <c r="J6" s="178">
        <f t="shared" si="1"/>
        <v>5</v>
      </c>
      <c r="K6" s="32" t="s">
        <v>209</v>
      </c>
      <c r="L6" s="33" t="s">
        <v>8</v>
      </c>
      <c r="M6" s="33" t="s">
        <v>8</v>
      </c>
      <c r="N6" s="34" t="s">
        <v>8</v>
      </c>
      <c r="O6" s="33" t="s">
        <v>8</v>
      </c>
      <c r="P6" s="33" t="s">
        <v>8</v>
      </c>
      <c r="Q6" s="34" t="s">
        <v>8</v>
      </c>
      <c r="R6" s="33">
        <v>-1</v>
      </c>
      <c r="S6" s="59" t="s">
        <v>8</v>
      </c>
      <c r="T6" s="59" t="s">
        <v>8</v>
      </c>
      <c r="U6" s="117" t="s">
        <v>8</v>
      </c>
      <c r="V6" s="59">
        <v>0</v>
      </c>
      <c r="W6" s="59">
        <v>1</v>
      </c>
      <c r="X6" s="117">
        <f>SUM(V6/W6)*100</f>
        <v>0</v>
      </c>
      <c r="Y6" s="56"/>
      <c r="Z6" s="56"/>
      <c r="AA6" s="260">
        <v>6</v>
      </c>
      <c r="AB6" s="59">
        <v>7</v>
      </c>
      <c r="AC6" s="117">
        <f>SUM(AA6/AB6)*100</f>
        <v>85.714285714285708</v>
      </c>
      <c r="AD6" s="260" t="s">
        <v>8</v>
      </c>
      <c r="AE6" s="59" t="s">
        <v>8</v>
      </c>
      <c r="AF6" s="117" t="s">
        <v>8</v>
      </c>
    </row>
    <row r="7" spans="1:32" ht="14.95" customHeight="1" thickBot="1" x14ac:dyDescent="0.3">
      <c r="A7" s="32" t="s">
        <v>209</v>
      </c>
      <c r="B7" s="285">
        <v>0</v>
      </c>
      <c r="C7" s="468">
        <v>0</v>
      </c>
      <c r="D7" s="383">
        <v>0</v>
      </c>
      <c r="E7" s="33">
        <f t="shared" si="0"/>
        <v>0</v>
      </c>
      <c r="F7" s="287" t="s">
        <v>209</v>
      </c>
      <c r="G7" s="281">
        <v>0</v>
      </c>
      <c r="H7" s="470">
        <v>0</v>
      </c>
      <c r="I7" s="29">
        <v>0</v>
      </c>
      <c r="J7" s="178">
        <f t="shared" si="1"/>
        <v>0</v>
      </c>
      <c r="K7" s="32" t="s">
        <v>1023</v>
      </c>
      <c r="L7" s="33">
        <v>1</v>
      </c>
      <c r="M7" s="33">
        <v>1</v>
      </c>
      <c r="N7" s="34">
        <f t="shared" ref="N7" si="4">SUM(L7/M7)*100</f>
        <v>100</v>
      </c>
      <c r="O7" s="33" t="s">
        <v>8</v>
      </c>
      <c r="P7" s="33" t="s">
        <v>8</v>
      </c>
      <c r="Q7" s="34" t="s">
        <v>8</v>
      </c>
      <c r="R7" s="33">
        <v>1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Y7" s="56"/>
      <c r="Z7" s="56"/>
      <c r="AA7" s="185" t="s">
        <v>8</v>
      </c>
      <c r="AB7" s="59" t="s">
        <v>8</v>
      </c>
      <c r="AC7" s="117" t="s">
        <v>8</v>
      </c>
      <c r="AD7" s="59" t="s">
        <v>8</v>
      </c>
      <c r="AE7" s="59" t="s">
        <v>8</v>
      </c>
      <c r="AF7" s="117" t="s">
        <v>8</v>
      </c>
    </row>
    <row r="8" spans="1:32" ht="14.95" customHeight="1" thickBot="1" x14ac:dyDescent="0.3">
      <c r="A8" s="32" t="s">
        <v>974</v>
      </c>
      <c r="B8" s="285">
        <v>0</v>
      </c>
      <c r="C8" s="468">
        <v>0</v>
      </c>
      <c r="D8" s="383">
        <v>0</v>
      </c>
      <c r="E8" s="33">
        <f t="shared" si="0"/>
        <v>0</v>
      </c>
      <c r="F8" s="287" t="s">
        <v>974</v>
      </c>
      <c r="G8" s="281">
        <v>0</v>
      </c>
      <c r="H8" s="470">
        <v>0</v>
      </c>
      <c r="I8" s="29">
        <v>0</v>
      </c>
      <c r="J8" s="178">
        <f t="shared" si="1"/>
        <v>0</v>
      </c>
      <c r="K8" s="32" t="s">
        <v>127</v>
      </c>
      <c r="L8" s="33" t="s">
        <v>8</v>
      </c>
      <c r="M8" s="33" t="s">
        <v>8</v>
      </c>
      <c r="N8" s="34" t="s">
        <v>8</v>
      </c>
      <c r="O8" s="33" t="s">
        <v>8</v>
      </c>
      <c r="P8" s="33" t="s">
        <v>8</v>
      </c>
      <c r="Q8" s="34" t="s">
        <v>8</v>
      </c>
      <c r="R8" s="33">
        <v>-1</v>
      </c>
      <c r="S8" s="59">
        <v>1</v>
      </c>
      <c r="T8" s="59">
        <v>5</v>
      </c>
      <c r="U8" s="117">
        <v>20</v>
      </c>
      <c r="V8" s="59" t="s">
        <v>8</v>
      </c>
      <c r="W8" s="59" t="s">
        <v>8</v>
      </c>
      <c r="X8" s="117" t="s">
        <v>8</v>
      </c>
      <c r="Y8" s="56"/>
      <c r="Z8" s="56"/>
      <c r="AA8" s="260">
        <v>1</v>
      </c>
      <c r="AB8" s="59">
        <v>3</v>
      </c>
      <c r="AC8" s="117">
        <f>SUM(AA8/AB8)*100</f>
        <v>33.333333333333329</v>
      </c>
      <c r="AD8" s="260" t="s">
        <v>8</v>
      </c>
      <c r="AE8" s="59" t="s">
        <v>8</v>
      </c>
      <c r="AF8" s="117" t="s">
        <v>8</v>
      </c>
    </row>
    <row r="9" spans="1:32" ht="14.95" customHeight="1" thickBot="1" x14ac:dyDescent="0.3">
      <c r="A9" s="32" t="s">
        <v>1023</v>
      </c>
      <c r="B9" s="285">
        <v>1</v>
      </c>
      <c r="C9" s="468">
        <v>0</v>
      </c>
      <c r="D9" s="383">
        <v>0</v>
      </c>
      <c r="E9" s="33">
        <f t="shared" si="0"/>
        <v>1</v>
      </c>
      <c r="F9" s="287" t="s">
        <v>1023</v>
      </c>
      <c r="G9" s="281">
        <v>7</v>
      </c>
      <c r="H9" s="470">
        <v>0</v>
      </c>
      <c r="I9" s="29">
        <v>0</v>
      </c>
      <c r="J9" s="178">
        <f t="shared" si="1"/>
        <v>7</v>
      </c>
      <c r="K9" s="32" t="s">
        <v>132</v>
      </c>
      <c r="L9" s="33" t="s">
        <v>8</v>
      </c>
      <c r="M9" s="33" t="s">
        <v>8</v>
      </c>
      <c r="N9" s="34" t="s">
        <v>8</v>
      </c>
      <c r="O9" s="33" t="s">
        <v>8</v>
      </c>
      <c r="P9" s="33" t="s">
        <v>8</v>
      </c>
      <c r="Q9" s="34" t="s">
        <v>8</v>
      </c>
      <c r="R9" s="33">
        <v>-1</v>
      </c>
      <c r="S9" s="59">
        <v>0</v>
      </c>
      <c r="T9" s="59">
        <v>1</v>
      </c>
      <c r="U9" s="117">
        <v>0</v>
      </c>
      <c r="V9" s="59" t="s">
        <v>8</v>
      </c>
      <c r="W9" s="59" t="s">
        <v>8</v>
      </c>
      <c r="X9" s="117" t="s">
        <v>8</v>
      </c>
      <c r="Y9" s="56"/>
      <c r="Z9" s="56"/>
      <c r="AA9" s="260" t="s">
        <v>8</v>
      </c>
      <c r="AB9" s="59" t="s">
        <v>8</v>
      </c>
      <c r="AC9" s="117" t="s">
        <v>8</v>
      </c>
      <c r="AD9" s="185" t="s">
        <v>8</v>
      </c>
      <c r="AE9" s="59" t="s">
        <v>8</v>
      </c>
      <c r="AF9" s="117" t="s">
        <v>8</v>
      </c>
    </row>
    <row r="10" spans="1:32" ht="14.95" customHeight="1" thickBot="1" x14ac:dyDescent="0.3">
      <c r="A10" s="32" t="s">
        <v>120</v>
      </c>
      <c r="B10" s="285">
        <v>0</v>
      </c>
      <c r="C10" s="468">
        <v>0</v>
      </c>
      <c r="D10" s="383">
        <v>0</v>
      </c>
      <c r="E10" s="33">
        <f t="shared" si="0"/>
        <v>0</v>
      </c>
      <c r="F10" s="287" t="s">
        <v>120</v>
      </c>
      <c r="G10" s="281">
        <v>0</v>
      </c>
      <c r="H10" s="470">
        <v>0</v>
      </c>
      <c r="I10" s="29">
        <v>0</v>
      </c>
      <c r="J10" s="178">
        <f t="shared" si="1"/>
        <v>0</v>
      </c>
      <c r="K10" s="32" t="s">
        <v>133</v>
      </c>
      <c r="L10" s="33" t="s">
        <v>8</v>
      </c>
      <c r="M10" s="33" t="s">
        <v>8</v>
      </c>
      <c r="N10" s="34" t="s">
        <v>8</v>
      </c>
      <c r="O10" s="33" t="s">
        <v>8</v>
      </c>
      <c r="P10" s="33" t="s">
        <v>8</v>
      </c>
      <c r="Q10" s="34" t="s">
        <v>8</v>
      </c>
      <c r="R10" s="33">
        <v>1</v>
      </c>
      <c r="S10" s="59">
        <v>6</v>
      </c>
      <c r="T10" s="59">
        <v>12</v>
      </c>
      <c r="U10" s="117">
        <v>50</v>
      </c>
      <c r="V10" s="59">
        <v>14</v>
      </c>
      <c r="W10" s="59">
        <v>21</v>
      </c>
      <c r="X10" s="117">
        <f>SUM(V10/W10)*100</f>
        <v>66.666666666666657</v>
      </c>
      <c r="Y10" s="56"/>
      <c r="Z10" s="56"/>
      <c r="AA10" s="260" t="s">
        <v>8</v>
      </c>
      <c r="AB10" s="59" t="s">
        <v>8</v>
      </c>
      <c r="AC10" s="117" t="s">
        <v>8</v>
      </c>
      <c r="AD10" s="260">
        <v>3</v>
      </c>
      <c r="AE10" s="59">
        <v>5</v>
      </c>
      <c r="AF10" s="117">
        <f>SUM(AD10/AE10)*100</f>
        <v>60</v>
      </c>
    </row>
    <row r="11" spans="1:32" ht="14.95" customHeight="1" thickBot="1" x14ac:dyDescent="0.3">
      <c r="A11" s="32" t="s">
        <v>121</v>
      </c>
      <c r="B11" s="285">
        <v>0</v>
      </c>
      <c r="C11" s="468">
        <v>0</v>
      </c>
      <c r="D11" s="383">
        <v>0</v>
      </c>
      <c r="E11" s="33">
        <f t="shared" si="0"/>
        <v>0</v>
      </c>
      <c r="F11" s="287" t="s">
        <v>121</v>
      </c>
      <c r="G11" s="281">
        <v>0</v>
      </c>
      <c r="H11" s="470">
        <v>0</v>
      </c>
      <c r="I11" s="29">
        <v>0</v>
      </c>
      <c r="J11" s="178">
        <f t="shared" si="1"/>
        <v>0</v>
      </c>
      <c r="K11" s="32" t="s">
        <v>136</v>
      </c>
      <c r="L11" s="33">
        <v>0</v>
      </c>
      <c r="M11" s="33">
        <v>1</v>
      </c>
      <c r="N11" s="34">
        <f t="shared" ref="N11" si="5">SUM(L11/M11)*100</f>
        <v>0</v>
      </c>
      <c r="O11" s="33">
        <v>0</v>
      </c>
      <c r="P11" s="33">
        <v>1</v>
      </c>
      <c r="Q11" s="34">
        <f t="shared" ref="Q11" si="6">SUM(O11/P11)*100</f>
        <v>0</v>
      </c>
      <c r="R11" s="33">
        <v>-1</v>
      </c>
      <c r="S11" s="59">
        <v>12</v>
      </c>
      <c r="T11" s="59">
        <v>21</v>
      </c>
      <c r="U11" s="117">
        <v>57.142857142857139</v>
      </c>
      <c r="V11" s="59">
        <v>1</v>
      </c>
      <c r="W11" s="59">
        <v>3</v>
      </c>
      <c r="X11" s="117">
        <f>SUM(V11/W11)*100</f>
        <v>33.333333333333329</v>
      </c>
      <c r="Y11" s="56"/>
      <c r="Z11" s="56"/>
      <c r="AA11" s="260">
        <v>17</v>
      </c>
      <c r="AB11" s="59">
        <v>27</v>
      </c>
      <c r="AC11" s="117">
        <f>SUM(AA11/AB11)*100</f>
        <v>62.962962962962962</v>
      </c>
      <c r="AD11" s="260">
        <v>17</v>
      </c>
      <c r="AE11" s="59">
        <v>24</v>
      </c>
      <c r="AF11" s="117">
        <f>SUM(AD11/AE11)*100</f>
        <v>70.833333333333343</v>
      </c>
    </row>
    <row r="12" spans="1:32" ht="14.95" thickBot="1" x14ac:dyDescent="0.3">
      <c r="A12" s="32" t="s">
        <v>122</v>
      </c>
      <c r="B12" s="285">
        <v>0</v>
      </c>
      <c r="C12" s="468">
        <v>0</v>
      </c>
      <c r="D12" s="383">
        <v>0</v>
      </c>
      <c r="E12" s="33">
        <f t="shared" si="0"/>
        <v>0</v>
      </c>
      <c r="F12" s="287" t="s">
        <v>122</v>
      </c>
      <c r="G12" s="281">
        <v>0</v>
      </c>
      <c r="H12" s="470">
        <v>0</v>
      </c>
      <c r="I12" s="29">
        <v>0</v>
      </c>
      <c r="J12" s="178">
        <f t="shared" si="1"/>
        <v>0</v>
      </c>
      <c r="R12" s="7"/>
      <c r="S12" s="56"/>
      <c r="T12" s="56"/>
      <c r="U12" s="56"/>
      <c r="V12" s="56"/>
      <c r="W12" s="56"/>
    </row>
    <row r="13" spans="1:32" ht="14.95" customHeight="1" thickBot="1" x14ac:dyDescent="0.3">
      <c r="A13" s="32" t="s">
        <v>123</v>
      </c>
      <c r="B13" s="285">
        <v>0</v>
      </c>
      <c r="C13" s="468">
        <v>0</v>
      </c>
      <c r="D13" s="383">
        <v>0</v>
      </c>
      <c r="E13" s="33">
        <f t="shared" si="0"/>
        <v>0</v>
      </c>
      <c r="F13" s="287" t="s">
        <v>123</v>
      </c>
      <c r="G13" s="281">
        <v>0</v>
      </c>
      <c r="H13" s="470">
        <v>0</v>
      </c>
      <c r="I13" s="29">
        <v>0</v>
      </c>
      <c r="J13" s="178">
        <f t="shared" si="1"/>
        <v>0</v>
      </c>
      <c r="K13" s="563" t="s">
        <v>13</v>
      </c>
      <c r="L13" s="502">
        <v>2026</v>
      </c>
      <c r="M13" s="503"/>
      <c r="N13" s="504"/>
      <c r="O13" s="516">
        <v>2025</v>
      </c>
      <c r="P13" s="517"/>
      <c r="Q13" s="518"/>
      <c r="R13" s="516">
        <v>2024</v>
      </c>
      <c r="S13" s="517"/>
      <c r="T13" s="518"/>
      <c r="U13" s="516">
        <v>2023</v>
      </c>
      <c r="V13" s="517"/>
      <c r="W13" s="518"/>
      <c r="X13" s="56"/>
      <c r="Y13" s="56"/>
      <c r="Z13" s="56"/>
      <c r="AA13" s="516">
        <v>2022</v>
      </c>
      <c r="AB13" s="517"/>
      <c r="AC13" s="518"/>
    </row>
    <row r="14" spans="1:32" ht="14.95" thickBot="1" x14ac:dyDescent="0.3">
      <c r="A14" s="32" t="s">
        <v>124</v>
      </c>
      <c r="B14" s="285">
        <v>0</v>
      </c>
      <c r="C14" s="468">
        <v>0</v>
      </c>
      <c r="D14" s="383">
        <v>0</v>
      </c>
      <c r="E14" s="33">
        <f t="shared" si="0"/>
        <v>0</v>
      </c>
      <c r="F14" s="287" t="s">
        <v>124</v>
      </c>
      <c r="G14" s="281">
        <v>0</v>
      </c>
      <c r="H14" s="470">
        <v>0</v>
      </c>
      <c r="I14" s="29">
        <v>0</v>
      </c>
      <c r="J14" s="178">
        <f t="shared" si="1"/>
        <v>0</v>
      </c>
      <c r="K14" s="564"/>
      <c r="L14" s="505"/>
      <c r="M14" s="506"/>
      <c r="N14" s="507"/>
      <c r="O14" s="519"/>
      <c r="P14" s="520"/>
      <c r="Q14" s="521"/>
      <c r="R14" s="519"/>
      <c r="S14" s="520"/>
      <c r="T14" s="521"/>
      <c r="U14" s="519"/>
      <c r="V14" s="520"/>
      <c r="W14" s="521"/>
      <c r="X14" s="56"/>
      <c r="Y14" s="56"/>
      <c r="Z14" s="56"/>
      <c r="AA14" s="519"/>
      <c r="AB14" s="520"/>
      <c r="AC14" s="521"/>
    </row>
    <row r="15" spans="1:32" ht="14.95" customHeight="1" thickBot="1" x14ac:dyDescent="0.3">
      <c r="A15" s="32" t="s">
        <v>125</v>
      </c>
      <c r="B15" s="285">
        <v>0</v>
      </c>
      <c r="C15" s="468">
        <v>0</v>
      </c>
      <c r="D15" s="383">
        <v>0</v>
      </c>
      <c r="E15" s="33">
        <f t="shared" si="0"/>
        <v>0</v>
      </c>
      <c r="F15" s="287" t="s">
        <v>125</v>
      </c>
      <c r="G15" s="281">
        <v>0</v>
      </c>
      <c r="H15" s="470">
        <v>0</v>
      </c>
      <c r="I15" s="29">
        <v>0</v>
      </c>
      <c r="J15" s="178">
        <f t="shared" si="1"/>
        <v>0</v>
      </c>
      <c r="K15" s="277"/>
      <c r="L15" s="1" t="s">
        <v>17</v>
      </c>
      <c r="M15" s="1" t="s">
        <v>5</v>
      </c>
      <c r="N15" s="1" t="s">
        <v>6</v>
      </c>
      <c r="O15" s="59" t="s">
        <v>17</v>
      </c>
      <c r="P15" s="59" t="s">
        <v>5</v>
      </c>
      <c r="Q15" s="59" t="s">
        <v>6</v>
      </c>
      <c r="R15" s="59" t="s">
        <v>17</v>
      </c>
      <c r="S15" s="59" t="s">
        <v>5</v>
      </c>
      <c r="T15" s="59" t="s">
        <v>6</v>
      </c>
      <c r="U15" s="59" t="s">
        <v>17</v>
      </c>
      <c r="V15" s="59" t="s">
        <v>5</v>
      </c>
      <c r="W15" s="59" t="s">
        <v>6</v>
      </c>
      <c r="X15" s="56"/>
      <c r="Y15" s="58"/>
      <c r="Z15" s="58"/>
      <c r="AA15" s="260" t="s">
        <v>17</v>
      </c>
      <c r="AB15" s="59" t="s">
        <v>5</v>
      </c>
      <c r="AC15" s="59" t="s">
        <v>6</v>
      </c>
    </row>
    <row r="16" spans="1:32" ht="14.95" customHeight="1" thickBot="1" x14ac:dyDescent="0.3">
      <c r="A16" s="32" t="s">
        <v>126</v>
      </c>
      <c r="B16" s="285">
        <v>0</v>
      </c>
      <c r="C16" s="468">
        <v>0</v>
      </c>
      <c r="D16" s="383">
        <v>0</v>
      </c>
      <c r="E16" s="33">
        <f t="shared" si="0"/>
        <v>0</v>
      </c>
      <c r="F16" s="287" t="s">
        <v>126</v>
      </c>
      <c r="G16" s="281">
        <v>0</v>
      </c>
      <c r="H16" s="470">
        <v>0</v>
      </c>
      <c r="I16" s="29">
        <v>0</v>
      </c>
      <c r="J16" s="178">
        <f t="shared" si="1"/>
        <v>0</v>
      </c>
      <c r="K16" s="32" t="s">
        <v>976</v>
      </c>
      <c r="L16" s="33">
        <v>0</v>
      </c>
      <c r="M16" s="33">
        <v>3</v>
      </c>
      <c r="N16" s="34">
        <f t="shared" ref="N16" si="7">SUM(L16/M16)*100</f>
        <v>0</v>
      </c>
      <c r="O16" s="59" t="s">
        <v>8</v>
      </c>
      <c r="P16" s="59" t="s">
        <v>8</v>
      </c>
      <c r="Q16" s="59" t="s">
        <v>8</v>
      </c>
      <c r="R16" s="59" t="s">
        <v>8</v>
      </c>
      <c r="S16" s="59" t="s">
        <v>8</v>
      </c>
      <c r="T16" s="59" t="s">
        <v>8</v>
      </c>
      <c r="U16" s="59" t="s">
        <v>8</v>
      </c>
      <c r="V16" s="59" t="s">
        <v>8</v>
      </c>
      <c r="W16" s="117" t="s">
        <v>8</v>
      </c>
      <c r="X16" s="56"/>
      <c r="Y16" s="58"/>
      <c r="Z16" s="58"/>
      <c r="AA16" s="260" t="s">
        <v>8</v>
      </c>
      <c r="AB16" s="59" t="s">
        <v>8</v>
      </c>
      <c r="AC16" s="117" t="s">
        <v>8</v>
      </c>
    </row>
    <row r="17" spans="1:29" ht="14.95" customHeight="1" thickBot="1" x14ac:dyDescent="0.3">
      <c r="A17" s="32" t="s">
        <v>127</v>
      </c>
      <c r="B17" s="285">
        <v>0</v>
      </c>
      <c r="C17" s="468">
        <v>0</v>
      </c>
      <c r="D17" s="383">
        <v>0</v>
      </c>
      <c r="E17" s="33">
        <f t="shared" si="0"/>
        <v>0</v>
      </c>
      <c r="F17" s="287" t="s">
        <v>127</v>
      </c>
      <c r="G17" s="281">
        <v>0</v>
      </c>
      <c r="H17" s="470">
        <v>0</v>
      </c>
      <c r="I17" s="29">
        <v>0</v>
      </c>
      <c r="J17" s="178">
        <f t="shared" si="1"/>
        <v>0</v>
      </c>
      <c r="K17" s="32" t="s">
        <v>209</v>
      </c>
      <c r="L17" s="33" t="s">
        <v>8</v>
      </c>
      <c r="M17" s="33" t="s">
        <v>8</v>
      </c>
      <c r="N17" s="34" t="s">
        <v>8</v>
      </c>
      <c r="O17" s="59" t="s">
        <v>8</v>
      </c>
      <c r="P17" s="59" t="s">
        <v>8</v>
      </c>
      <c r="Q17" s="59" t="s">
        <v>8</v>
      </c>
      <c r="R17" s="59">
        <v>0</v>
      </c>
      <c r="S17" s="59">
        <v>1</v>
      </c>
      <c r="T17" s="59">
        <f>SUM(R17/S17)*100</f>
        <v>0</v>
      </c>
      <c r="U17" s="59" t="s">
        <v>8</v>
      </c>
      <c r="V17" s="59" t="s">
        <v>8</v>
      </c>
      <c r="W17" s="117" t="s">
        <v>8</v>
      </c>
      <c r="X17" s="56"/>
      <c r="Y17" s="58"/>
      <c r="Z17" s="58"/>
      <c r="AA17" s="260" t="s">
        <v>8</v>
      </c>
      <c r="AB17" s="59" t="s">
        <v>8</v>
      </c>
      <c r="AC17" s="117" t="s">
        <v>8</v>
      </c>
    </row>
    <row r="18" spans="1:29" ht="14.95" customHeight="1" thickBot="1" x14ac:dyDescent="0.3">
      <c r="A18" s="32" t="s">
        <v>886</v>
      </c>
      <c r="B18" s="285">
        <v>0</v>
      </c>
      <c r="C18" s="468">
        <v>0</v>
      </c>
      <c r="D18" s="383">
        <v>0</v>
      </c>
      <c r="E18" s="33">
        <f t="shared" si="0"/>
        <v>0</v>
      </c>
      <c r="F18" s="287" t="s">
        <v>886</v>
      </c>
      <c r="G18" s="281">
        <v>0</v>
      </c>
      <c r="H18" s="470">
        <v>0</v>
      </c>
      <c r="I18" s="29">
        <v>0</v>
      </c>
      <c r="J18" s="178">
        <f t="shared" si="1"/>
        <v>0</v>
      </c>
      <c r="K18" s="32" t="s">
        <v>1023</v>
      </c>
      <c r="L18" s="33">
        <v>1</v>
      </c>
      <c r="M18" s="33">
        <v>1</v>
      </c>
      <c r="N18" s="34">
        <f t="shared" ref="N18" si="8">SUM(L18/M18)*100</f>
        <v>100</v>
      </c>
      <c r="O18" s="59" t="s">
        <v>8</v>
      </c>
      <c r="P18" s="59" t="s">
        <v>8</v>
      </c>
      <c r="Q18" s="59" t="s">
        <v>8</v>
      </c>
      <c r="R18" s="59" t="s">
        <v>8</v>
      </c>
      <c r="S18" s="59" t="s">
        <v>8</v>
      </c>
      <c r="T18" s="59" t="s">
        <v>8</v>
      </c>
      <c r="U18" s="59" t="s">
        <v>8</v>
      </c>
      <c r="V18" s="59" t="s">
        <v>8</v>
      </c>
      <c r="W18" s="59" t="s">
        <v>8</v>
      </c>
      <c r="X18" s="56"/>
      <c r="Y18" s="58"/>
      <c r="Z18" s="58"/>
      <c r="AA18" s="185" t="s">
        <v>8</v>
      </c>
      <c r="AB18" s="59" t="s">
        <v>8</v>
      </c>
      <c r="AC18" s="59" t="s">
        <v>8</v>
      </c>
    </row>
    <row r="19" spans="1:29" ht="14.95" thickBot="1" x14ac:dyDescent="0.3">
      <c r="A19" s="32" t="s">
        <v>128</v>
      </c>
      <c r="B19" s="285">
        <v>1</v>
      </c>
      <c r="C19" s="468">
        <v>0</v>
      </c>
      <c r="D19" s="383">
        <v>0</v>
      </c>
      <c r="E19" s="33">
        <f t="shared" si="0"/>
        <v>1</v>
      </c>
      <c r="F19" s="287" t="s">
        <v>128</v>
      </c>
      <c r="G19" s="281">
        <v>5</v>
      </c>
      <c r="H19" s="470">
        <v>0</v>
      </c>
      <c r="I19" s="29">
        <v>0</v>
      </c>
      <c r="J19" s="178">
        <f t="shared" si="1"/>
        <v>5</v>
      </c>
      <c r="K19" s="32" t="s">
        <v>133</v>
      </c>
      <c r="L19" s="33" t="s">
        <v>8</v>
      </c>
      <c r="M19" s="33" t="s">
        <v>8</v>
      </c>
      <c r="N19" s="34" t="s">
        <v>8</v>
      </c>
      <c r="O19" s="59">
        <v>1</v>
      </c>
      <c r="P19" s="59">
        <v>5</v>
      </c>
      <c r="Q19" s="117">
        <v>20</v>
      </c>
      <c r="R19" s="59">
        <v>9</v>
      </c>
      <c r="S19" s="59">
        <v>13</v>
      </c>
      <c r="T19" s="117">
        <f>SUM(R19/S19)*100</f>
        <v>69.230769230769226</v>
      </c>
      <c r="U19" s="59" t="s">
        <v>8</v>
      </c>
      <c r="V19" s="59" t="s">
        <v>8</v>
      </c>
      <c r="W19" s="117" t="s">
        <v>8</v>
      </c>
      <c r="X19" s="56"/>
      <c r="Y19" s="56"/>
      <c r="Z19" s="56"/>
      <c r="AA19" s="260">
        <v>1</v>
      </c>
      <c r="AB19" s="59">
        <v>2</v>
      </c>
      <c r="AC19" s="117">
        <f>SUM(AA19/AB19)*100</f>
        <v>50</v>
      </c>
    </row>
    <row r="20" spans="1:29" ht="14.95" thickBot="1" x14ac:dyDescent="0.3">
      <c r="A20" s="32" t="s">
        <v>973</v>
      </c>
      <c r="B20" s="285">
        <v>0</v>
      </c>
      <c r="C20" s="468">
        <v>0</v>
      </c>
      <c r="D20" s="383">
        <v>0</v>
      </c>
      <c r="E20" s="33">
        <f t="shared" si="0"/>
        <v>0</v>
      </c>
      <c r="F20" s="287" t="s">
        <v>973</v>
      </c>
      <c r="G20" s="281">
        <v>0</v>
      </c>
      <c r="H20" s="470">
        <v>0</v>
      </c>
      <c r="I20" s="29">
        <v>0</v>
      </c>
      <c r="J20" s="178">
        <f t="shared" si="1"/>
        <v>0</v>
      </c>
      <c r="K20" s="32" t="s">
        <v>136</v>
      </c>
      <c r="L20" s="33">
        <v>0</v>
      </c>
      <c r="M20" s="33">
        <v>1</v>
      </c>
      <c r="N20" s="34">
        <f t="shared" ref="N20" si="9">SUM(L20/M20)*100</f>
        <v>0</v>
      </c>
      <c r="O20" s="59">
        <v>9</v>
      </c>
      <c r="P20" s="59">
        <v>14</v>
      </c>
      <c r="Q20" s="117">
        <v>64.285714285714292</v>
      </c>
      <c r="R20" s="59" t="s">
        <v>8</v>
      </c>
      <c r="S20" s="59" t="s">
        <v>8</v>
      </c>
      <c r="T20" s="117" t="s">
        <v>8</v>
      </c>
      <c r="U20" s="59">
        <v>10</v>
      </c>
      <c r="V20" s="59">
        <v>12</v>
      </c>
      <c r="W20" s="117">
        <v>100</v>
      </c>
      <c r="X20" s="56"/>
      <c r="Y20" s="56"/>
      <c r="Z20" s="56"/>
      <c r="AA20" s="260">
        <v>8</v>
      </c>
      <c r="AB20" s="59">
        <v>8</v>
      </c>
      <c r="AC20" s="117">
        <f>SUM(AA20/AB20)*100</f>
        <v>100</v>
      </c>
    </row>
    <row r="21" spans="1:29" ht="14.95" thickBot="1" x14ac:dyDescent="0.3">
      <c r="A21" s="32" t="s">
        <v>129</v>
      </c>
      <c r="B21" s="285">
        <v>0</v>
      </c>
      <c r="C21" s="468">
        <v>0</v>
      </c>
      <c r="D21" s="383">
        <v>0</v>
      </c>
      <c r="E21" s="33">
        <f t="shared" si="0"/>
        <v>0</v>
      </c>
      <c r="F21" s="287" t="s">
        <v>129</v>
      </c>
      <c r="G21" s="281">
        <v>0</v>
      </c>
      <c r="H21" s="470">
        <v>0</v>
      </c>
      <c r="I21" s="29">
        <v>0</v>
      </c>
      <c r="J21" s="178">
        <f t="shared" si="1"/>
        <v>0</v>
      </c>
      <c r="N21" s="7"/>
      <c r="O21" s="56"/>
      <c r="P21" s="56"/>
      <c r="Q21" s="56"/>
      <c r="R21" s="56"/>
      <c r="S21" s="56"/>
      <c r="T21" s="56"/>
    </row>
    <row r="22" spans="1:29" ht="14.95" thickBot="1" x14ac:dyDescent="0.3">
      <c r="A22" s="32" t="s">
        <v>130</v>
      </c>
      <c r="B22" s="285">
        <v>0</v>
      </c>
      <c r="C22" s="468">
        <v>0</v>
      </c>
      <c r="D22" s="383">
        <v>0</v>
      </c>
      <c r="E22" s="33">
        <f t="shared" si="0"/>
        <v>0</v>
      </c>
      <c r="F22" s="287" t="s">
        <v>130</v>
      </c>
      <c r="G22" s="281">
        <v>0</v>
      </c>
      <c r="H22" s="470">
        <v>0</v>
      </c>
      <c r="I22" s="29">
        <v>0</v>
      </c>
      <c r="J22" s="178">
        <f t="shared" si="1"/>
        <v>0</v>
      </c>
      <c r="K22" s="528" t="s">
        <v>345</v>
      </c>
      <c r="L22" s="516">
        <v>2025</v>
      </c>
      <c r="M22" s="517"/>
      <c r="N22" s="518"/>
      <c r="O22" s="516">
        <v>2022</v>
      </c>
      <c r="P22" s="517"/>
      <c r="Q22" s="518"/>
      <c r="R22" s="56"/>
      <c r="S22" s="56"/>
      <c r="T22" s="56"/>
      <c r="U22" s="56"/>
      <c r="V22" s="56"/>
      <c r="W22" s="56"/>
    </row>
    <row r="23" spans="1:29" ht="14.95" customHeight="1" thickBot="1" x14ac:dyDescent="0.3">
      <c r="A23" s="32" t="s">
        <v>131</v>
      </c>
      <c r="B23" s="285">
        <v>0</v>
      </c>
      <c r="C23" s="468">
        <v>0</v>
      </c>
      <c r="D23" s="383">
        <v>0</v>
      </c>
      <c r="E23" s="33">
        <f t="shared" si="0"/>
        <v>0</v>
      </c>
      <c r="F23" s="287" t="s">
        <v>131</v>
      </c>
      <c r="G23" s="281">
        <v>0</v>
      </c>
      <c r="H23" s="470">
        <v>0</v>
      </c>
      <c r="I23" s="29">
        <v>0</v>
      </c>
      <c r="J23" s="178">
        <f t="shared" si="1"/>
        <v>0</v>
      </c>
      <c r="K23" s="529"/>
      <c r="L23" s="519"/>
      <c r="M23" s="520"/>
      <c r="N23" s="521"/>
      <c r="O23" s="519"/>
      <c r="P23" s="520"/>
      <c r="Q23" s="521"/>
      <c r="R23" s="56"/>
      <c r="S23" s="56"/>
      <c r="T23" s="56"/>
      <c r="U23" s="56"/>
      <c r="V23" s="56"/>
      <c r="W23" s="56"/>
    </row>
    <row r="24" spans="1:29" ht="14.95" thickBot="1" x14ac:dyDescent="0.3">
      <c r="A24" s="32" t="s">
        <v>942</v>
      </c>
      <c r="B24" s="285">
        <v>1</v>
      </c>
      <c r="C24" s="468">
        <v>0</v>
      </c>
      <c r="D24" s="383">
        <v>0</v>
      </c>
      <c r="E24" s="33">
        <f t="shared" si="0"/>
        <v>1</v>
      </c>
      <c r="F24" s="287" t="s">
        <v>942</v>
      </c>
      <c r="G24" s="281">
        <v>5</v>
      </c>
      <c r="H24" s="470">
        <v>0</v>
      </c>
      <c r="I24" s="29">
        <v>0</v>
      </c>
      <c r="J24" s="178">
        <f t="shared" si="1"/>
        <v>5</v>
      </c>
      <c r="K24" s="300"/>
      <c r="L24" s="59" t="s">
        <v>17</v>
      </c>
      <c r="M24" s="59" t="s">
        <v>5</v>
      </c>
      <c r="N24" s="59" t="s">
        <v>6</v>
      </c>
      <c r="O24" s="59" t="s">
        <v>17</v>
      </c>
      <c r="P24" s="59" t="s">
        <v>5</v>
      </c>
      <c r="Q24" s="59" t="s">
        <v>6</v>
      </c>
      <c r="V24" s="56"/>
      <c r="W24" s="56"/>
    </row>
    <row r="25" spans="1:29" ht="14.95" thickBot="1" x14ac:dyDescent="0.3">
      <c r="A25" s="32" t="s">
        <v>132</v>
      </c>
      <c r="B25" s="285">
        <v>0</v>
      </c>
      <c r="C25" s="468">
        <v>0</v>
      </c>
      <c r="D25" s="383">
        <v>0</v>
      </c>
      <c r="E25" s="33">
        <f t="shared" si="0"/>
        <v>0</v>
      </c>
      <c r="F25" s="287" t="s">
        <v>132</v>
      </c>
      <c r="G25" s="281">
        <v>0</v>
      </c>
      <c r="H25" s="470">
        <v>0</v>
      </c>
      <c r="I25" s="29">
        <v>0</v>
      </c>
      <c r="J25" s="178">
        <f t="shared" si="1"/>
        <v>0</v>
      </c>
      <c r="K25" s="32" t="s">
        <v>978</v>
      </c>
      <c r="L25" s="59">
        <v>1</v>
      </c>
      <c r="M25" s="59">
        <v>7</v>
      </c>
      <c r="N25" s="117">
        <f t="shared" ref="N25" si="10">SUM(L25/M25)*100</f>
        <v>14.285714285714285</v>
      </c>
      <c r="O25" s="59" t="s">
        <v>8</v>
      </c>
      <c r="P25" s="59" t="s">
        <v>8</v>
      </c>
      <c r="Q25" s="117" t="s">
        <v>8</v>
      </c>
      <c r="V25" s="56"/>
      <c r="W25" s="56"/>
    </row>
    <row r="26" spans="1:29" ht="14.95" thickBot="1" x14ac:dyDescent="0.3">
      <c r="A26" s="32" t="s">
        <v>549</v>
      </c>
      <c r="B26" s="285">
        <v>0</v>
      </c>
      <c r="C26" s="468">
        <v>0</v>
      </c>
      <c r="D26" s="383">
        <v>0</v>
      </c>
      <c r="E26" s="33">
        <f t="shared" si="0"/>
        <v>0</v>
      </c>
      <c r="F26" s="287" t="s">
        <v>549</v>
      </c>
      <c r="G26" s="281">
        <v>0</v>
      </c>
      <c r="H26" s="470">
        <v>0</v>
      </c>
      <c r="I26" s="29">
        <v>0</v>
      </c>
      <c r="J26" s="178">
        <f t="shared" si="1"/>
        <v>0</v>
      </c>
      <c r="K26" s="32" t="s">
        <v>127</v>
      </c>
      <c r="L26" s="59">
        <v>1</v>
      </c>
      <c r="M26" s="59">
        <v>5</v>
      </c>
      <c r="N26" s="59">
        <f t="shared" ref="N26" si="11">SUM(L26/M26)*100</f>
        <v>20</v>
      </c>
      <c r="O26" s="59" t="s">
        <v>8</v>
      </c>
      <c r="P26" s="59" t="s">
        <v>8</v>
      </c>
      <c r="Q26" s="117" t="s">
        <v>8</v>
      </c>
      <c r="V26" s="56"/>
      <c r="W26" s="56"/>
    </row>
    <row r="27" spans="1:29" ht="14.95" thickBot="1" x14ac:dyDescent="0.3">
      <c r="A27" s="32" t="s">
        <v>133</v>
      </c>
      <c r="B27" s="285">
        <v>0</v>
      </c>
      <c r="C27" s="468">
        <v>0</v>
      </c>
      <c r="D27" s="383">
        <v>0</v>
      </c>
      <c r="E27" s="33">
        <f t="shared" si="0"/>
        <v>0</v>
      </c>
      <c r="F27" s="287" t="s">
        <v>133</v>
      </c>
      <c r="G27" s="281">
        <v>0</v>
      </c>
      <c r="H27" s="470">
        <v>0</v>
      </c>
      <c r="I27" s="29">
        <v>0</v>
      </c>
      <c r="J27" s="178">
        <f t="shared" si="1"/>
        <v>0</v>
      </c>
      <c r="K27" s="32" t="s">
        <v>133</v>
      </c>
      <c r="L27" s="59">
        <v>1</v>
      </c>
      <c r="M27" s="59">
        <v>2</v>
      </c>
      <c r="N27" s="117">
        <f t="shared" ref="N27:N28" si="12">SUM(L27/M27)*100</f>
        <v>50</v>
      </c>
      <c r="O27" s="59" t="s">
        <v>8</v>
      </c>
      <c r="P27" s="59" t="s">
        <v>8</v>
      </c>
      <c r="Q27" s="117" t="s">
        <v>8</v>
      </c>
      <c r="V27" s="56"/>
      <c r="W27" s="56"/>
    </row>
    <row r="28" spans="1:29" ht="14.95" thickBot="1" x14ac:dyDescent="0.3">
      <c r="A28" s="32" t="s">
        <v>134</v>
      </c>
      <c r="B28" s="285">
        <v>0</v>
      </c>
      <c r="C28" s="468">
        <v>0</v>
      </c>
      <c r="D28" s="383">
        <v>0</v>
      </c>
      <c r="E28" s="33">
        <f t="shared" si="0"/>
        <v>0</v>
      </c>
      <c r="F28" s="287" t="s">
        <v>134</v>
      </c>
      <c r="G28" s="281">
        <v>0</v>
      </c>
      <c r="H28" s="470">
        <v>0</v>
      </c>
      <c r="I28" s="29">
        <v>0</v>
      </c>
      <c r="J28" s="178">
        <f t="shared" si="1"/>
        <v>0</v>
      </c>
      <c r="K28" s="32" t="s">
        <v>136</v>
      </c>
      <c r="L28" s="59">
        <v>1</v>
      </c>
      <c r="M28" s="59">
        <v>2</v>
      </c>
      <c r="N28" s="117">
        <f t="shared" si="12"/>
        <v>50</v>
      </c>
      <c r="O28" s="59">
        <v>7</v>
      </c>
      <c r="P28" s="59">
        <v>12</v>
      </c>
      <c r="Q28" s="117">
        <v>58</v>
      </c>
      <c r="V28" s="56"/>
      <c r="W28" s="56"/>
    </row>
    <row r="29" spans="1:29" ht="14.95" thickBot="1" x14ac:dyDescent="0.3">
      <c r="A29" s="32" t="s">
        <v>135</v>
      </c>
      <c r="B29" s="285">
        <v>0</v>
      </c>
      <c r="C29" s="468">
        <v>0</v>
      </c>
      <c r="D29" s="383">
        <v>0</v>
      </c>
      <c r="E29" s="33">
        <f t="shared" si="0"/>
        <v>0</v>
      </c>
      <c r="F29" s="287" t="s">
        <v>135</v>
      </c>
      <c r="G29" s="281">
        <v>0</v>
      </c>
      <c r="H29" s="470">
        <v>0</v>
      </c>
      <c r="I29" s="29">
        <v>0</v>
      </c>
      <c r="J29" s="178">
        <f t="shared" si="1"/>
        <v>0</v>
      </c>
    </row>
    <row r="30" spans="1:29" ht="14.95" thickBot="1" x14ac:dyDescent="0.3">
      <c r="A30" s="32" t="s">
        <v>723</v>
      </c>
      <c r="B30" s="285">
        <v>0</v>
      </c>
      <c r="C30" s="468">
        <v>0</v>
      </c>
      <c r="D30" s="383">
        <v>0</v>
      </c>
      <c r="E30" s="33">
        <f t="shared" si="0"/>
        <v>0</v>
      </c>
      <c r="F30" s="287" t="s">
        <v>723</v>
      </c>
      <c r="G30" s="281">
        <v>0</v>
      </c>
      <c r="H30" s="470">
        <v>0</v>
      </c>
      <c r="I30" s="29">
        <v>0</v>
      </c>
      <c r="J30" s="178">
        <f t="shared" si="1"/>
        <v>0</v>
      </c>
      <c r="K30" s="546" t="s">
        <v>500</v>
      </c>
      <c r="L30" s="530">
        <v>2026</v>
      </c>
      <c r="M30" s="531"/>
      <c r="N30" s="532"/>
      <c r="O30" s="516">
        <v>2024</v>
      </c>
      <c r="P30" s="517"/>
      <c r="Q30" s="518"/>
      <c r="R30" s="516">
        <v>2023</v>
      </c>
      <c r="S30" s="517"/>
      <c r="T30" s="518"/>
    </row>
    <row r="31" spans="1:29" ht="14.95" thickBot="1" x14ac:dyDescent="0.3">
      <c r="A31" s="32" t="s">
        <v>136</v>
      </c>
      <c r="B31" s="285">
        <v>0</v>
      </c>
      <c r="C31" s="468">
        <v>0</v>
      </c>
      <c r="D31" s="383">
        <v>0</v>
      </c>
      <c r="E31" s="33">
        <f t="shared" si="0"/>
        <v>0</v>
      </c>
      <c r="F31" s="287" t="s">
        <v>136</v>
      </c>
      <c r="G31" s="281">
        <v>0</v>
      </c>
      <c r="H31" s="470">
        <v>0</v>
      </c>
      <c r="I31" s="29">
        <v>0</v>
      </c>
      <c r="J31" s="178">
        <f t="shared" si="1"/>
        <v>0</v>
      </c>
      <c r="K31" s="547"/>
      <c r="L31" s="533"/>
      <c r="M31" s="534"/>
      <c r="N31" s="535"/>
      <c r="O31" s="519"/>
      <c r="P31" s="520"/>
      <c r="Q31" s="521"/>
      <c r="R31" s="519"/>
      <c r="S31" s="520"/>
      <c r="T31" s="521"/>
    </row>
    <row r="32" spans="1:29" ht="14.95" thickBot="1" x14ac:dyDescent="0.3">
      <c r="A32" s="32" t="s">
        <v>137</v>
      </c>
      <c r="B32" s="285">
        <v>0</v>
      </c>
      <c r="C32" s="468">
        <v>0</v>
      </c>
      <c r="D32" s="383">
        <v>0</v>
      </c>
      <c r="E32" s="33">
        <f t="shared" si="0"/>
        <v>0</v>
      </c>
      <c r="F32" s="287" t="s">
        <v>137</v>
      </c>
      <c r="G32" s="281">
        <v>0</v>
      </c>
      <c r="H32" s="470">
        <v>0</v>
      </c>
      <c r="I32" s="29">
        <v>0</v>
      </c>
      <c r="J32" s="178">
        <f t="shared" si="1"/>
        <v>0</v>
      </c>
      <c r="K32" s="221"/>
      <c r="L32" s="29" t="s">
        <v>17</v>
      </c>
      <c r="M32" s="29" t="s">
        <v>5</v>
      </c>
      <c r="N32" s="29" t="s">
        <v>6</v>
      </c>
      <c r="O32" s="59" t="s">
        <v>17</v>
      </c>
      <c r="P32" s="59" t="s">
        <v>5</v>
      </c>
      <c r="Q32" s="59" t="s">
        <v>6</v>
      </c>
      <c r="R32" s="59" t="s">
        <v>17</v>
      </c>
      <c r="S32" s="59" t="s">
        <v>5</v>
      </c>
      <c r="T32" s="59" t="s">
        <v>6</v>
      </c>
    </row>
    <row r="33" spans="1:20" ht="14.95" thickBot="1" x14ac:dyDescent="0.3">
      <c r="A33" s="32" t="s">
        <v>138</v>
      </c>
      <c r="B33" s="285">
        <v>0</v>
      </c>
      <c r="C33" s="468">
        <v>0</v>
      </c>
      <c r="D33" s="383">
        <v>0</v>
      </c>
      <c r="E33" s="33">
        <f t="shared" si="0"/>
        <v>0</v>
      </c>
      <c r="F33" s="287" t="s">
        <v>138</v>
      </c>
      <c r="G33" s="281">
        <v>0</v>
      </c>
      <c r="H33" s="470">
        <v>0</v>
      </c>
      <c r="I33" s="29">
        <v>0</v>
      </c>
      <c r="J33" s="178">
        <f t="shared" si="1"/>
        <v>0</v>
      </c>
      <c r="K33" s="32" t="s">
        <v>209</v>
      </c>
      <c r="L33" s="33" t="s">
        <v>8</v>
      </c>
      <c r="M33" s="33" t="s">
        <v>8</v>
      </c>
      <c r="N33" s="34" t="s">
        <v>8</v>
      </c>
      <c r="O33" s="59" t="s">
        <v>8</v>
      </c>
      <c r="P33" s="59" t="s">
        <v>8</v>
      </c>
      <c r="Q33" s="117" t="s">
        <v>8</v>
      </c>
      <c r="R33" s="59">
        <v>5</v>
      </c>
      <c r="S33" s="59">
        <v>6</v>
      </c>
      <c r="T33" s="117">
        <f>SUM(R33/S33)*100</f>
        <v>83.333333333333343</v>
      </c>
    </row>
    <row r="34" spans="1:20" ht="14.95" thickBot="1" x14ac:dyDescent="0.3">
      <c r="A34" s="32" t="s">
        <v>141</v>
      </c>
      <c r="B34" s="285">
        <v>0</v>
      </c>
      <c r="C34" s="468">
        <v>0</v>
      </c>
      <c r="D34" s="383">
        <v>0</v>
      </c>
      <c r="E34" s="33">
        <f t="shared" si="0"/>
        <v>0</v>
      </c>
      <c r="F34" s="287" t="s">
        <v>141</v>
      </c>
      <c r="G34" s="281">
        <v>0</v>
      </c>
      <c r="H34" s="470">
        <v>0</v>
      </c>
      <c r="I34" s="29">
        <v>0</v>
      </c>
      <c r="J34" s="178">
        <f t="shared" si="1"/>
        <v>0</v>
      </c>
      <c r="K34" s="32" t="s">
        <v>133</v>
      </c>
      <c r="L34" s="33" t="s">
        <v>8</v>
      </c>
      <c r="M34" s="33" t="s">
        <v>8</v>
      </c>
      <c r="N34" s="34" t="s">
        <v>8</v>
      </c>
      <c r="O34" s="59">
        <v>3</v>
      </c>
      <c r="P34" s="59">
        <v>4</v>
      </c>
      <c r="Q34" s="117">
        <v>75</v>
      </c>
      <c r="R34" s="59">
        <v>6</v>
      </c>
      <c r="S34" s="59">
        <v>10</v>
      </c>
      <c r="T34" s="117">
        <f>SUM(R34/S34)*100</f>
        <v>60</v>
      </c>
    </row>
    <row r="35" spans="1:20" ht="14.95" thickBot="1" x14ac:dyDescent="0.3">
      <c r="A35" s="32" t="s">
        <v>139</v>
      </c>
      <c r="B35" s="285">
        <v>0</v>
      </c>
      <c r="C35" s="468">
        <v>0</v>
      </c>
      <c r="D35" s="383">
        <v>0</v>
      </c>
      <c r="E35" s="33">
        <f t="shared" si="0"/>
        <v>0</v>
      </c>
      <c r="F35" s="287" t="s">
        <v>139</v>
      </c>
      <c r="G35" s="281">
        <v>0</v>
      </c>
      <c r="H35" s="470">
        <v>0</v>
      </c>
      <c r="I35" s="29">
        <v>0</v>
      </c>
      <c r="J35" s="178">
        <f t="shared" si="1"/>
        <v>0</v>
      </c>
      <c r="K35" s="32" t="s">
        <v>136</v>
      </c>
      <c r="L35" s="33" t="s">
        <v>8</v>
      </c>
      <c r="M35" s="33" t="s">
        <v>8</v>
      </c>
      <c r="N35" s="34" t="s">
        <v>8</v>
      </c>
      <c r="O35" s="59">
        <v>1</v>
      </c>
      <c r="P35" s="59">
        <v>3</v>
      </c>
      <c r="Q35" s="117">
        <v>33.333333333333329</v>
      </c>
      <c r="R35" s="59">
        <v>6</v>
      </c>
      <c r="S35" s="59">
        <v>10</v>
      </c>
      <c r="T35" s="117">
        <f>SUM(R35/S35)*100</f>
        <v>60</v>
      </c>
    </row>
    <row r="36" spans="1:20" ht="14.95" thickBot="1" x14ac:dyDescent="0.3">
      <c r="A36" s="32" t="s">
        <v>140</v>
      </c>
      <c r="B36" s="285">
        <v>0</v>
      </c>
      <c r="C36" s="468">
        <v>0</v>
      </c>
      <c r="D36" s="383">
        <v>0</v>
      </c>
      <c r="E36" s="33">
        <f t="shared" si="0"/>
        <v>0</v>
      </c>
      <c r="F36" s="287" t="s">
        <v>140</v>
      </c>
      <c r="G36" s="281">
        <v>0</v>
      </c>
      <c r="H36" s="470">
        <v>0</v>
      </c>
      <c r="I36" s="29">
        <v>0</v>
      </c>
      <c r="J36" s="178">
        <f t="shared" si="1"/>
        <v>0</v>
      </c>
      <c r="O36" s="27"/>
      <c r="P36" s="27"/>
      <c r="Q36" s="28"/>
      <c r="R36" s="6"/>
    </row>
    <row r="37" spans="1:20" ht="14.95" thickBot="1" x14ac:dyDescent="0.3">
      <c r="A37" s="32" t="s">
        <v>142</v>
      </c>
      <c r="B37" s="285">
        <v>1</v>
      </c>
      <c r="C37" s="468">
        <v>0</v>
      </c>
      <c r="D37" s="383">
        <v>0</v>
      </c>
      <c r="E37" s="33">
        <f t="shared" si="0"/>
        <v>1</v>
      </c>
      <c r="F37" s="287" t="s">
        <v>142</v>
      </c>
      <c r="G37" s="281">
        <v>5</v>
      </c>
      <c r="H37" s="470">
        <v>0</v>
      </c>
      <c r="I37" s="29">
        <v>0</v>
      </c>
      <c r="J37" s="178">
        <f t="shared" si="1"/>
        <v>5</v>
      </c>
      <c r="O37" s="27"/>
      <c r="P37" s="27"/>
      <c r="Q37" s="28"/>
      <c r="R37" s="6"/>
    </row>
    <row r="38" spans="1:20" ht="14.95" thickBot="1" x14ac:dyDescent="0.3">
      <c r="A38" s="32" t="s">
        <v>143</v>
      </c>
      <c r="B38" s="285">
        <v>0</v>
      </c>
      <c r="C38" s="468">
        <v>0</v>
      </c>
      <c r="D38" s="383">
        <v>0</v>
      </c>
      <c r="E38" s="33">
        <f t="shared" si="0"/>
        <v>0</v>
      </c>
      <c r="F38" s="287" t="s">
        <v>143</v>
      </c>
      <c r="G38" s="281">
        <v>0</v>
      </c>
      <c r="H38" s="470">
        <v>0</v>
      </c>
      <c r="I38" s="29">
        <v>0</v>
      </c>
      <c r="J38" s="178">
        <f t="shared" si="1"/>
        <v>0</v>
      </c>
      <c r="O38" s="27"/>
      <c r="P38" s="27"/>
      <c r="Q38" s="28"/>
      <c r="R38" s="6"/>
    </row>
    <row r="39" spans="1:20" ht="14.95" thickBot="1" x14ac:dyDescent="0.3">
      <c r="A39" s="82" t="s">
        <v>3</v>
      </c>
      <c r="B39" s="284">
        <f>SUM(B2:B38)</f>
        <v>5</v>
      </c>
      <c r="C39" s="467">
        <f>SUM(C2:C38)</f>
        <v>0</v>
      </c>
      <c r="D39" s="237">
        <f>SUM(D2:D38)</f>
        <v>0</v>
      </c>
      <c r="E39" s="175">
        <f t="shared" si="0"/>
        <v>5</v>
      </c>
      <c r="F39" s="286" t="s">
        <v>3</v>
      </c>
      <c r="G39" s="280">
        <f>SUM(G2:G38)</f>
        <v>27</v>
      </c>
      <c r="H39" s="469">
        <f>SUM(H2:H38)</f>
        <v>0</v>
      </c>
      <c r="I39" s="118">
        <f>SUM(I2:I38)</f>
        <v>0</v>
      </c>
      <c r="J39" s="177">
        <f t="shared" si="1"/>
        <v>27</v>
      </c>
      <c r="O39" s="27"/>
      <c r="P39" s="27"/>
      <c r="Q39" s="28"/>
      <c r="R39" s="6"/>
    </row>
    <row r="40" spans="1:20" x14ac:dyDescent="0.25">
      <c r="A40" s="22"/>
      <c r="B40" s="111"/>
      <c r="C40" s="111"/>
      <c r="D40" s="112"/>
      <c r="E40" s="21"/>
      <c r="F40" s="22"/>
      <c r="G40" s="111"/>
      <c r="H40" s="471"/>
      <c r="I40" s="113"/>
      <c r="J40" s="21"/>
      <c r="O40" s="27"/>
      <c r="P40" s="27"/>
      <c r="Q40" s="28"/>
      <c r="R40" s="6"/>
    </row>
    <row r="41" spans="1:20" ht="17" thickBot="1" x14ac:dyDescent="0.3">
      <c r="A41" s="114" t="s">
        <v>7</v>
      </c>
      <c r="B41" s="109"/>
      <c r="C41" s="109"/>
      <c r="D41" s="109"/>
      <c r="E41" s="109"/>
      <c r="F41" s="109"/>
      <c r="G41" s="109"/>
      <c r="H41" s="457"/>
      <c r="I41" s="110"/>
      <c r="J41" s="109"/>
      <c r="O41" s="27"/>
      <c r="P41" s="27"/>
      <c r="Q41" s="28"/>
      <c r="R41" s="6"/>
    </row>
    <row r="42" spans="1:20" ht="14.95" thickBot="1" x14ac:dyDescent="0.3">
      <c r="A42" s="82" t="s">
        <v>0</v>
      </c>
      <c r="B42" s="284" t="s">
        <v>14</v>
      </c>
      <c r="C42" s="467" t="s">
        <v>500</v>
      </c>
      <c r="D42" s="237" t="s">
        <v>11</v>
      </c>
      <c r="E42" s="175" t="s">
        <v>1</v>
      </c>
      <c r="F42" s="286" t="s">
        <v>2</v>
      </c>
      <c r="G42" s="280" t="s">
        <v>14</v>
      </c>
      <c r="H42" s="469" t="s">
        <v>500</v>
      </c>
      <c r="I42" s="118" t="s">
        <v>11</v>
      </c>
      <c r="J42" s="177" t="s">
        <v>1</v>
      </c>
      <c r="O42" s="27"/>
      <c r="P42" s="27"/>
      <c r="Q42" s="28"/>
      <c r="R42" s="6"/>
    </row>
    <row r="43" spans="1:20" ht="14.95" thickBot="1" x14ac:dyDescent="0.3">
      <c r="A43" s="32" t="s">
        <v>976</v>
      </c>
      <c r="B43" s="285">
        <v>1</v>
      </c>
      <c r="C43" s="468">
        <v>0</v>
      </c>
      <c r="D43" s="383">
        <v>0</v>
      </c>
      <c r="E43" s="33">
        <f t="shared" ref="E43:E78" si="13">SUM(B43:D43)</f>
        <v>1</v>
      </c>
      <c r="F43" s="287" t="s">
        <v>1023</v>
      </c>
      <c r="G43" s="281">
        <v>7</v>
      </c>
      <c r="H43" s="470">
        <v>0</v>
      </c>
      <c r="I43" s="29">
        <v>0</v>
      </c>
      <c r="J43" s="178">
        <f t="shared" ref="J43:J78" si="14">SUM(G43:I43)</f>
        <v>7</v>
      </c>
      <c r="O43" s="27"/>
      <c r="P43" s="27"/>
      <c r="Q43" s="28"/>
    </row>
    <row r="44" spans="1:20" ht="14.95" thickBot="1" x14ac:dyDescent="0.3">
      <c r="A44" s="32" t="s">
        <v>1023</v>
      </c>
      <c r="B44" s="285">
        <v>1</v>
      </c>
      <c r="C44" s="468">
        <v>0</v>
      </c>
      <c r="D44" s="383">
        <v>0</v>
      </c>
      <c r="E44" s="33">
        <f t="shared" si="13"/>
        <v>1</v>
      </c>
      <c r="F44" s="287" t="s">
        <v>976</v>
      </c>
      <c r="G44" s="281">
        <v>5</v>
      </c>
      <c r="H44" s="470">
        <v>0</v>
      </c>
      <c r="I44" s="29">
        <v>0</v>
      </c>
      <c r="J44" s="178">
        <f t="shared" si="14"/>
        <v>5</v>
      </c>
    </row>
    <row r="45" spans="1:20" ht="14.95" thickBot="1" x14ac:dyDescent="0.3">
      <c r="A45" s="32" t="s">
        <v>128</v>
      </c>
      <c r="B45" s="285">
        <v>1</v>
      </c>
      <c r="C45" s="468">
        <v>0</v>
      </c>
      <c r="D45" s="383">
        <v>0</v>
      </c>
      <c r="E45" s="33">
        <f t="shared" si="13"/>
        <v>1</v>
      </c>
      <c r="F45" s="287" t="s">
        <v>128</v>
      </c>
      <c r="G45" s="281">
        <v>5</v>
      </c>
      <c r="H45" s="470">
        <v>0</v>
      </c>
      <c r="I45" s="29">
        <v>0</v>
      </c>
      <c r="J45" s="178">
        <f t="shared" si="14"/>
        <v>5</v>
      </c>
    </row>
    <row r="46" spans="1:20" ht="14.95" thickBot="1" x14ac:dyDescent="0.3">
      <c r="A46" s="32" t="s">
        <v>942</v>
      </c>
      <c r="B46" s="285">
        <v>1</v>
      </c>
      <c r="C46" s="468">
        <v>0</v>
      </c>
      <c r="D46" s="383">
        <v>0</v>
      </c>
      <c r="E46" s="33">
        <f t="shared" si="13"/>
        <v>1</v>
      </c>
      <c r="F46" s="287" t="s">
        <v>942</v>
      </c>
      <c r="G46" s="281">
        <v>5</v>
      </c>
      <c r="H46" s="470">
        <v>0</v>
      </c>
      <c r="I46" s="29">
        <v>0</v>
      </c>
      <c r="J46" s="178">
        <f t="shared" si="14"/>
        <v>5</v>
      </c>
    </row>
    <row r="47" spans="1:20" ht="14.95" thickBot="1" x14ac:dyDescent="0.3">
      <c r="A47" s="32" t="s">
        <v>142</v>
      </c>
      <c r="B47" s="285">
        <v>1</v>
      </c>
      <c r="C47" s="468">
        <v>0</v>
      </c>
      <c r="D47" s="383">
        <v>0</v>
      </c>
      <c r="E47" s="33">
        <f t="shared" si="13"/>
        <v>1</v>
      </c>
      <c r="F47" s="287" t="s">
        <v>142</v>
      </c>
      <c r="G47" s="281">
        <v>5</v>
      </c>
      <c r="H47" s="470">
        <v>0</v>
      </c>
      <c r="I47" s="29">
        <v>0</v>
      </c>
      <c r="J47" s="178">
        <f t="shared" si="14"/>
        <v>5</v>
      </c>
    </row>
    <row r="48" spans="1:20" ht="14.95" thickBot="1" x14ac:dyDescent="0.3">
      <c r="A48" s="32" t="s">
        <v>118</v>
      </c>
      <c r="B48" s="285">
        <v>0</v>
      </c>
      <c r="C48" s="468">
        <v>0</v>
      </c>
      <c r="D48" s="383">
        <v>0</v>
      </c>
      <c r="E48" s="33">
        <f t="shared" si="13"/>
        <v>0</v>
      </c>
      <c r="F48" s="287" t="s">
        <v>118</v>
      </c>
      <c r="G48" s="281">
        <v>0</v>
      </c>
      <c r="H48" s="470">
        <v>0</v>
      </c>
      <c r="I48" s="29">
        <v>0</v>
      </c>
      <c r="J48" s="178">
        <f t="shared" si="14"/>
        <v>0</v>
      </c>
    </row>
    <row r="49" spans="1:10" ht="14.95" thickBot="1" x14ac:dyDescent="0.3">
      <c r="A49" s="32" t="s">
        <v>119</v>
      </c>
      <c r="B49" s="285">
        <v>0</v>
      </c>
      <c r="C49" s="468">
        <v>0</v>
      </c>
      <c r="D49" s="383">
        <v>0</v>
      </c>
      <c r="E49" s="33">
        <f t="shared" si="13"/>
        <v>0</v>
      </c>
      <c r="F49" s="287" t="s">
        <v>119</v>
      </c>
      <c r="G49" s="281">
        <v>0</v>
      </c>
      <c r="H49" s="470">
        <v>0</v>
      </c>
      <c r="I49" s="29">
        <v>0</v>
      </c>
      <c r="J49" s="178">
        <f t="shared" si="14"/>
        <v>0</v>
      </c>
    </row>
    <row r="50" spans="1:10" ht="14.95" thickBot="1" x14ac:dyDescent="0.3">
      <c r="A50" s="32" t="s">
        <v>978</v>
      </c>
      <c r="B50" s="285">
        <v>0</v>
      </c>
      <c r="C50" s="468">
        <v>0</v>
      </c>
      <c r="D50" s="383">
        <v>0</v>
      </c>
      <c r="E50" s="33">
        <f t="shared" si="13"/>
        <v>0</v>
      </c>
      <c r="F50" s="287" t="s">
        <v>978</v>
      </c>
      <c r="G50" s="281">
        <v>0</v>
      </c>
      <c r="H50" s="470">
        <v>0</v>
      </c>
      <c r="I50" s="29">
        <v>0</v>
      </c>
      <c r="J50" s="178">
        <f t="shared" si="14"/>
        <v>0</v>
      </c>
    </row>
    <row r="51" spans="1:10" ht="14.95" thickBot="1" x14ac:dyDescent="0.3">
      <c r="A51" s="32" t="s">
        <v>209</v>
      </c>
      <c r="B51" s="285">
        <v>0</v>
      </c>
      <c r="C51" s="468">
        <v>0</v>
      </c>
      <c r="D51" s="383">
        <v>0</v>
      </c>
      <c r="E51" s="33">
        <f t="shared" si="13"/>
        <v>0</v>
      </c>
      <c r="F51" s="287" t="s">
        <v>209</v>
      </c>
      <c r="G51" s="281">
        <v>0</v>
      </c>
      <c r="H51" s="470">
        <v>0</v>
      </c>
      <c r="I51" s="29">
        <v>0</v>
      </c>
      <c r="J51" s="178">
        <f t="shared" si="14"/>
        <v>0</v>
      </c>
    </row>
    <row r="52" spans="1:10" ht="14.95" thickBot="1" x14ac:dyDescent="0.3">
      <c r="A52" s="32" t="s">
        <v>974</v>
      </c>
      <c r="B52" s="285">
        <v>0</v>
      </c>
      <c r="C52" s="468">
        <v>0</v>
      </c>
      <c r="D52" s="383">
        <v>0</v>
      </c>
      <c r="E52" s="33">
        <f t="shared" si="13"/>
        <v>0</v>
      </c>
      <c r="F52" s="287" t="s">
        <v>974</v>
      </c>
      <c r="G52" s="281">
        <v>0</v>
      </c>
      <c r="H52" s="470">
        <v>0</v>
      </c>
      <c r="I52" s="29">
        <v>0</v>
      </c>
      <c r="J52" s="178">
        <f t="shared" si="14"/>
        <v>0</v>
      </c>
    </row>
    <row r="53" spans="1:10" ht="14.95" thickBot="1" x14ac:dyDescent="0.3">
      <c r="A53" s="32" t="s">
        <v>120</v>
      </c>
      <c r="B53" s="285">
        <v>0</v>
      </c>
      <c r="C53" s="468">
        <v>0</v>
      </c>
      <c r="D53" s="383">
        <v>0</v>
      </c>
      <c r="E53" s="33">
        <f t="shared" si="13"/>
        <v>0</v>
      </c>
      <c r="F53" s="287" t="s">
        <v>120</v>
      </c>
      <c r="G53" s="281">
        <v>0</v>
      </c>
      <c r="H53" s="470">
        <v>0</v>
      </c>
      <c r="I53" s="29">
        <v>0</v>
      </c>
      <c r="J53" s="178">
        <f t="shared" si="14"/>
        <v>0</v>
      </c>
    </row>
    <row r="54" spans="1:10" ht="14.95" thickBot="1" x14ac:dyDescent="0.3">
      <c r="A54" s="32" t="s">
        <v>121</v>
      </c>
      <c r="B54" s="285">
        <v>0</v>
      </c>
      <c r="C54" s="468">
        <v>0</v>
      </c>
      <c r="D54" s="383">
        <v>0</v>
      </c>
      <c r="E54" s="33">
        <f t="shared" si="13"/>
        <v>0</v>
      </c>
      <c r="F54" s="287" t="s">
        <v>121</v>
      </c>
      <c r="G54" s="281">
        <v>0</v>
      </c>
      <c r="H54" s="470">
        <v>0</v>
      </c>
      <c r="I54" s="29">
        <v>0</v>
      </c>
      <c r="J54" s="178">
        <f t="shared" si="14"/>
        <v>0</v>
      </c>
    </row>
    <row r="55" spans="1:10" ht="14.95" thickBot="1" x14ac:dyDescent="0.3">
      <c r="A55" s="32" t="s">
        <v>122</v>
      </c>
      <c r="B55" s="285">
        <v>0</v>
      </c>
      <c r="C55" s="468">
        <v>0</v>
      </c>
      <c r="D55" s="383">
        <v>0</v>
      </c>
      <c r="E55" s="33">
        <f t="shared" si="13"/>
        <v>0</v>
      </c>
      <c r="F55" s="287" t="s">
        <v>122</v>
      </c>
      <c r="G55" s="281">
        <v>0</v>
      </c>
      <c r="H55" s="470">
        <v>0</v>
      </c>
      <c r="I55" s="29">
        <v>0</v>
      </c>
      <c r="J55" s="178">
        <f t="shared" si="14"/>
        <v>0</v>
      </c>
    </row>
    <row r="56" spans="1:10" ht="14.95" thickBot="1" x14ac:dyDescent="0.3">
      <c r="A56" s="32" t="s">
        <v>123</v>
      </c>
      <c r="B56" s="285">
        <v>0</v>
      </c>
      <c r="C56" s="468">
        <v>0</v>
      </c>
      <c r="D56" s="383">
        <v>0</v>
      </c>
      <c r="E56" s="33">
        <f t="shared" si="13"/>
        <v>0</v>
      </c>
      <c r="F56" s="287" t="s">
        <v>123</v>
      </c>
      <c r="G56" s="281">
        <v>0</v>
      </c>
      <c r="H56" s="470">
        <v>0</v>
      </c>
      <c r="I56" s="29">
        <v>0</v>
      </c>
      <c r="J56" s="178">
        <f t="shared" si="14"/>
        <v>0</v>
      </c>
    </row>
    <row r="57" spans="1:10" ht="14.95" thickBot="1" x14ac:dyDescent="0.3">
      <c r="A57" s="32" t="s">
        <v>124</v>
      </c>
      <c r="B57" s="285">
        <v>0</v>
      </c>
      <c r="C57" s="468">
        <v>0</v>
      </c>
      <c r="D57" s="383">
        <v>0</v>
      </c>
      <c r="E57" s="33">
        <f t="shared" si="13"/>
        <v>0</v>
      </c>
      <c r="F57" s="287" t="s">
        <v>124</v>
      </c>
      <c r="G57" s="281">
        <v>0</v>
      </c>
      <c r="H57" s="470">
        <v>0</v>
      </c>
      <c r="I57" s="29">
        <v>0</v>
      </c>
      <c r="J57" s="178">
        <f t="shared" si="14"/>
        <v>0</v>
      </c>
    </row>
    <row r="58" spans="1:10" ht="14.95" thickBot="1" x14ac:dyDescent="0.3">
      <c r="A58" s="32" t="s">
        <v>125</v>
      </c>
      <c r="B58" s="285">
        <v>0</v>
      </c>
      <c r="C58" s="468">
        <v>0</v>
      </c>
      <c r="D58" s="383">
        <v>0</v>
      </c>
      <c r="E58" s="33">
        <f t="shared" si="13"/>
        <v>0</v>
      </c>
      <c r="F58" s="287" t="s">
        <v>125</v>
      </c>
      <c r="G58" s="281">
        <v>0</v>
      </c>
      <c r="H58" s="470">
        <v>0</v>
      </c>
      <c r="I58" s="29">
        <v>0</v>
      </c>
      <c r="J58" s="178">
        <f t="shared" si="14"/>
        <v>0</v>
      </c>
    </row>
    <row r="59" spans="1:10" ht="14.95" thickBot="1" x14ac:dyDescent="0.3">
      <c r="A59" s="32" t="s">
        <v>126</v>
      </c>
      <c r="B59" s="285">
        <v>0</v>
      </c>
      <c r="C59" s="468">
        <v>0</v>
      </c>
      <c r="D59" s="383">
        <v>0</v>
      </c>
      <c r="E59" s="33">
        <f t="shared" si="13"/>
        <v>0</v>
      </c>
      <c r="F59" s="287" t="s">
        <v>126</v>
      </c>
      <c r="G59" s="281">
        <v>0</v>
      </c>
      <c r="H59" s="470">
        <v>0</v>
      </c>
      <c r="I59" s="29">
        <v>0</v>
      </c>
      <c r="J59" s="178">
        <f t="shared" si="14"/>
        <v>0</v>
      </c>
    </row>
    <row r="60" spans="1:10" ht="14.95" thickBot="1" x14ac:dyDescent="0.3">
      <c r="A60" s="32" t="s">
        <v>127</v>
      </c>
      <c r="B60" s="285">
        <v>0</v>
      </c>
      <c r="C60" s="468">
        <v>0</v>
      </c>
      <c r="D60" s="383">
        <v>0</v>
      </c>
      <c r="E60" s="33">
        <f t="shared" si="13"/>
        <v>0</v>
      </c>
      <c r="F60" s="287" t="s">
        <v>127</v>
      </c>
      <c r="G60" s="281">
        <v>0</v>
      </c>
      <c r="H60" s="470">
        <v>0</v>
      </c>
      <c r="I60" s="29">
        <v>0</v>
      </c>
      <c r="J60" s="178">
        <f t="shared" si="14"/>
        <v>0</v>
      </c>
    </row>
    <row r="61" spans="1:10" ht="14.95" thickBot="1" x14ac:dyDescent="0.3">
      <c r="A61" s="32" t="s">
        <v>886</v>
      </c>
      <c r="B61" s="285">
        <v>0</v>
      </c>
      <c r="C61" s="468">
        <v>0</v>
      </c>
      <c r="D61" s="383">
        <v>0</v>
      </c>
      <c r="E61" s="33">
        <f t="shared" si="13"/>
        <v>0</v>
      </c>
      <c r="F61" s="287" t="s">
        <v>886</v>
      </c>
      <c r="G61" s="281">
        <v>0</v>
      </c>
      <c r="H61" s="470">
        <v>0</v>
      </c>
      <c r="I61" s="29">
        <v>0</v>
      </c>
      <c r="J61" s="178">
        <f t="shared" si="14"/>
        <v>0</v>
      </c>
    </row>
    <row r="62" spans="1:10" ht="14.95" thickBot="1" x14ac:dyDescent="0.3">
      <c r="A62" s="32" t="s">
        <v>973</v>
      </c>
      <c r="B62" s="285">
        <v>0</v>
      </c>
      <c r="C62" s="468">
        <v>0</v>
      </c>
      <c r="D62" s="383">
        <v>0</v>
      </c>
      <c r="E62" s="33">
        <f t="shared" si="13"/>
        <v>0</v>
      </c>
      <c r="F62" s="287" t="s">
        <v>973</v>
      </c>
      <c r="G62" s="281">
        <v>0</v>
      </c>
      <c r="H62" s="470">
        <v>0</v>
      </c>
      <c r="I62" s="29">
        <v>0</v>
      </c>
      <c r="J62" s="178">
        <f t="shared" si="14"/>
        <v>0</v>
      </c>
    </row>
    <row r="63" spans="1:10" ht="14.95" thickBot="1" x14ac:dyDescent="0.3">
      <c r="A63" s="32" t="s">
        <v>129</v>
      </c>
      <c r="B63" s="285">
        <v>0</v>
      </c>
      <c r="C63" s="468">
        <v>0</v>
      </c>
      <c r="D63" s="383">
        <v>0</v>
      </c>
      <c r="E63" s="33">
        <f t="shared" si="13"/>
        <v>0</v>
      </c>
      <c r="F63" s="287" t="s">
        <v>129</v>
      </c>
      <c r="G63" s="281">
        <v>0</v>
      </c>
      <c r="H63" s="470">
        <v>0</v>
      </c>
      <c r="I63" s="29">
        <v>0</v>
      </c>
      <c r="J63" s="178">
        <f t="shared" si="14"/>
        <v>0</v>
      </c>
    </row>
    <row r="64" spans="1:10" ht="14.95" thickBot="1" x14ac:dyDescent="0.3">
      <c r="A64" s="32" t="s">
        <v>130</v>
      </c>
      <c r="B64" s="285">
        <v>0</v>
      </c>
      <c r="C64" s="468">
        <v>0</v>
      </c>
      <c r="D64" s="383">
        <v>0</v>
      </c>
      <c r="E64" s="33">
        <f t="shared" si="13"/>
        <v>0</v>
      </c>
      <c r="F64" s="287" t="s">
        <v>130</v>
      </c>
      <c r="G64" s="281">
        <v>0</v>
      </c>
      <c r="H64" s="470">
        <v>0</v>
      </c>
      <c r="I64" s="29">
        <v>0</v>
      </c>
      <c r="J64" s="178">
        <f t="shared" si="14"/>
        <v>0</v>
      </c>
    </row>
    <row r="65" spans="1:10" ht="14.95" thickBot="1" x14ac:dyDescent="0.3">
      <c r="A65" s="32" t="s">
        <v>131</v>
      </c>
      <c r="B65" s="285">
        <v>0</v>
      </c>
      <c r="C65" s="468">
        <v>0</v>
      </c>
      <c r="D65" s="383">
        <v>0</v>
      </c>
      <c r="E65" s="33">
        <f t="shared" si="13"/>
        <v>0</v>
      </c>
      <c r="F65" s="287" t="s">
        <v>131</v>
      </c>
      <c r="G65" s="281">
        <v>0</v>
      </c>
      <c r="H65" s="470">
        <v>0</v>
      </c>
      <c r="I65" s="29">
        <v>0</v>
      </c>
      <c r="J65" s="178">
        <f t="shared" si="14"/>
        <v>0</v>
      </c>
    </row>
    <row r="66" spans="1:10" ht="14.95" thickBot="1" x14ac:dyDescent="0.3">
      <c r="A66" s="32" t="s">
        <v>132</v>
      </c>
      <c r="B66" s="285">
        <v>0</v>
      </c>
      <c r="C66" s="468">
        <v>0</v>
      </c>
      <c r="D66" s="383">
        <v>0</v>
      </c>
      <c r="E66" s="33">
        <f t="shared" si="13"/>
        <v>0</v>
      </c>
      <c r="F66" s="287" t="s">
        <v>132</v>
      </c>
      <c r="G66" s="281">
        <v>0</v>
      </c>
      <c r="H66" s="470">
        <v>0</v>
      </c>
      <c r="I66" s="29">
        <v>0</v>
      </c>
      <c r="J66" s="178">
        <f t="shared" si="14"/>
        <v>0</v>
      </c>
    </row>
    <row r="67" spans="1:10" ht="14.95" thickBot="1" x14ac:dyDescent="0.3">
      <c r="A67" s="32" t="s">
        <v>549</v>
      </c>
      <c r="B67" s="285">
        <v>0</v>
      </c>
      <c r="C67" s="468">
        <v>0</v>
      </c>
      <c r="D67" s="383">
        <v>0</v>
      </c>
      <c r="E67" s="33">
        <f t="shared" si="13"/>
        <v>0</v>
      </c>
      <c r="F67" s="287" t="s">
        <v>549</v>
      </c>
      <c r="G67" s="281">
        <v>0</v>
      </c>
      <c r="H67" s="470">
        <v>0</v>
      </c>
      <c r="I67" s="29">
        <v>0</v>
      </c>
      <c r="J67" s="178">
        <f t="shared" si="14"/>
        <v>0</v>
      </c>
    </row>
    <row r="68" spans="1:10" ht="14.95" thickBot="1" x14ac:dyDescent="0.3">
      <c r="A68" s="32" t="s">
        <v>133</v>
      </c>
      <c r="B68" s="285">
        <v>0</v>
      </c>
      <c r="C68" s="468">
        <v>0</v>
      </c>
      <c r="D68" s="383">
        <v>0</v>
      </c>
      <c r="E68" s="33">
        <f t="shared" si="13"/>
        <v>0</v>
      </c>
      <c r="F68" s="287" t="s">
        <v>133</v>
      </c>
      <c r="G68" s="281">
        <v>0</v>
      </c>
      <c r="H68" s="470">
        <v>0</v>
      </c>
      <c r="I68" s="29">
        <v>0</v>
      </c>
      <c r="J68" s="178">
        <f t="shared" si="14"/>
        <v>0</v>
      </c>
    </row>
    <row r="69" spans="1:10" ht="14.95" thickBot="1" x14ac:dyDescent="0.3">
      <c r="A69" s="32" t="s">
        <v>134</v>
      </c>
      <c r="B69" s="285">
        <v>0</v>
      </c>
      <c r="C69" s="468">
        <v>0</v>
      </c>
      <c r="D69" s="383">
        <v>0</v>
      </c>
      <c r="E69" s="33">
        <f t="shared" si="13"/>
        <v>0</v>
      </c>
      <c r="F69" s="287" t="s">
        <v>134</v>
      </c>
      <c r="G69" s="281">
        <v>0</v>
      </c>
      <c r="H69" s="470">
        <v>0</v>
      </c>
      <c r="I69" s="29">
        <v>0</v>
      </c>
      <c r="J69" s="178">
        <f t="shared" si="14"/>
        <v>0</v>
      </c>
    </row>
    <row r="70" spans="1:10" ht="14.95" thickBot="1" x14ac:dyDescent="0.3">
      <c r="A70" s="32" t="s">
        <v>135</v>
      </c>
      <c r="B70" s="285">
        <v>0</v>
      </c>
      <c r="C70" s="468">
        <v>0</v>
      </c>
      <c r="D70" s="383">
        <v>0</v>
      </c>
      <c r="E70" s="33">
        <f t="shared" si="13"/>
        <v>0</v>
      </c>
      <c r="F70" s="287" t="s">
        <v>135</v>
      </c>
      <c r="G70" s="281">
        <v>0</v>
      </c>
      <c r="H70" s="470">
        <v>0</v>
      </c>
      <c r="I70" s="29">
        <v>0</v>
      </c>
      <c r="J70" s="178">
        <f t="shared" si="14"/>
        <v>0</v>
      </c>
    </row>
    <row r="71" spans="1:10" ht="14.95" thickBot="1" x14ac:dyDescent="0.3">
      <c r="A71" s="32" t="s">
        <v>723</v>
      </c>
      <c r="B71" s="285">
        <v>0</v>
      </c>
      <c r="C71" s="468">
        <v>0</v>
      </c>
      <c r="D71" s="383">
        <v>0</v>
      </c>
      <c r="E71" s="33">
        <f t="shared" si="13"/>
        <v>0</v>
      </c>
      <c r="F71" s="287" t="s">
        <v>723</v>
      </c>
      <c r="G71" s="281">
        <v>0</v>
      </c>
      <c r="H71" s="470">
        <v>0</v>
      </c>
      <c r="I71" s="29">
        <v>0</v>
      </c>
      <c r="J71" s="178">
        <f t="shared" si="14"/>
        <v>0</v>
      </c>
    </row>
    <row r="72" spans="1:10" ht="14.95" thickBot="1" x14ac:dyDescent="0.3">
      <c r="A72" s="32" t="s">
        <v>136</v>
      </c>
      <c r="B72" s="285">
        <v>0</v>
      </c>
      <c r="C72" s="468">
        <v>0</v>
      </c>
      <c r="D72" s="383">
        <v>0</v>
      </c>
      <c r="E72" s="33">
        <f t="shared" si="13"/>
        <v>0</v>
      </c>
      <c r="F72" s="287" t="s">
        <v>136</v>
      </c>
      <c r="G72" s="281">
        <v>0</v>
      </c>
      <c r="H72" s="470">
        <v>0</v>
      </c>
      <c r="I72" s="29">
        <v>0</v>
      </c>
      <c r="J72" s="178">
        <f t="shared" si="14"/>
        <v>0</v>
      </c>
    </row>
    <row r="73" spans="1:10" ht="14.95" thickBot="1" x14ac:dyDescent="0.3">
      <c r="A73" s="32" t="s">
        <v>137</v>
      </c>
      <c r="B73" s="285">
        <v>0</v>
      </c>
      <c r="C73" s="468">
        <v>0</v>
      </c>
      <c r="D73" s="383">
        <v>0</v>
      </c>
      <c r="E73" s="33">
        <f t="shared" si="13"/>
        <v>0</v>
      </c>
      <c r="F73" s="287" t="s">
        <v>137</v>
      </c>
      <c r="G73" s="281">
        <v>0</v>
      </c>
      <c r="H73" s="470">
        <v>0</v>
      </c>
      <c r="I73" s="29">
        <v>0</v>
      </c>
      <c r="J73" s="178">
        <f t="shared" si="14"/>
        <v>0</v>
      </c>
    </row>
    <row r="74" spans="1:10" ht="14.95" thickBot="1" x14ac:dyDescent="0.3">
      <c r="A74" s="32" t="s">
        <v>138</v>
      </c>
      <c r="B74" s="285">
        <v>0</v>
      </c>
      <c r="C74" s="468">
        <v>0</v>
      </c>
      <c r="D74" s="383">
        <v>0</v>
      </c>
      <c r="E74" s="33">
        <f t="shared" si="13"/>
        <v>0</v>
      </c>
      <c r="F74" s="287" t="s">
        <v>138</v>
      </c>
      <c r="G74" s="281">
        <v>0</v>
      </c>
      <c r="H74" s="470">
        <v>0</v>
      </c>
      <c r="I74" s="29">
        <v>0</v>
      </c>
      <c r="J74" s="178">
        <f t="shared" si="14"/>
        <v>0</v>
      </c>
    </row>
    <row r="75" spans="1:10" ht="14.95" thickBot="1" x14ac:dyDescent="0.3">
      <c r="A75" s="32" t="s">
        <v>141</v>
      </c>
      <c r="B75" s="285">
        <v>0</v>
      </c>
      <c r="C75" s="468">
        <v>0</v>
      </c>
      <c r="D75" s="383">
        <v>0</v>
      </c>
      <c r="E75" s="33">
        <f t="shared" si="13"/>
        <v>0</v>
      </c>
      <c r="F75" s="287" t="s">
        <v>141</v>
      </c>
      <c r="G75" s="281">
        <v>0</v>
      </c>
      <c r="H75" s="470">
        <v>0</v>
      </c>
      <c r="I75" s="29">
        <v>0</v>
      </c>
      <c r="J75" s="178">
        <f t="shared" si="14"/>
        <v>0</v>
      </c>
    </row>
    <row r="76" spans="1:10" ht="14.95" thickBot="1" x14ac:dyDescent="0.3">
      <c r="A76" s="32" t="s">
        <v>139</v>
      </c>
      <c r="B76" s="285">
        <v>0</v>
      </c>
      <c r="C76" s="468">
        <v>0</v>
      </c>
      <c r="D76" s="383">
        <v>0</v>
      </c>
      <c r="E76" s="33">
        <f t="shared" si="13"/>
        <v>0</v>
      </c>
      <c r="F76" s="287" t="s">
        <v>139</v>
      </c>
      <c r="G76" s="281">
        <v>0</v>
      </c>
      <c r="H76" s="470">
        <v>0</v>
      </c>
      <c r="I76" s="29">
        <v>0</v>
      </c>
      <c r="J76" s="178">
        <f t="shared" si="14"/>
        <v>0</v>
      </c>
    </row>
    <row r="77" spans="1:10" ht="14.95" thickBot="1" x14ac:dyDescent="0.3">
      <c r="A77" s="32" t="s">
        <v>140</v>
      </c>
      <c r="B77" s="285">
        <v>0</v>
      </c>
      <c r="C77" s="468">
        <v>0</v>
      </c>
      <c r="D77" s="383">
        <v>0</v>
      </c>
      <c r="E77" s="33">
        <f t="shared" si="13"/>
        <v>0</v>
      </c>
      <c r="F77" s="287" t="s">
        <v>140</v>
      </c>
      <c r="G77" s="281">
        <v>0</v>
      </c>
      <c r="H77" s="470">
        <v>0</v>
      </c>
      <c r="I77" s="29">
        <v>0</v>
      </c>
      <c r="J77" s="178">
        <f t="shared" si="14"/>
        <v>0</v>
      </c>
    </row>
    <row r="78" spans="1:10" ht="14.95" thickBot="1" x14ac:dyDescent="0.3">
      <c r="A78" s="32" t="s">
        <v>143</v>
      </c>
      <c r="B78" s="285">
        <v>0</v>
      </c>
      <c r="C78" s="468">
        <v>0</v>
      </c>
      <c r="D78" s="383">
        <v>0</v>
      </c>
      <c r="E78" s="33">
        <f t="shared" si="13"/>
        <v>0</v>
      </c>
      <c r="F78" s="287" t="s">
        <v>143</v>
      </c>
      <c r="G78" s="281">
        <v>0</v>
      </c>
      <c r="H78" s="470">
        <v>0</v>
      </c>
      <c r="I78" s="29">
        <v>0</v>
      </c>
      <c r="J78" s="178">
        <f t="shared" si="14"/>
        <v>0</v>
      </c>
    </row>
    <row r="79" spans="1:10" ht="14.95" thickBot="1" x14ac:dyDescent="0.3">
      <c r="A79" s="82" t="s">
        <v>3</v>
      </c>
      <c r="B79" s="284">
        <f>SUM(B42:B78)</f>
        <v>5</v>
      </c>
      <c r="C79" s="467">
        <f>SUM(C42:C78)</f>
        <v>0</v>
      </c>
      <c r="D79" s="237">
        <f>SUM(D42:D78)</f>
        <v>0</v>
      </c>
      <c r="E79" s="175">
        <f t="shared" ref="E79" si="15">SUM(B79:D79)</f>
        <v>5</v>
      </c>
      <c r="F79" s="286" t="s">
        <v>3</v>
      </c>
      <c r="G79" s="280">
        <f>SUM(G42:G78)</f>
        <v>27</v>
      </c>
      <c r="H79" s="469">
        <f>SUM(H42:H78)</f>
        <v>0</v>
      </c>
      <c r="I79" s="118">
        <f>SUM(I42:I78)</f>
        <v>0</v>
      </c>
      <c r="J79" s="177">
        <f t="shared" ref="J79" si="16">SUM(G79:I79)</f>
        <v>27</v>
      </c>
    </row>
    <row r="80" spans="1:10" ht="14.3" customHeight="1" x14ac:dyDescent="0.3">
      <c r="A80" s="524" t="s">
        <v>10</v>
      </c>
      <c r="B80" s="524"/>
      <c r="C80" s="524"/>
      <c r="D80" s="525"/>
    </row>
  </sheetData>
  <sortState xmlns:xlrd2="http://schemas.microsoft.com/office/spreadsheetml/2017/richdata2" ref="F43:J78">
    <sortCondition descending="1" ref="J43:J78"/>
  </sortState>
  <mergeCells count="23">
    <mergeCell ref="L22:N23"/>
    <mergeCell ref="O30:Q31"/>
    <mergeCell ref="V1:X2"/>
    <mergeCell ref="U13:W14"/>
    <mergeCell ref="A80:D80"/>
    <mergeCell ref="K22:K23"/>
    <mergeCell ref="O22:Q23"/>
    <mergeCell ref="K30:K31"/>
    <mergeCell ref="L30:N31"/>
    <mergeCell ref="R30:T31"/>
    <mergeCell ref="AD1:AF2"/>
    <mergeCell ref="O13:Q14"/>
    <mergeCell ref="A1:J1"/>
    <mergeCell ref="R1:R2"/>
    <mergeCell ref="K1:K2"/>
    <mergeCell ref="L1:N2"/>
    <mergeCell ref="O1:Q2"/>
    <mergeCell ref="K13:K14"/>
    <mergeCell ref="L13:N14"/>
    <mergeCell ref="S1:U2"/>
    <mergeCell ref="R13:T14"/>
    <mergeCell ref="AA1:AC2"/>
    <mergeCell ref="AA13:AC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4FE2-89A8-4139-83A2-19D2BACED38C}">
  <dimension ref="A1:AC89"/>
  <sheetViews>
    <sheetView workbookViewId="0">
      <selection activeCell="F20" sqref="F20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7" thickBot="1" x14ac:dyDescent="0.3">
      <c r="A1" s="558" t="s">
        <v>1001</v>
      </c>
      <c r="B1" s="559"/>
      <c r="C1" s="559"/>
      <c r="D1" s="559"/>
      <c r="E1" s="559"/>
      <c r="F1" s="559"/>
      <c r="G1" s="559"/>
      <c r="H1" s="559"/>
      <c r="I1" s="559"/>
      <c r="J1" s="560"/>
      <c r="K1" s="594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  <c r="S1" s="516">
        <v>2024</v>
      </c>
      <c r="T1" s="517"/>
      <c r="U1" s="518"/>
      <c r="V1" s="516">
        <v>2023</v>
      </c>
      <c r="W1" s="517"/>
      <c r="X1" s="518"/>
      <c r="AA1" s="516">
        <v>2022</v>
      </c>
      <c r="AB1" s="517"/>
      <c r="AC1" s="518"/>
    </row>
    <row r="2" spans="1:29" ht="14.95" customHeight="1" thickBot="1" x14ac:dyDescent="0.3">
      <c r="A2" s="65" t="s">
        <v>0</v>
      </c>
      <c r="B2" s="302" t="s">
        <v>435</v>
      </c>
      <c r="C2" s="297" t="s">
        <v>500</v>
      </c>
      <c r="D2" s="97" t="s">
        <v>11</v>
      </c>
      <c r="E2" s="68" t="s">
        <v>1</v>
      </c>
      <c r="F2" s="208" t="s">
        <v>2</v>
      </c>
      <c r="G2" s="293" t="s">
        <v>435</v>
      </c>
      <c r="H2" s="148" t="s">
        <v>500</v>
      </c>
      <c r="I2" s="177" t="s">
        <v>11</v>
      </c>
      <c r="J2" s="118" t="s">
        <v>1</v>
      </c>
      <c r="K2" s="595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AA2" s="519"/>
      <c r="AB2" s="520"/>
      <c r="AC2" s="521"/>
    </row>
    <row r="3" spans="1:29" ht="14.95" customHeight="1" thickBot="1" x14ac:dyDescent="0.3">
      <c r="A3" s="62" t="s">
        <v>347</v>
      </c>
      <c r="B3" s="303">
        <v>0</v>
      </c>
      <c r="C3" s="298">
        <v>0</v>
      </c>
      <c r="D3" s="98">
        <v>0</v>
      </c>
      <c r="E3" s="59">
        <f>SUM(B3:D3)</f>
        <v>0</v>
      </c>
      <c r="F3" s="119" t="s">
        <v>347</v>
      </c>
      <c r="G3" s="140">
        <v>0</v>
      </c>
      <c r="H3" s="294">
        <v>0</v>
      </c>
      <c r="I3" s="178">
        <v>0</v>
      </c>
      <c r="J3" s="29">
        <f t="shared" ref="J3:J44" si="0">SUM(G3:I3)</f>
        <v>0</v>
      </c>
      <c r="K3" s="4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0" t="s">
        <v>17</v>
      </c>
      <c r="AB3" s="59" t="s">
        <v>5</v>
      </c>
      <c r="AC3" s="59" t="s">
        <v>6</v>
      </c>
    </row>
    <row r="4" spans="1:29" ht="14.95" customHeight="1" thickBot="1" x14ac:dyDescent="0.3">
      <c r="A4" s="62" t="s">
        <v>554</v>
      </c>
      <c r="B4" s="303">
        <v>0</v>
      </c>
      <c r="C4" s="298">
        <v>0</v>
      </c>
      <c r="D4" s="98">
        <v>0</v>
      </c>
      <c r="E4" s="59">
        <f t="shared" ref="E4:E44" si="1">SUM(B4:D4)</f>
        <v>0</v>
      </c>
      <c r="F4" s="119" t="s">
        <v>554</v>
      </c>
      <c r="G4" s="140">
        <v>0</v>
      </c>
      <c r="H4" s="294">
        <v>0</v>
      </c>
      <c r="I4" s="178">
        <v>0</v>
      </c>
      <c r="J4" s="29">
        <f t="shared" si="0"/>
        <v>0</v>
      </c>
      <c r="K4" s="62" t="s">
        <v>627</v>
      </c>
      <c r="L4" s="63">
        <v>0</v>
      </c>
      <c r="M4" s="63">
        <v>1</v>
      </c>
      <c r="N4" s="64">
        <f>SUM(L4/M4)*100</f>
        <v>0</v>
      </c>
      <c r="O4" s="63" t="s">
        <v>8</v>
      </c>
      <c r="P4" s="63" t="s">
        <v>8</v>
      </c>
      <c r="Q4" s="64" t="s">
        <v>8</v>
      </c>
      <c r="R4" s="193">
        <v>-1</v>
      </c>
      <c r="S4" s="59" t="s">
        <v>8</v>
      </c>
      <c r="T4" s="59" t="s">
        <v>8</v>
      </c>
      <c r="U4" s="117" t="s">
        <v>8</v>
      </c>
      <c r="V4" s="59" t="s">
        <v>8</v>
      </c>
      <c r="W4" s="59" t="s">
        <v>8</v>
      </c>
      <c r="X4" s="117" t="s">
        <v>8</v>
      </c>
      <c r="AA4" s="185" t="s">
        <v>8</v>
      </c>
      <c r="AB4" s="59" t="s">
        <v>8</v>
      </c>
      <c r="AC4" s="117" t="s">
        <v>8</v>
      </c>
    </row>
    <row r="5" spans="1:29" ht="14.95" customHeight="1" thickBot="1" x14ac:dyDescent="0.3">
      <c r="A5" s="62" t="s">
        <v>217</v>
      </c>
      <c r="B5" s="303">
        <v>0</v>
      </c>
      <c r="C5" s="298">
        <v>0</v>
      </c>
      <c r="D5" s="98">
        <v>0</v>
      </c>
      <c r="E5" s="59">
        <f t="shared" si="1"/>
        <v>0</v>
      </c>
      <c r="F5" s="120" t="s">
        <v>217</v>
      </c>
      <c r="G5" s="140">
        <v>0</v>
      </c>
      <c r="H5" s="294">
        <v>0</v>
      </c>
      <c r="I5" s="178">
        <v>0</v>
      </c>
      <c r="J5" s="29">
        <f t="shared" si="0"/>
        <v>0</v>
      </c>
      <c r="K5" s="62" t="s">
        <v>222</v>
      </c>
      <c r="L5" s="63">
        <v>10</v>
      </c>
      <c r="M5" s="63">
        <v>22</v>
      </c>
      <c r="N5" s="64">
        <f>SUM(L5/M5)*100</f>
        <v>45.454545454545453</v>
      </c>
      <c r="O5" s="63">
        <v>1</v>
      </c>
      <c r="P5" s="63">
        <v>4</v>
      </c>
      <c r="Q5" s="64">
        <f>SUM(O5/P5)*100</f>
        <v>25</v>
      </c>
      <c r="R5" s="193">
        <v>-2</v>
      </c>
      <c r="S5" s="59">
        <v>20</v>
      </c>
      <c r="T5" s="59">
        <v>33</v>
      </c>
      <c r="U5" s="117">
        <f>SUM(S5/T5)*100</f>
        <v>60.606060606060609</v>
      </c>
      <c r="V5" s="59">
        <v>25</v>
      </c>
      <c r="W5" s="59">
        <v>38</v>
      </c>
      <c r="X5" s="117">
        <f>SUM(V5/W5)*100</f>
        <v>65.789473684210535</v>
      </c>
      <c r="AA5" s="260">
        <v>7</v>
      </c>
      <c r="AB5" s="59">
        <v>18</v>
      </c>
      <c r="AC5" s="117">
        <f>SUM(AA5/AB5)*100</f>
        <v>38.888888888888893</v>
      </c>
    </row>
    <row r="6" spans="1:29" ht="14.95" customHeight="1" thickBot="1" x14ac:dyDescent="0.3">
      <c r="A6" s="62" t="s">
        <v>627</v>
      </c>
      <c r="B6" s="303">
        <v>0</v>
      </c>
      <c r="C6" s="298">
        <v>0</v>
      </c>
      <c r="D6" s="98">
        <v>0</v>
      </c>
      <c r="E6" s="59">
        <f t="shared" si="1"/>
        <v>0</v>
      </c>
      <c r="F6" s="120" t="s">
        <v>627</v>
      </c>
      <c r="G6" s="140">
        <v>0</v>
      </c>
      <c r="H6" s="294">
        <v>0</v>
      </c>
      <c r="I6" s="178">
        <v>0</v>
      </c>
      <c r="J6" s="29">
        <f t="shared" si="0"/>
        <v>0</v>
      </c>
      <c r="K6" s="62" t="s">
        <v>647</v>
      </c>
      <c r="L6" s="63" t="s">
        <v>8</v>
      </c>
      <c r="M6" s="63" t="s">
        <v>8</v>
      </c>
      <c r="N6" s="64" t="s">
        <v>8</v>
      </c>
      <c r="O6" s="63" t="s">
        <v>8</v>
      </c>
      <c r="P6" s="63" t="s">
        <v>8</v>
      </c>
      <c r="Q6" s="64" t="s">
        <v>8</v>
      </c>
      <c r="R6" s="193">
        <v>1</v>
      </c>
      <c r="S6" s="59">
        <v>1</v>
      </c>
      <c r="T6" s="59">
        <v>2</v>
      </c>
      <c r="U6" s="117">
        <v>50</v>
      </c>
      <c r="V6" s="59" t="s">
        <v>8</v>
      </c>
      <c r="W6" s="59" t="s">
        <v>8</v>
      </c>
      <c r="X6" s="117" t="s">
        <v>8</v>
      </c>
      <c r="AA6" s="260" t="s">
        <v>8</v>
      </c>
      <c r="AB6" s="59" t="s">
        <v>8</v>
      </c>
      <c r="AC6" s="117" t="s">
        <v>8</v>
      </c>
    </row>
    <row r="7" spans="1:29" ht="14.95" customHeight="1" thickBot="1" x14ac:dyDescent="0.3">
      <c r="A7" s="62" t="s">
        <v>639</v>
      </c>
      <c r="B7" s="303">
        <v>0</v>
      </c>
      <c r="C7" s="298">
        <v>0</v>
      </c>
      <c r="D7" s="98">
        <v>0</v>
      </c>
      <c r="E7" s="59">
        <f t="shared" si="1"/>
        <v>0</v>
      </c>
      <c r="F7" s="120" t="s">
        <v>639</v>
      </c>
      <c r="G7" s="140">
        <v>0</v>
      </c>
      <c r="H7" s="294">
        <v>0</v>
      </c>
      <c r="I7" s="178">
        <v>0</v>
      </c>
      <c r="J7" s="29">
        <f t="shared" si="0"/>
        <v>0</v>
      </c>
      <c r="K7" s="62" t="s">
        <v>439</v>
      </c>
      <c r="L7" s="63">
        <v>9</v>
      </c>
      <c r="M7" s="63">
        <v>16</v>
      </c>
      <c r="N7" s="64">
        <f>SUM(L7/M7)*100</f>
        <v>56.25</v>
      </c>
      <c r="O7" s="63" t="s">
        <v>8</v>
      </c>
      <c r="P7" s="63" t="s">
        <v>8</v>
      </c>
      <c r="Q7" s="64" t="s">
        <v>8</v>
      </c>
      <c r="R7" s="193">
        <v>-2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AA7" s="185" t="s">
        <v>8</v>
      </c>
      <c r="AB7" s="59" t="s">
        <v>8</v>
      </c>
      <c r="AC7" s="117" t="s">
        <v>8</v>
      </c>
    </row>
    <row r="8" spans="1:29" ht="14.95" customHeight="1" thickBot="1" x14ac:dyDescent="0.3">
      <c r="A8" s="62" t="s">
        <v>274</v>
      </c>
      <c r="B8" s="303">
        <v>0</v>
      </c>
      <c r="C8" s="298">
        <v>0</v>
      </c>
      <c r="D8" s="98">
        <v>0</v>
      </c>
      <c r="E8" s="59">
        <f t="shared" si="1"/>
        <v>0</v>
      </c>
      <c r="F8" s="120" t="s">
        <v>274</v>
      </c>
      <c r="G8" s="140">
        <v>0</v>
      </c>
      <c r="H8" s="294">
        <v>0</v>
      </c>
      <c r="I8" s="178">
        <v>0</v>
      </c>
      <c r="J8" s="29">
        <f t="shared" si="0"/>
        <v>0</v>
      </c>
      <c r="K8" s="62" t="s">
        <v>258</v>
      </c>
      <c r="L8" s="63">
        <v>9</v>
      </c>
      <c r="M8" s="63">
        <v>17</v>
      </c>
      <c r="N8" s="64">
        <f>SUM(L8/M8)*100</f>
        <v>52.941176470588239</v>
      </c>
      <c r="O8" s="63">
        <v>1</v>
      </c>
      <c r="P8" s="63">
        <v>1</v>
      </c>
      <c r="Q8" s="64">
        <f>SUM(O8/P8)*100</f>
        <v>100</v>
      </c>
      <c r="R8" s="238">
        <v>1</v>
      </c>
      <c r="S8" s="59">
        <v>2</v>
      </c>
      <c r="T8" s="59">
        <v>3</v>
      </c>
      <c r="U8" s="117">
        <f>SUM(S8/T8)*100</f>
        <v>66.666666666666657</v>
      </c>
      <c r="V8" s="59">
        <v>0</v>
      </c>
      <c r="W8" s="59">
        <v>1</v>
      </c>
      <c r="X8" s="117">
        <f>SUM(V8/W8)*100</f>
        <v>0</v>
      </c>
      <c r="AA8" s="260">
        <v>2</v>
      </c>
      <c r="AB8" s="59">
        <v>4</v>
      </c>
      <c r="AC8" s="117">
        <f>SUM(AA8/AB8)*100</f>
        <v>50</v>
      </c>
    </row>
    <row r="9" spans="1:29" ht="14.95" customHeight="1" thickBot="1" x14ac:dyDescent="0.3">
      <c r="A9" s="62" t="s">
        <v>636</v>
      </c>
      <c r="B9" s="303">
        <v>0</v>
      </c>
      <c r="C9" s="298">
        <v>0</v>
      </c>
      <c r="D9" s="98">
        <v>0</v>
      </c>
      <c r="E9" s="59">
        <f t="shared" si="1"/>
        <v>0</v>
      </c>
      <c r="F9" s="120" t="s">
        <v>636</v>
      </c>
      <c r="G9" s="140">
        <v>0</v>
      </c>
      <c r="H9" s="294">
        <v>0</v>
      </c>
      <c r="I9" s="178">
        <v>0</v>
      </c>
      <c r="J9" s="29">
        <f t="shared" si="0"/>
        <v>0</v>
      </c>
      <c r="K9" s="62" t="s">
        <v>274</v>
      </c>
      <c r="L9" s="63" t="s">
        <v>8</v>
      </c>
      <c r="M9" s="63" t="s">
        <v>8</v>
      </c>
      <c r="N9" s="64" t="s">
        <v>8</v>
      </c>
      <c r="O9" s="63" t="s">
        <v>8</v>
      </c>
      <c r="P9" s="63" t="s">
        <v>8</v>
      </c>
      <c r="Q9" s="64" t="s">
        <v>8</v>
      </c>
      <c r="R9" s="193">
        <v>1</v>
      </c>
      <c r="S9" s="59" t="s">
        <v>8</v>
      </c>
      <c r="T9" s="59" t="s">
        <v>8</v>
      </c>
      <c r="U9" s="117" t="s">
        <v>8</v>
      </c>
      <c r="V9" s="59" t="s">
        <v>8</v>
      </c>
      <c r="W9" s="59" t="s">
        <v>8</v>
      </c>
      <c r="X9" s="117" t="s">
        <v>8</v>
      </c>
      <c r="AA9" s="260">
        <v>1</v>
      </c>
      <c r="AB9" s="59">
        <v>1</v>
      </c>
      <c r="AC9" s="117">
        <f>SUM(AA9/AB9)*100</f>
        <v>100</v>
      </c>
    </row>
    <row r="10" spans="1:29" ht="14.95" customHeight="1" thickBot="1" x14ac:dyDescent="0.3">
      <c r="A10" s="62" t="s">
        <v>282</v>
      </c>
      <c r="B10" s="303">
        <v>0</v>
      </c>
      <c r="C10" s="298">
        <v>0</v>
      </c>
      <c r="D10" s="98">
        <v>0</v>
      </c>
      <c r="E10" s="59">
        <f t="shared" si="1"/>
        <v>0</v>
      </c>
      <c r="F10" s="120" t="s">
        <v>282</v>
      </c>
      <c r="G10" s="140">
        <v>0</v>
      </c>
      <c r="H10" s="294">
        <v>0</v>
      </c>
      <c r="I10" s="178">
        <v>0</v>
      </c>
      <c r="J10" s="29">
        <f t="shared" si="0"/>
        <v>0</v>
      </c>
      <c r="K10" s="219"/>
      <c r="L10" s="191"/>
      <c r="M10" s="187"/>
      <c r="N10" s="192"/>
      <c r="O10" s="187"/>
      <c r="P10" s="187"/>
      <c r="Q10" s="188"/>
      <c r="R10" s="189"/>
    </row>
    <row r="11" spans="1:29" ht="14.95" customHeight="1" thickBot="1" x14ac:dyDescent="0.3">
      <c r="A11" s="62" t="s">
        <v>348</v>
      </c>
      <c r="B11" s="303">
        <v>0</v>
      </c>
      <c r="C11" s="298">
        <v>0</v>
      </c>
      <c r="D11" s="98">
        <v>0</v>
      </c>
      <c r="E11" s="59">
        <f t="shared" si="1"/>
        <v>0</v>
      </c>
      <c r="F11" s="120" t="s">
        <v>348</v>
      </c>
      <c r="G11" s="140">
        <v>0</v>
      </c>
      <c r="H11" s="294">
        <v>0</v>
      </c>
      <c r="I11" s="178">
        <v>0</v>
      </c>
      <c r="J11" s="29">
        <f t="shared" si="0"/>
        <v>0</v>
      </c>
      <c r="K11" s="598" t="s">
        <v>438</v>
      </c>
      <c r="L11" s="530">
        <v>2025</v>
      </c>
      <c r="M11" s="531"/>
      <c r="N11" s="532"/>
      <c r="O11" s="516">
        <v>2024</v>
      </c>
      <c r="P11" s="517"/>
      <c r="Q11" s="518"/>
      <c r="R11" s="516">
        <v>2023</v>
      </c>
      <c r="S11" s="517"/>
      <c r="T11" s="518"/>
    </row>
    <row r="12" spans="1:29" ht="14.95" customHeight="1" thickBot="1" x14ac:dyDescent="0.3">
      <c r="A12" s="62" t="s">
        <v>349</v>
      </c>
      <c r="B12" s="303">
        <v>0</v>
      </c>
      <c r="C12" s="298">
        <v>0</v>
      </c>
      <c r="D12" s="98">
        <v>0</v>
      </c>
      <c r="E12" s="59">
        <f t="shared" si="1"/>
        <v>0</v>
      </c>
      <c r="F12" s="120" t="s">
        <v>349</v>
      </c>
      <c r="G12" s="140">
        <v>0</v>
      </c>
      <c r="H12" s="294">
        <v>0</v>
      </c>
      <c r="I12" s="178">
        <v>0</v>
      </c>
      <c r="J12" s="29">
        <f t="shared" si="0"/>
        <v>0</v>
      </c>
      <c r="K12" s="599"/>
      <c r="L12" s="533"/>
      <c r="M12" s="534"/>
      <c r="N12" s="535"/>
      <c r="O12" s="519"/>
      <c r="P12" s="520"/>
      <c r="Q12" s="521"/>
      <c r="R12" s="519"/>
      <c r="S12" s="520"/>
      <c r="T12" s="521"/>
    </row>
    <row r="13" spans="1:29" ht="14.95" customHeight="1" thickBot="1" x14ac:dyDescent="0.3">
      <c r="A13" s="62" t="s">
        <v>490</v>
      </c>
      <c r="B13" s="303">
        <v>0</v>
      </c>
      <c r="C13" s="298">
        <v>0</v>
      </c>
      <c r="D13" s="98">
        <v>0</v>
      </c>
      <c r="E13" s="59">
        <f t="shared" si="1"/>
        <v>0</v>
      </c>
      <c r="F13" s="120" t="s">
        <v>490</v>
      </c>
      <c r="G13" s="140">
        <v>0</v>
      </c>
      <c r="H13" s="294">
        <v>0</v>
      </c>
      <c r="I13" s="178">
        <v>0</v>
      </c>
      <c r="J13" s="29">
        <f t="shared" si="0"/>
        <v>0</v>
      </c>
      <c r="K13" s="211"/>
      <c r="L13" s="29" t="s">
        <v>17</v>
      </c>
      <c r="M13" s="29" t="s">
        <v>5</v>
      </c>
      <c r="N13" s="29" t="s">
        <v>6</v>
      </c>
      <c r="O13" s="59" t="s">
        <v>17</v>
      </c>
      <c r="P13" s="59" t="s">
        <v>5</v>
      </c>
      <c r="Q13" s="59" t="s">
        <v>6</v>
      </c>
      <c r="R13" s="59" t="s">
        <v>17</v>
      </c>
      <c r="S13" s="59" t="s">
        <v>5</v>
      </c>
      <c r="T13" s="59" t="s">
        <v>6</v>
      </c>
    </row>
    <row r="14" spans="1:29" ht="14.95" customHeight="1" thickBot="1" x14ac:dyDescent="0.3">
      <c r="A14" s="62" t="s">
        <v>437</v>
      </c>
      <c r="B14" s="303">
        <v>0</v>
      </c>
      <c r="C14" s="298">
        <v>0</v>
      </c>
      <c r="D14" s="98">
        <v>0</v>
      </c>
      <c r="E14" s="59">
        <f t="shared" si="1"/>
        <v>0</v>
      </c>
      <c r="F14" s="120" t="s">
        <v>437</v>
      </c>
      <c r="G14" s="140">
        <v>0</v>
      </c>
      <c r="H14" s="294">
        <v>0</v>
      </c>
      <c r="I14" s="178">
        <v>0</v>
      </c>
      <c r="J14" s="29">
        <f t="shared" si="0"/>
        <v>0</v>
      </c>
      <c r="K14" s="62" t="s">
        <v>439</v>
      </c>
      <c r="L14" s="213">
        <v>9</v>
      </c>
      <c r="M14" s="213">
        <v>16</v>
      </c>
      <c r="N14" s="214">
        <f>SUM(L14/M14)*100</f>
        <v>56.25</v>
      </c>
      <c r="O14" s="59">
        <v>11</v>
      </c>
      <c r="P14" s="59">
        <v>15</v>
      </c>
      <c r="Q14" s="117">
        <f>SUM(O14/P14)*100</f>
        <v>73.333333333333329</v>
      </c>
      <c r="R14" s="59">
        <v>8</v>
      </c>
      <c r="S14" s="59">
        <v>12</v>
      </c>
      <c r="T14" s="117">
        <f>SUM(R14/S14)*100</f>
        <v>66.666666666666657</v>
      </c>
    </row>
    <row r="15" spans="1:29" ht="14.95" customHeight="1" thickBot="1" x14ac:dyDescent="0.3">
      <c r="A15" s="62" t="s">
        <v>775</v>
      </c>
      <c r="B15" s="303">
        <v>0</v>
      </c>
      <c r="C15" s="298">
        <v>0</v>
      </c>
      <c r="D15" s="98">
        <v>0</v>
      </c>
      <c r="E15" s="59">
        <f t="shared" si="1"/>
        <v>0</v>
      </c>
      <c r="F15" s="120" t="s">
        <v>775</v>
      </c>
      <c r="G15" s="140">
        <v>0</v>
      </c>
      <c r="H15" s="294">
        <v>0</v>
      </c>
      <c r="I15" s="178">
        <v>0</v>
      </c>
      <c r="J15" s="29">
        <f t="shared" si="0"/>
        <v>0</v>
      </c>
      <c r="K15" s="62" t="s">
        <v>222</v>
      </c>
      <c r="L15" s="213">
        <v>5</v>
      </c>
      <c r="M15" s="213">
        <v>9</v>
      </c>
      <c r="N15" s="214">
        <f>SUM(L15/M15)*100</f>
        <v>55.555555555555557</v>
      </c>
      <c r="O15" s="59">
        <v>11</v>
      </c>
      <c r="P15" s="59">
        <v>15</v>
      </c>
      <c r="Q15" s="117">
        <f>SUM(O15/P15)*100</f>
        <v>73.333333333333329</v>
      </c>
      <c r="R15" s="59">
        <v>8</v>
      </c>
      <c r="S15" s="59">
        <v>12</v>
      </c>
      <c r="T15" s="117">
        <f>SUM(R15/S15)*100</f>
        <v>66.666666666666657</v>
      </c>
    </row>
    <row r="16" spans="1:29" ht="14.95" customHeight="1" thickBot="1" x14ac:dyDescent="0.3">
      <c r="A16" s="62" t="s">
        <v>350</v>
      </c>
      <c r="B16" s="303">
        <v>0</v>
      </c>
      <c r="C16" s="298">
        <v>0</v>
      </c>
      <c r="D16" s="98">
        <v>0</v>
      </c>
      <c r="E16" s="59">
        <f t="shared" si="1"/>
        <v>0</v>
      </c>
      <c r="F16" s="120" t="s">
        <v>350</v>
      </c>
      <c r="G16" s="140">
        <v>0</v>
      </c>
      <c r="H16" s="294">
        <v>0</v>
      </c>
      <c r="I16" s="178">
        <v>0</v>
      </c>
      <c r="J16" s="29">
        <f t="shared" si="0"/>
        <v>0</v>
      </c>
      <c r="K16" s="190"/>
      <c r="L16" s="209"/>
      <c r="M16" s="187"/>
      <c r="N16" s="210"/>
    </row>
    <row r="17" spans="1:20" ht="14.95" customHeight="1" thickBot="1" x14ac:dyDescent="0.3">
      <c r="A17" s="62" t="s">
        <v>887</v>
      </c>
      <c r="B17" s="303">
        <v>0</v>
      </c>
      <c r="C17" s="298">
        <v>0</v>
      </c>
      <c r="D17" s="98">
        <v>0</v>
      </c>
      <c r="E17" s="59">
        <f t="shared" si="1"/>
        <v>0</v>
      </c>
      <c r="F17" s="120" t="s">
        <v>887</v>
      </c>
      <c r="G17" s="140">
        <v>0</v>
      </c>
      <c r="H17" s="294">
        <v>0</v>
      </c>
      <c r="I17" s="178">
        <v>0</v>
      </c>
      <c r="J17" s="29">
        <f t="shared" si="0"/>
        <v>0</v>
      </c>
      <c r="K17" s="596" t="s">
        <v>345</v>
      </c>
      <c r="L17" s="530">
        <v>2025</v>
      </c>
      <c r="M17" s="531"/>
      <c r="N17" s="532"/>
      <c r="O17" s="516">
        <v>2022</v>
      </c>
      <c r="P17" s="517"/>
      <c r="Q17" s="518"/>
    </row>
    <row r="18" spans="1:20" ht="14.95" customHeight="1" thickBot="1" x14ac:dyDescent="0.3">
      <c r="A18" s="62" t="s">
        <v>640</v>
      </c>
      <c r="B18" s="303">
        <v>0</v>
      </c>
      <c r="C18" s="298">
        <v>0</v>
      </c>
      <c r="D18" s="98">
        <v>0</v>
      </c>
      <c r="E18" s="59">
        <f t="shared" si="1"/>
        <v>0</v>
      </c>
      <c r="F18" s="120" t="s">
        <v>640</v>
      </c>
      <c r="G18" s="140">
        <v>0</v>
      </c>
      <c r="H18" s="294">
        <v>0</v>
      </c>
      <c r="I18" s="178">
        <v>0</v>
      </c>
      <c r="J18" s="29">
        <f t="shared" si="0"/>
        <v>0</v>
      </c>
      <c r="K18" s="597"/>
      <c r="L18" s="533"/>
      <c r="M18" s="534"/>
      <c r="N18" s="535"/>
      <c r="O18" s="519"/>
      <c r="P18" s="520"/>
      <c r="Q18" s="521"/>
    </row>
    <row r="19" spans="1:20" ht="14.95" customHeight="1" thickBot="1" x14ac:dyDescent="0.3">
      <c r="A19" s="62" t="s">
        <v>765</v>
      </c>
      <c r="B19" s="303">
        <v>0</v>
      </c>
      <c r="C19" s="298">
        <v>0</v>
      </c>
      <c r="D19" s="98">
        <v>0</v>
      </c>
      <c r="E19" s="59">
        <f t="shared" si="1"/>
        <v>0</v>
      </c>
      <c r="F19" s="120" t="s">
        <v>765</v>
      </c>
      <c r="G19" s="140">
        <v>0</v>
      </c>
      <c r="H19" s="294">
        <v>0</v>
      </c>
      <c r="I19" s="178">
        <v>0</v>
      </c>
      <c r="J19" s="29">
        <f t="shared" si="0"/>
        <v>0</v>
      </c>
      <c r="K19" s="304"/>
      <c r="L19" s="29" t="s">
        <v>17</v>
      </c>
      <c r="M19" s="29" t="s">
        <v>5</v>
      </c>
      <c r="N19" s="29" t="s">
        <v>6</v>
      </c>
      <c r="O19" s="59" t="s">
        <v>17</v>
      </c>
      <c r="P19" s="59" t="s">
        <v>5</v>
      </c>
      <c r="Q19" s="59" t="s">
        <v>6</v>
      </c>
    </row>
    <row r="20" spans="1:20" ht="14.95" customHeight="1" thickBot="1" x14ac:dyDescent="0.3">
      <c r="A20" s="62" t="s">
        <v>647</v>
      </c>
      <c r="B20" s="303">
        <v>0</v>
      </c>
      <c r="C20" s="298">
        <v>0</v>
      </c>
      <c r="D20" s="98">
        <v>0</v>
      </c>
      <c r="E20" s="59">
        <f t="shared" si="1"/>
        <v>0</v>
      </c>
      <c r="F20" s="120" t="s">
        <v>647</v>
      </c>
      <c r="G20" s="140">
        <v>0</v>
      </c>
      <c r="H20" s="294">
        <v>0</v>
      </c>
      <c r="I20" s="178">
        <v>0</v>
      </c>
      <c r="J20" s="29">
        <f t="shared" si="0"/>
        <v>0</v>
      </c>
      <c r="K20" s="62" t="s">
        <v>222</v>
      </c>
      <c r="L20" s="63">
        <v>4</v>
      </c>
      <c r="M20" s="63">
        <v>8</v>
      </c>
      <c r="N20" s="64">
        <f>SUM(L20/M20)*100</f>
        <v>50</v>
      </c>
      <c r="O20" s="59">
        <v>1</v>
      </c>
      <c r="P20" s="59">
        <v>5</v>
      </c>
      <c r="Q20" s="117">
        <v>20</v>
      </c>
    </row>
    <row r="21" spans="1:20" ht="14.95" customHeight="1" thickBot="1" x14ac:dyDescent="0.3">
      <c r="A21" s="62" t="s">
        <v>777</v>
      </c>
      <c r="B21" s="303">
        <v>0</v>
      </c>
      <c r="C21" s="298">
        <v>0</v>
      </c>
      <c r="D21" s="98">
        <v>0</v>
      </c>
      <c r="E21" s="59">
        <f t="shared" si="1"/>
        <v>0</v>
      </c>
      <c r="F21" s="120" t="s">
        <v>777</v>
      </c>
      <c r="G21" s="140">
        <v>0</v>
      </c>
      <c r="H21" s="294">
        <v>0</v>
      </c>
      <c r="I21" s="178">
        <v>0</v>
      </c>
      <c r="J21" s="29">
        <f t="shared" si="0"/>
        <v>0</v>
      </c>
      <c r="K21" s="62" t="s">
        <v>274</v>
      </c>
      <c r="L21" s="63" t="s">
        <v>8</v>
      </c>
      <c r="M21" s="63" t="s">
        <v>8</v>
      </c>
      <c r="N21" s="64" t="s">
        <v>8</v>
      </c>
      <c r="O21" s="59">
        <v>1</v>
      </c>
      <c r="P21" s="59">
        <v>1</v>
      </c>
      <c r="Q21" s="117">
        <v>100</v>
      </c>
      <c r="R21" s="9"/>
      <c r="S21" s="9"/>
      <c r="T21" s="9"/>
    </row>
    <row r="22" spans="1:20" ht="14.95" customHeight="1" thickBot="1" x14ac:dyDescent="0.3">
      <c r="A22" s="62" t="s">
        <v>792</v>
      </c>
      <c r="B22" s="303">
        <v>0</v>
      </c>
      <c r="C22" s="298">
        <v>0</v>
      </c>
      <c r="D22" s="98">
        <v>0</v>
      </c>
      <c r="E22" s="59">
        <f t="shared" si="1"/>
        <v>0</v>
      </c>
      <c r="F22" s="120" t="s">
        <v>792</v>
      </c>
      <c r="G22" s="140">
        <v>0</v>
      </c>
      <c r="H22" s="294">
        <v>0</v>
      </c>
      <c r="I22" s="178">
        <v>0</v>
      </c>
      <c r="J22" s="29">
        <f t="shared" si="0"/>
        <v>0</v>
      </c>
      <c r="K22" s="62" t="s">
        <v>258</v>
      </c>
      <c r="L22" s="385">
        <v>1</v>
      </c>
      <c r="M22" s="385">
        <v>1</v>
      </c>
      <c r="N22" s="386">
        <f>SUM(L22/M22)*100</f>
        <v>100</v>
      </c>
      <c r="O22" s="59" t="s">
        <v>8</v>
      </c>
      <c r="P22" s="59" t="s">
        <v>8</v>
      </c>
      <c r="Q22" s="117" t="s">
        <v>8</v>
      </c>
      <c r="R22" s="9"/>
      <c r="S22" s="9"/>
      <c r="T22" s="9"/>
    </row>
    <row r="23" spans="1:20" ht="14.95" customHeight="1" thickBot="1" x14ac:dyDescent="0.3">
      <c r="A23" s="62" t="s">
        <v>351</v>
      </c>
      <c r="B23" s="303">
        <v>0</v>
      </c>
      <c r="C23" s="298">
        <v>0</v>
      </c>
      <c r="D23" s="98">
        <v>0</v>
      </c>
      <c r="E23" s="59">
        <f t="shared" si="1"/>
        <v>0</v>
      </c>
      <c r="F23" s="120" t="s">
        <v>351</v>
      </c>
      <c r="G23" s="140">
        <v>0</v>
      </c>
      <c r="H23" s="294">
        <v>0</v>
      </c>
      <c r="I23" s="178">
        <v>0</v>
      </c>
      <c r="J23" s="29">
        <f t="shared" si="0"/>
        <v>0</v>
      </c>
      <c r="O23" s="20"/>
      <c r="P23" s="20"/>
      <c r="Q23" s="23"/>
    </row>
    <row r="24" spans="1:20" ht="14.95" customHeight="1" thickBot="1" x14ac:dyDescent="0.3">
      <c r="A24" s="62" t="s">
        <v>352</v>
      </c>
      <c r="B24" s="303">
        <v>0</v>
      </c>
      <c r="C24" s="298">
        <v>0</v>
      </c>
      <c r="D24" s="98">
        <v>0</v>
      </c>
      <c r="E24" s="59">
        <f t="shared" si="1"/>
        <v>0</v>
      </c>
      <c r="F24" s="120" t="s">
        <v>352</v>
      </c>
      <c r="G24" s="140">
        <v>0</v>
      </c>
      <c r="H24" s="294">
        <v>0</v>
      </c>
      <c r="I24" s="178">
        <v>0</v>
      </c>
      <c r="J24" s="29">
        <f t="shared" si="0"/>
        <v>0</v>
      </c>
      <c r="K24" s="546" t="s">
        <v>500</v>
      </c>
      <c r="L24" s="516">
        <v>2024</v>
      </c>
      <c r="M24" s="517"/>
      <c r="N24" s="518"/>
      <c r="O24" s="516">
        <v>2023</v>
      </c>
      <c r="P24" s="517"/>
      <c r="Q24" s="518"/>
    </row>
    <row r="25" spans="1:20" ht="14.95" customHeight="1" thickBot="1" x14ac:dyDescent="0.3">
      <c r="A25" s="62" t="s">
        <v>776</v>
      </c>
      <c r="B25" s="303">
        <v>0</v>
      </c>
      <c r="C25" s="298">
        <v>0</v>
      </c>
      <c r="D25" s="98">
        <v>0</v>
      </c>
      <c r="E25" s="59">
        <f t="shared" si="1"/>
        <v>0</v>
      </c>
      <c r="F25" s="120" t="s">
        <v>776</v>
      </c>
      <c r="G25" s="140">
        <v>0</v>
      </c>
      <c r="H25" s="294">
        <v>0</v>
      </c>
      <c r="I25" s="178">
        <v>0</v>
      </c>
      <c r="J25" s="29">
        <f t="shared" si="0"/>
        <v>0</v>
      </c>
      <c r="K25" s="547"/>
      <c r="L25" s="519"/>
      <c r="M25" s="520"/>
      <c r="N25" s="521"/>
      <c r="O25" s="519"/>
      <c r="P25" s="520"/>
      <c r="Q25" s="521"/>
    </row>
    <row r="26" spans="1:20" ht="14.95" customHeight="1" thickBot="1" x14ac:dyDescent="0.3">
      <c r="A26" s="62" t="s">
        <v>968</v>
      </c>
      <c r="B26" s="303">
        <v>0</v>
      </c>
      <c r="C26" s="298">
        <v>0</v>
      </c>
      <c r="D26" s="98">
        <v>0</v>
      </c>
      <c r="E26" s="59">
        <f t="shared" si="1"/>
        <v>0</v>
      </c>
      <c r="F26" s="120" t="s">
        <v>968</v>
      </c>
      <c r="G26" s="140">
        <v>0</v>
      </c>
      <c r="H26" s="294">
        <v>0</v>
      </c>
      <c r="I26" s="178">
        <v>0</v>
      </c>
      <c r="J26" s="29">
        <f t="shared" si="0"/>
        <v>0</v>
      </c>
      <c r="K26" s="221"/>
      <c r="L26" s="59" t="s">
        <v>17</v>
      </c>
      <c r="M26" s="59" t="s">
        <v>5</v>
      </c>
      <c r="N26" s="59" t="s">
        <v>6</v>
      </c>
      <c r="O26" s="59" t="s">
        <v>17</v>
      </c>
      <c r="P26" s="59" t="s">
        <v>5</v>
      </c>
      <c r="Q26" s="59" t="s">
        <v>6</v>
      </c>
    </row>
    <row r="27" spans="1:20" ht="14.95" customHeight="1" thickBot="1" x14ac:dyDescent="0.3">
      <c r="A27" s="62" t="s">
        <v>791</v>
      </c>
      <c r="B27" s="303">
        <v>0</v>
      </c>
      <c r="C27" s="298">
        <v>0</v>
      </c>
      <c r="D27" s="98">
        <v>0</v>
      </c>
      <c r="E27" s="59">
        <f t="shared" si="1"/>
        <v>0</v>
      </c>
      <c r="F27" s="120" t="s">
        <v>791</v>
      </c>
      <c r="G27" s="140">
        <v>0</v>
      </c>
      <c r="H27" s="294">
        <v>0</v>
      </c>
      <c r="I27" s="178">
        <v>0</v>
      </c>
      <c r="J27" s="29">
        <f t="shared" si="0"/>
        <v>0</v>
      </c>
      <c r="K27" s="62" t="s">
        <v>222</v>
      </c>
      <c r="L27" s="59">
        <v>2</v>
      </c>
      <c r="M27" s="59">
        <v>6</v>
      </c>
      <c r="N27" s="117">
        <f>SUM(L27/M27)*100</f>
        <v>33.333333333333329</v>
      </c>
      <c r="O27" s="59">
        <v>6</v>
      </c>
      <c r="P27" s="59">
        <v>9</v>
      </c>
      <c r="Q27" s="117">
        <v>20</v>
      </c>
    </row>
    <row r="28" spans="1:20" ht="14.95" customHeight="1" thickBot="1" x14ac:dyDescent="0.3">
      <c r="A28" s="62" t="s">
        <v>778</v>
      </c>
      <c r="B28" s="303">
        <v>0</v>
      </c>
      <c r="C28" s="298">
        <v>0</v>
      </c>
      <c r="D28" s="98">
        <v>0</v>
      </c>
      <c r="E28" s="59">
        <f t="shared" si="1"/>
        <v>0</v>
      </c>
      <c r="F28" s="120" t="s">
        <v>778</v>
      </c>
      <c r="G28" s="140">
        <v>0</v>
      </c>
      <c r="H28" s="294">
        <v>0</v>
      </c>
      <c r="I28" s="178">
        <v>0</v>
      </c>
      <c r="J28" s="29">
        <f t="shared" si="0"/>
        <v>0</v>
      </c>
      <c r="K28" s="62" t="s">
        <v>647</v>
      </c>
      <c r="L28" s="59">
        <v>1</v>
      </c>
      <c r="M28" s="59">
        <v>2</v>
      </c>
      <c r="N28" s="117">
        <f>SUM(L28/M28)*100</f>
        <v>50</v>
      </c>
      <c r="O28" s="59" t="s">
        <v>8</v>
      </c>
      <c r="P28" s="59" t="s">
        <v>8</v>
      </c>
      <c r="Q28" s="117" t="s">
        <v>8</v>
      </c>
    </row>
    <row r="29" spans="1:20" ht="14.95" customHeight="1" thickBot="1" x14ac:dyDescent="0.3">
      <c r="A29" s="62" t="s">
        <v>439</v>
      </c>
      <c r="B29" s="303">
        <v>0</v>
      </c>
      <c r="C29" s="298">
        <v>0</v>
      </c>
      <c r="D29" s="98">
        <v>0</v>
      </c>
      <c r="E29" s="59">
        <f t="shared" si="1"/>
        <v>0</v>
      </c>
      <c r="F29" s="120" t="s">
        <v>439</v>
      </c>
      <c r="G29" s="140">
        <v>0</v>
      </c>
      <c r="H29" s="294">
        <v>0</v>
      </c>
      <c r="I29" s="178">
        <v>0</v>
      </c>
      <c r="J29" s="29">
        <f t="shared" si="0"/>
        <v>0</v>
      </c>
      <c r="K29" s="62" t="s">
        <v>258</v>
      </c>
      <c r="L29" s="59">
        <v>0</v>
      </c>
      <c r="M29" s="59">
        <v>1</v>
      </c>
      <c r="N29" s="117">
        <f>SUM(L29/M29)*100</f>
        <v>0</v>
      </c>
      <c r="O29" s="59">
        <v>0</v>
      </c>
      <c r="P29" s="59">
        <v>1</v>
      </c>
      <c r="Q29" s="117">
        <f>SUM(O29/P29)*100</f>
        <v>0</v>
      </c>
    </row>
    <row r="30" spans="1:20" ht="14.95" customHeight="1" thickBot="1" x14ac:dyDescent="0.3">
      <c r="A30" s="62" t="s">
        <v>222</v>
      </c>
      <c r="B30" s="303">
        <v>0</v>
      </c>
      <c r="C30" s="298">
        <v>0</v>
      </c>
      <c r="D30" s="98">
        <v>0</v>
      </c>
      <c r="E30" s="59">
        <f t="shared" si="1"/>
        <v>0</v>
      </c>
      <c r="F30" s="120" t="s">
        <v>222</v>
      </c>
      <c r="G30" s="140">
        <v>0</v>
      </c>
      <c r="H30" s="294">
        <v>0</v>
      </c>
      <c r="I30" s="178">
        <v>0</v>
      </c>
      <c r="J30" s="29">
        <f t="shared" si="0"/>
        <v>0</v>
      </c>
      <c r="K30" s="219"/>
    </row>
    <row r="31" spans="1:20" ht="14.95" customHeight="1" thickBot="1" x14ac:dyDescent="0.3">
      <c r="A31" s="62" t="s">
        <v>793</v>
      </c>
      <c r="B31" s="303">
        <v>0</v>
      </c>
      <c r="C31" s="298">
        <v>0</v>
      </c>
      <c r="D31" s="98">
        <v>0</v>
      </c>
      <c r="E31" s="59">
        <f t="shared" si="1"/>
        <v>0</v>
      </c>
      <c r="F31" s="120" t="s">
        <v>793</v>
      </c>
      <c r="G31" s="140">
        <v>0</v>
      </c>
      <c r="H31" s="294">
        <v>0</v>
      </c>
      <c r="I31" s="178">
        <v>0</v>
      </c>
      <c r="J31" s="29">
        <f t="shared" si="0"/>
        <v>0</v>
      </c>
    </row>
    <row r="32" spans="1:20" ht="14.95" customHeight="1" thickBot="1" x14ac:dyDescent="0.3">
      <c r="A32" s="62" t="s">
        <v>208</v>
      </c>
      <c r="B32" s="303">
        <v>0</v>
      </c>
      <c r="C32" s="298">
        <v>0</v>
      </c>
      <c r="D32" s="98">
        <v>0</v>
      </c>
      <c r="E32" s="59">
        <f t="shared" si="1"/>
        <v>0</v>
      </c>
      <c r="F32" s="120" t="s">
        <v>208</v>
      </c>
      <c r="G32" s="140">
        <v>0</v>
      </c>
      <c r="H32" s="294">
        <v>0</v>
      </c>
      <c r="I32" s="178">
        <v>0</v>
      </c>
      <c r="J32" s="29">
        <f t="shared" si="0"/>
        <v>0</v>
      </c>
    </row>
    <row r="33" spans="1:10" ht="14.95" customHeight="1" thickBot="1" x14ac:dyDescent="0.3">
      <c r="A33" s="62" t="s">
        <v>322</v>
      </c>
      <c r="B33" s="303">
        <v>0</v>
      </c>
      <c r="C33" s="298">
        <v>0</v>
      </c>
      <c r="D33" s="98">
        <v>0</v>
      </c>
      <c r="E33" s="59">
        <f t="shared" si="1"/>
        <v>0</v>
      </c>
      <c r="F33" s="120" t="s">
        <v>322</v>
      </c>
      <c r="G33" s="140">
        <v>0</v>
      </c>
      <c r="H33" s="294">
        <v>0</v>
      </c>
      <c r="I33" s="178">
        <v>0</v>
      </c>
      <c r="J33" s="29">
        <f t="shared" si="0"/>
        <v>0</v>
      </c>
    </row>
    <row r="34" spans="1:10" ht="14.95" customHeight="1" thickBot="1" x14ac:dyDescent="0.3">
      <c r="A34" s="62" t="s">
        <v>216</v>
      </c>
      <c r="B34" s="303">
        <v>0</v>
      </c>
      <c r="C34" s="298">
        <v>0</v>
      </c>
      <c r="D34" s="98">
        <v>0</v>
      </c>
      <c r="E34" s="59">
        <f t="shared" si="1"/>
        <v>0</v>
      </c>
      <c r="F34" s="120" t="s">
        <v>216</v>
      </c>
      <c r="G34" s="140">
        <v>0</v>
      </c>
      <c r="H34" s="294">
        <v>0</v>
      </c>
      <c r="I34" s="178">
        <v>0</v>
      </c>
      <c r="J34" s="29">
        <f t="shared" si="0"/>
        <v>0</v>
      </c>
    </row>
    <row r="35" spans="1:10" ht="14.95" customHeight="1" thickBot="1" x14ac:dyDescent="0.3">
      <c r="A35" s="62" t="s">
        <v>353</v>
      </c>
      <c r="B35" s="303">
        <v>0</v>
      </c>
      <c r="C35" s="298">
        <v>0</v>
      </c>
      <c r="D35" s="98">
        <v>0</v>
      </c>
      <c r="E35" s="59">
        <f t="shared" si="1"/>
        <v>0</v>
      </c>
      <c r="F35" s="120" t="s">
        <v>353</v>
      </c>
      <c r="G35" s="140">
        <v>0</v>
      </c>
      <c r="H35" s="294">
        <v>0</v>
      </c>
      <c r="I35" s="178">
        <v>0</v>
      </c>
      <c r="J35" s="29">
        <f t="shared" si="0"/>
        <v>0</v>
      </c>
    </row>
    <row r="36" spans="1:10" ht="14.95" customHeight="1" thickBot="1" x14ac:dyDescent="0.3">
      <c r="A36" s="62" t="s">
        <v>355</v>
      </c>
      <c r="B36" s="303">
        <v>0</v>
      </c>
      <c r="C36" s="298">
        <v>0</v>
      </c>
      <c r="D36" s="98">
        <v>0</v>
      </c>
      <c r="E36" s="59">
        <f t="shared" si="1"/>
        <v>0</v>
      </c>
      <c r="F36" s="120" t="s">
        <v>355</v>
      </c>
      <c r="G36" s="140">
        <v>0</v>
      </c>
      <c r="H36" s="294">
        <v>0</v>
      </c>
      <c r="I36" s="178">
        <v>0</v>
      </c>
      <c r="J36" s="29">
        <f t="shared" si="0"/>
        <v>0</v>
      </c>
    </row>
    <row r="37" spans="1:10" ht="14.95" thickBot="1" x14ac:dyDescent="0.3">
      <c r="A37" s="62" t="s">
        <v>354</v>
      </c>
      <c r="B37" s="303">
        <v>0</v>
      </c>
      <c r="C37" s="298">
        <v>0</v>
      </c>
      <c r="D37" s="98">
        <v>0</v>
      </c>
      <c r="E37" s="59">
        <f t="shared" si="1"/>
        <v>0</v>
      </c>
      <c r="F37" s="120" t="s">
        <v>354</v>
      </c>
      <c r="G37" s="140">
        <v>0</v>
      </c>
      <c r="H37" s="294">
        <v>0</v>
      </c>
      <c r="I37" s="178">
        <v>0</v>
      </c>
      <c r="J37" s="29">
        <f t="shared" si="0"/>
        <v>0</v>
      </c>
    </row>
    <row r="38" spans="1:10" ht="14.95" thickBot="1" x14ac:dyDescent="0.3">
      <c r="A38" s="62" t="s">
        <v>862</v>
      </c>
      <c r="B38" s="303">
        <v>0</v>
      </c>
      <c r="C38" s="298">
        <v>0</v>
      </c>
      <c r="D38" s="98">
        <v>0</v>
      </c>
      <c r="E38" s="59">
        <f t="shared" si="1"/>
        <v>0</v>
      </c>
      <c r="F38" s="120" t="s">
        <v>862</v>
      </c>
      <c r="G38" s="140">
        <v>0</v>
      </c>
      <c r="H38" s="294">
        <v>0</v>
      </c>
      <c r="I38" s="178">
        <v>0</v>
      </c>
      <c r="J38" s="29">
        <f t="shared" si="0"/>
        <v>0</v>
      </c>
    </row>
    <row r="39" spans="1:10" ht="14.95" thickBot="1" x14ac:dyDescent="0.3">
      <c r="A39" s="62" t="s">
        <v>766</v>
      </c>
      <c r="B39" s="303">
        <v>0</v>
      </c>
      <c r="C39" s="298">
        <v>0</v>
      </c>
      <c r="D39" s="98">
        <v>0</v>
      </c>
      <c r="E39" s="59">
        <f t="shared" si="1"/>
        <v>0</v>
      </c>
      <c r="F39" s="120" t="s">
        <v>766</v>
      </c>
      <c r="G39" s="140">
        <v>0</v>
      </c>
      <c r="H39" s="294">
        <v>0</v>
      </c>
      <c r="I39" s="178">
        <v>0</v>
      </c>
      <c r="J39" s="29">
        <f t="shared" si="0"/>
        <v>0</v>
      </c>
    </row>
    <row r="40" spans="1:10" ht="14.95" thickBot="1" x14ac:dyDescent="0.3">
      <c r="A40" s="62" t="s">
        <v>628</v>
      </c>
      <c r="B40" s="303">
        <v>0</v>
      </c>
      <c r="C40" s="298">
        <v>0</v>
      </c>
      <c r="D40" s="98">
        <v>0</v>
      </c>
      <c r="E40" s="59">
        <f t="shared" si="1"/>
        <v>0</v>
      </c>
      <c r="F40" s="120" t="s">
        <v>628</v>
      </c>
      <c r="G40" s="140">
        <v>0</v>
      </c>
      <c r="H40" s="294">
        <v>0</v>
      </c>
      <c r="I40" s="178">
        <v>0</v>
      </c>
      <c r="J40" s="29">
        <f t="shared" si="0"/>
        <v>0</v>
      </c>
    </row>
    <row r="41" spans="1:10" ht="14.95" customHeight="1" thickBot="1" x14ac:dyDescent="0.3">
      <c r="A41" s="62" t="s">
        <v>258</v>
      </c>
      <c r="B41" s="303">
        <v>0</v>
      </c>
      <c r="C41" s="298">
        <v>0</v>
      </c>
      <c r="D41" s="98">
        <v>0</v>
      </c>
      <c r="E41" s="59">
        <f t="shared" si="1"/>
        <v>0</v>
      </c>
      <c r="F41" s="120" t="s">
        <v>258</v>
      </c>
      <c r="G41" s="140">
        <v>0</v>
      </c>
      <c r="H41" s="294">
        <v>0</v>
      </c>
      <c r="I41" s="178">
        <v>0</v>
      </c>
      <c r="J41" s="29">
        <f t="shared" si="0"/>
        <v>0</v>
      </c>
    </row>
    <row r="42" spans="1:10" ht="14.95" thickBot="1" x14ac:dyDescent="0.3">
      <c r="A42" s="62" t="s">
        <v>436</v>
      </c>
      <c r="B42" s="303">
        <v>0</v>
      </c>
      <c r="C42" s="298">
        <v>0</v>
      </c>
      <c r="D42" s="98">
        <v>0</v>
      </c>
      <c r="E42" s="59">
        <f t="shared" si="1"/>
        <v>0</v>
      </c>
      <c r="F42" s="120" t="s">
        <v>436</v>
      </c>
      <c r="G42" s="140">
        <v>0</v>
      </c>
      <c r="H42" s="294">
        <v>0</v>
      </c>
      <c r="I42" s="178">
        <v>0</v>
      </c>
      <c r="J42" s="29">
        <f t="shared" si="0"/>
        <v>0</v>
      </c>
    </row>
    <row r="43" spans="1:10" ht="14.95" thickBot="1" x14ac:dyDescent="0.3">
      <c r="A43" s="62" t="s">
        <v>356</v>
      </c>
      <c r="B43" s="303">
        <v>0</v>
      </c>
      <c r="C43" s="298">
        <v>0</v>
      </c>
      <c r="D43" s="98">
        <v>0</v>
      </c>
      <c r="E43" s="59">
        <f t="shared" si="1"/>
        <v>0</v>
      </c>
      <c r="F43" s="120" t="s">
        <v>356</v>
      </c>
      <c r="G43" s="140">
        <v>0</v>
      </c>
      <c r="H43" s="294">
        <v>0</v>
      </c>
      <c r="I43" s="178">
        <v>0</v>
      </c>
      <c r="J43" s="29">
        <f t="shared" si="0"/>
        <v>0</v>
      </c>
    </row>
    <row r="44" spans="1:10" ht="14.95" thickBot="1" x14ac:dyDescent="0.3">
      <c r="A44" s="62" t="s">
        <v>3</v>
      </c>
      <c r="B44" s="303">
        <f>SUM(B3:B43)</f>
        <v>0</v>
      </c>
      <c r="C44" s="298">
        <f>SUM(C3:C43)</f>
        <v>0</v>
      </c>
      <c r="D44" s="98">
        <f>SUM(D3:D43)</f>
        <v>0</v>
      </c>
      <c r="E44" s="59">
        <f t="shared" si="1"/>
        <v>0</v>
      </c>
      <c r="F44" s="121" t="s">
        <v>3</v>
      </c>
      <c r="G44" s="139">
        <f>SUM(G3:G43)</f>
        <v>0</v>
      </c>
      <c r="H44" s="295">
        <f>SUM(H3:H43)</f>
        <v>0</v>
      </c>
      <c r="I44" s="177">
        <f>SUM(I3:I43)</f>
        <v>0</v>
      </c>
      <c r="J44" s="118">
        <f t="shared" si="0"/>
        <v>0</v>
      </c>
    </row>
    <row r="45" spans="1:10" ht="16.3" x14ac:dyDescent="0.25">
      <c r="D45" s="50"/>
      <c r="F45" s="3"/>
      <c r="G45" s="3"/>
      <c r="H45" s="3"/>
      <c r="I45" s="51"/>
      <c r="J45" s="3"/>
    </row>
    <row r="46" spans="1:10" ht="17" thickBot="1" x14ac:dyDescent="0.3">
      <c r="A46" t="s">
        <v>7</v>
      </c>
      <c r="D46" s="50"/>
      <c r="F46" s="3"/>
      <c r="G46" s="3"/>
      <c r="H46" s="3"/>
      <c r="I46" s="51"/>
      <c r="J46" s="3"/>
    </row>
    <row r="47" spans="1:10" ht="14.95" thickBot="1" x14ac:dyDescent="0.3">
      <c r="A47" s="65" t="s">
        <v>0</v>
      </c>
      <c r="B47" s="302" t="s">
        <v>435</v>
      </c>
      <c r="C47" s="297" t="s">
        <v>720</v>
      </c>
      <c r="D47" s="97" t="s">
        <v>11</v>
      </c>
      <c r="E47" s="68" t="s">
        <v>1</v>
      </c>
      <c r="F47" s="208" t="s">
        <v>2</v>
      </c>
      <c r="G47" s="293" t="s">
        <v>435</v>
      </c>
      <c r="H47" s="148" t="s">
        <v>720</v>
      </c>
      <c r="I47" s="177" t="s">
        <v>11</v>
      </c>
      <c r="J47" s="118" t="s">
        <v>1</v>
      </c>
    </row>
    <row r="48" spans="1:10" ht="14.95" thickBot="1" x14ac:dyDescent="0.3">
      <c r="A48" s="62" t="s">
        <v>636</v>
      </c>
      <c r="B48" s="303">
        <v>2</v>
      </c>
      <c r="C48" s="298">
        <v>0</v>
      </c>
      <c r="D48" s="98">
        <v>2</v>
      </c>
      <c r="E48" s="59">
        <f t="shared" ref="E48:E87" si="2">SUM(B48:D48)</f>
        <v>4</v>
      </c>
      <c r="F48" s="119" t="s">
        <v>636</v>
      </c>
      <c r="G48" s="140">
        <v>10</v>
      </c>
      <c r="H48" s="294">
        <v>0</v>
      </c>
      <c r="I48" s="178">
        <v>10</v>
      </c>
      <c r="J48" s="29">
        <f t="shared" ref="J48:J87" si="3">SUM(G48:I48)</f>
        <v>20</v>
      </c>
    </row>
    <row r="49" spans="1:10" ht="14.95" thickBot="1" x14ac:dyDescent="0.3">
      <c r="A49" s="62" t="s">
        <v>490</v>
      </c>
      <c r="B49" s="303">
        <v>4</v>
      </c>
      <c r="C49" s="298">
        <v>0</v>
      </c>
      <c r="D49" s="98">
        <v>0</v>
      </c>
      <c r="E49" s="59">
        <f t="shared" si="2"/>
        <v>4</v>
      </c>
      <c r="F49" s="119" t="s">
        <v>490</v>
      </c>
      <c r="G49" s="140">
        <v>20</v>
      </c>
      <c r="H49" s="294">
        <v>0</v>
      </c>
      <c r="I49" s="178">
        <v>0</v>
      </c>
      <c r="J49" s="29">
        <f t="shared" si="3"/>
        <v>20</v>
      </c>
    </row>
    <row r="50" spans="1:10" ht="14.95" thickBot="1" x14ac:dyDescent="0.3">
      <c r="A50" s="62" t="s">
        <v>350</v>
      </c>
      <c r="B50" s="303">
        <v>4</v>
      </c>
      <c r="C50" s="298">
        <v>0</v>
      </c>
      <c r="D50" s="98">
        <v>0</v>
      </c>
      <c r="E50" s="59">
        <f t="shared" si="2"/>
        <v>4</v>
      </c>
      <c r="F50" s="120" t="s">
        <v>350</v>
      </c>
      <c r="G50" s="140">
        <v>20</v>
      </c>
      <c r="H50" s="294">
        <v>0</v>
      </c>
      <c r="I50" s="178">
        <v>0</v>
      </c>
      <c r="J50" s="29">
        <f t="shared" si="3"/>
        <v>20</v>
      </c>
    </row>
    <row r="51" spans="1:10" ht="14.95" thickBot="1" x14ac:dyDescent="0.3">
      <c r="A51" s="62" t="s">
        <v>793</v>
      </c>
      <c r="B51" s="303">
        <v>4</v>
      </c>
      <c r="C51" s="298">
        <v>0</v>
      </c>
      <c r="D51" s="98">
        <v>0</v>
      </c>
      <c r="E51" s="59">
        <f t="shared" si="2"/>
        <v>4</v>
      </c>
      <c r="F51" s="120" t="s">
        <v>793</v>
      </c>
      <c r="G51" s="140">
        <v>20</v>
      </c>
      <c r="H51" s="294">
        <v>0</v>
      </c>
      <c r="I51" s="178">
        <v>0</v>
      </c>
      <c r="J51" s="29">
        <f t="shared" si="3"/>
        <v>20</v>
      </c>
    </row>
    <row r="52" spans="1:10" ht="14.95" thickBot="1" x14ac:dyDescent="0.3">
      <c r="A52" s="62" t="s">
        <v>862</v>
      </c>
      <c r="B52" s="303">
        <v>0</v>
      </c>
      <c r="C52" s="298">
        <v>0</v>
      </c>
      <c r="D52" s="98">
        <v>4</v>
      </c>
      <c r="E52" s="59">
        <f t="shared" si="2"/>
        <v>4</v>
      </c>
      <c r="F52" s="120" t="s">
        <v>862</v>
      </c>
      <c r="G52" s="140">
        <v>0</v>
      </c>
      <c r="H52" s="294">
        <v>0</v>
      </c>
      <c r="I52" s="178">
        <v>20</v>
      </c>
      <c r="J52" s="29">
        <f t="shared" si="3"/>
        <v>20</v>
      </c>
    </row>
    <row r="53" spans="1:10" ht="14.95" thickBot="1" x14ac:dyDescent="0.3">
      <c r="A53" s="62" t="s">
        <v>775</v>
      </c>
      <c r="B53" s="303">
        <v>1</v>
      </c>
      <c r="C53" s="298">
        <v>0</v>
      </c>
      <c r="D53" s="98">
        <v>2</v>
      </c>
      <c r="E53" s="59">
        <f t="shared" si="2"/>
        <v>3</v>
      </c>
      <c r="F53" s="120" t="s">
        <v>222</v>
      </c>
      <c r="G53" s="140">
        <v>10</v>
      </c>
      <c r="H53" s="294">
        <v>6</v>
      </c>
      <c r="I53" s="178">
        <v>3</v>
      </c>
      <c r="J53" s="29">
        <f t="shared" si="3"/>
        <v>19</v>
      </c>
    </row>
    <row r="54" spans="1:10" ht="14.95" thickBot="1" x14ac:dyDescent="0.3">
      <c r="A54" s="62" t="s">
        <v>627</v>
      </c>
      <c r="B54" s="303">
        <v>0</v>
      </c>
      <c r="C54" s="298">
        <v>1</v>
      </c>
      <c r="D54" s="98">
        <v>1</v>
      </c>
      <c r="E54" s="59">
        <f t="shared" si="2"/>
        <v>2</v>
      </c>
      <c r="F54" s="120" t="s">
        <v>439</v>
      </c>
      <c r="G54" s="140">
        <v>18</v>
      </c>
      <c r="H54" s="294">
        <v>0</v>
      </c>
      <c r="I54" s="178">
        <v>0</v>
      </c>
      <c r="J54" s="29">
        <f t="shared" si="3"/>
        <v>18</v>
      </c>
    </row>
    <row r="55" spans="1:10" ht="14.95" thickBot="1" x14ac:dyDescent="0.3">
      <c r="A55" s="62" t="s">
        <v>437</v>
      </c>
      <c r="B55" s="303">
        <v>1</v>
      </c>
      <c r="C55" s="298">
        <v>0</v>
      </c>
      <c r="D55" s="98">
        <v>1</v>
      </c>
      <c r="E55" s="59">
        <f t="shared" si="2"/>
        <v>2</v>
      </c>
      <c r="F55" s="120" t="s">
        <v>258</v>
      </c>
      <c r="G55" s="140">
        <v>0</v>
      </c>
      <c r="H55" s="294">
        <v>0</v>
      </c>
      <c r="I55" s="178">
        <v>18</v>
      </c>
      <c r="J55" s="29">
        <f t="shared" si="3"/>
        <v>18</v>
      </c>
    </row>
    <row r="56" spans="1:10" ht="14.95" thickBot="1" x14ac:dyDescent="0.3">
      <c r="A56" s="62" t="s">
        <v>765</v>
      </c>
      <c r="B56" s="303">
        <v>0</v>
      </c>
      <c r="C56" s="298">
        <v>0</v>
      </c>
      <c r="D56" s="98">
        <v>2</v>
      </c>
      <c r="E56" s="59">
        <f t="shared" si="2"/>
        <v>2</v>
      </c>
      <c r="F56" s="120" t="s">
        <v>775</v>
      </c>
      <c r="G56" s="140">
        <v>5</v>
      </c>
      <c r="H56" s="294">
        <v>0</v>
      </c>
      <c r="I56" s="178">
        <v>10</v>
      </c>
      <c r="J56" s="29">
        <f t="shared" si="3"/>
        <v>15</v>
      </c>
    </row>
    <row r="57" spans="1:10" ht="14.95" thickBot="1" x14ac:dyDescent="0.3">
      <c r="A57" s="62" t="s">
        <v>777</v>
      </c>
      <c r="B57" s="303">
        <v>2</v>
      </c>
      <c r="C57" s="298">
        <v>0</v>
      </c>
      <c r="D57" s="98">
        <v>0</v>
      </c>
      <c r="E57" s="59">
        <f t="shared" si="2"/>
        <v>2</v>
      </c>
      <c r="F57" s="120" t="s">
        <v>627</v>
      </c>
      <c r="G57" s="140">
        <v>0</v>
      </c>
      <c r="H57" s="294">
        <v>5</v>
      </c>
      <c r="I57" s="178">
        <v>5</v>
      </c>
      <c r="J57" s="29">
        <f t="shared" si="3"/>
        <v>10</v>
      </c>
    </row>
    <row r="58" spans="1:10" ht="14.95" thickBot="1" x14ac:dyDescent="0.3">
      <c r="A58" s="62" t="s">
        <v>351</v>
      </c>
      <c r="B58" s="303">
        <v>0</v>
      </c>
      <c r="C58" s="298">
        <v>0</v>
      </c>
      <c r="D58" s="98">
        <v>2</v>
      </c>
      <c r="E58" s="59">
        <f t="shared" si="2"/>
        <v>2</v>
      </c>
      <c r="F58" s="120" t="s">
        <v>437</v>
      </c>
      <c r="G58" s="140">
        <v>5</v>
      </c>
      <c r="H58" s="294">
        <v>0</v>
      </c>
      <c r="I58" s="178">
        <v>5</v>
      </c>
      <c r="J58" s="29">
        <f t="shared" si="3"/>
        <v>10</v>
      </c>
    </row>
    <row r="59" spans="1:10" ht="14.95" thickBot="1" x14ac:dyDescent="0.3">
      <c r="A59" s="62" t="s">
        <v>778</v>
      </c>
      <c r="B59" s="303">
        <v>2</v>
      </c>
      <c r="C59" s="298">
        <v>0</v>
      </c>
      <c r="D59" s="98">
        <v>0</v>
      </c>
      <c r="E59" s="59">
        <f t="shared" si="2"/>
        <v>2</v>
      </c>
      <c r="F59" s="120" t="s">
        <v>765</v>
      </c>
      <c r="G59" s="140">
        <v>0</v>
      </c>
      <c r="H59" s="294">
        <v>0</v>
      </c>
      <c r="I59" s="178">
        <v>10</v>
      </c>
      <c r="J59" s="29">
        <f t="shared" si="3"/>
        <v>10</v>
      </c>
    </row>
    <row r="60" spans="1:10" ht="14.95" thickBot="1" x14ac:dyDescent="0.3">
      <c r="A60" s="62" t="s">
        <v>554</v>
      </c>
      <c r="B60" s="303">
        <v>1</v>
      </c>
      <c r="C60" s="298">
        <v>0</v>
      </c>
      <c r="D60" s="98">
        <v>0</v>
      </c>
      <c r="E60" s="59">
        <f t="shared" si="2"/>
        <v>1</v>
      </c>
      <c r="F60" s="120" t="s">
        <v>777</v>
      </c>
      <c r="G60" s="140">
        <v>10</v>
      </c>
      <c r="H60" s="294">
        <v>0</v>
      </c>
      <c r="I60" s="178">
        <v>0</v>
      </c>
      <c r="J60" s="29">
        <f t="shared" si="3"/>
        <v>10</v>
      </c>
    </row>
    <row r="61" spans="1:10" ht="14.95" thickBot="1" x14ac:dyDescent="0.3">
      <c r="A61" s="62" t="s">
        <v>217</v>
      </c>
      <c r="B61" s="303">
        <v>0</v>
      </c>
      <c r="C61" s="298">
        <v>0</v>
      </c>
      <c r="D61" s="98">
        <v>1</v>
      </c>
      <c r="E61" s="59">
        <f t="shared" si="2"/>
        <v>1</v>
      </c>
      <c r="F61" s="120" t="s">
        <v>351</v>
      </c>
      <c r="G61" s="140">
        <v>0</v>
      </c>
      <c r="H61" s="294">
        <v>0</v>
      </c>
      <c r="I61" s="178">
        <v>10</v>
      </c>
      <c r="J61" s="29">
        <f t="shared" si="3"/>
        <v>10</v>
      </c>
    </row>
    <row r="62" spans="1:10" ht="14.95" thickBot="1" x14ac:dyDescent="0.3">
      <c r="A62" s="62" t="s">
        <v>639</v>
      </c>
      <c r="B62" s="303">
        <v>0</v>
      </c>
      <c r="C62" s="298">
        <v>1</v>
      </c>
      <c r="D62" s="98">
        <v>0</v>
      </c>
      <c r="E62" s="59">
        <f t="shared" si="2"/>
        <v>1</v>
      </c>
      <c r="F62" s="120" t="s">
        <v>778</v>
      </c>
      <c r="G62" s="140">
        <v>10</v>
      </c>
      <c r="H62" s="294">
        <v>0</v>
      </c>
      <c r="I62" s="178">
        <v>0</v>
      </c>
      <c r="J62" s="29">
        <f t="shared" si="3"/>
        <v>10</v>
      </c>
    </row>
    <row r="63" spans="1:10" ht="14.95" thickBot="1" x14ac:dyDescent="0.3">
      <c r="A63" s="62" t="s">
        <v>274</v>
      </c>
      <c r="B63" s="303">
        <v>0</v>
      </c>
      <c r="C63" s="298">
        <v>0</v>
      </c>
      <c r="D63" s="98">
        <v>1</v>
      </c>
      <c r="E63" s="59">
        <f t="shared" si="2"/>
        <v>1</v>
      </c>
      <c r="F63" s="120" t="s">
        <v>208</v>
      </c>
      <c r="G63" s="140">
        <v>0</v>
      </c>
      <c r="H63" s="294">
        <v>7</v>
      </c>
      <c r="I63" s="178">
        <v>0</v>
      </c>
      <c r="J63" s="29">
        <f t="shared" si="3"/>
        <v>7</v>
      </c>
    </row>
    <row r="64" spans="1:10" ht="14.95" thickBot="1" x14ac:dyDescent="0.3">
      <c r="A64" s="62" t="s">
        <v>348</v>
      </c>
      <c r="B64" s="303">
        <v>0</v>
      </c>
      <c r="C64" s="298">
        <v>1</v>
      </c>
      <c r="D64" s="98">
        <v>0</v>
      </c>
      <c r="E64" s="59">
        <f t="shared" si="2"/>
        <v>1</v>
      </c>
      <c r="F64" s="120" t="s">
        <v>554</v>
      </c>
      <c r="G64" s="140">
        <v>5</v>
      </c>
      <c r="H64" s="294">
        <v>0</v>
      </c>
      <c r="I64" s="178">
        <v>0</v>
      </c>
      <c r="J64" s="29">
        <f t="shared" si="3"/>
        <v>5</v>
      </c>
    </row>
    <row r="65" spans="1:10" ht="14.95" thickBot="1" x14ac:dyDescent="0.3">
      <c r="A65" s="62" t="s">
        <v>887</v>
      </c>
      <c r="B65" s="303">
        <v>0</v>
      </c>
      <c r="C65" s="298">
        <v>0</v>
      </c>
      <c r="D65" s="98">
        <v>1</v>
      </c>
      <c r="E65" s="59">
        <f t="shared" si="2"/>
        <v>1</v>
      </c>
      <c r="F65" s="120" t="s">
        <v>217</v>
      </c>
      <c r="G65" s="140">
        <v>0</v>
      </c>
      <c r="H65" s="294">
        <v>0</v>
      </c>
      <c r="I65" s="178">
        <v>5</v>
      </c>
      <c r="J65" s="29">
        <f t="shared" si="3"/>
        <v>5</v>
      </c>
    </row>
    <row r="66" spans="1:10" ht="14.95" thickBot="1" x14ac:dyDescent="0.3">
      <c r="A66" s="62" t="s">
        <v>647</v>
      </c>
      <c r="B66" s="303">
        <v>0</v>
      </c>
      <c r="C66" s="298">
        <v>0</v>
      </c>
      <c r="D66" s="98">
        <v>1</v>
      </c>
      <c r="E66" s="59">
        <f t="shared" si="2"/>
        <v>1</v>
      </c>
      <c r="F66" s="120" t="s">
        <v>639</v>
      </c>
      <c r="G66" s="140">
        <v>0</v>
      </c>
      <c r="H66" s="294">
        <v>5</v>
      </c>
      <c r="I66" s="178">
        <v>0</v>
      </c>
      <c r="J66" s="29">
        <f t="shared" si="3"/>
        <v>5</v>
      </c>
    </row>
    <row r="67" spans="1:10" ht="14.95" thickBot="1" x14ac:dyDescent="0.3">
      <c r="A67" s="62" t="s">
        <v>792</v>
      </c>
      <c r="B67" s="303">
        <v>1</v>
      </c>
      <c r="C67" s="298">
        <v>0</v>
      </c>
      <c r="D67" s="98">
        <v>0</v>
      </c>
      <c r="E67" s="59">
        <f t="shared" si="2"/>
        <v>1</v>
      </c>
      <c r="F67" s="120" t="s">
        <v>274</v>
      </c>
      <c r="G67" s="140">
        <v>0</v>
      </c>
      <c r="H67" s="294">
        <v>0</v>
      </c>
      <c r="I67" s="178">
        <v>5</v>
      </c>
      <c r="J67" s="29">
        <f t="shared" si="3"/>
        <v>5</v>
      </c>
    </row>
    <row r="68" spans="1:10" ht="14.95" thickBot="1" x14ac:dyDescent="0.3">
      <c r="A68" s="62" t="s">
        <v>776</v>
      </c>
      <c r="B68" s="303">
        <v>1</v>
      </c>
      <c r="C68" s="298">
        <v>0</v>
      </c>
      <c r="D68" s="98">
        <v>0</v>
      </c>
      <c r="E68" s="59">
        <f t="shared" si="2"/>
        <v>1</v>
      </c>
      <c r="F68" s="120" t="s">
        <v>348</v>
      </c>
      <c r="G68" s="140">
        <v>0</v>
      </c>
      <c r="H68" s="294">
        <v>5</v>
      </c>
      <c r="I68" s="178">
        <v>0</v>
      </c>
      <c r="J68" s="29">
        <f t="shared" si="3"/>
        <v>5</v>
      </c>
    </row>
    <row r="69" spans="1:10" ht="14.95" thickBot="1" x14ac:dyDescent="0.3">
      <c r="A69" s="62" t="s">
        <v>791</v>
      </c>
      <c r="B69" s="303">
        <v>1</v>
      </c>
      <c r="C69" s="298">
        <v>0</v>
      </c>
      <c r="D69" s="98">
        <v>0</v>
      </c>
      <c r="E69" s="59">
        <f t="shared" si="2"/>
        <v>1</v>
      </c>
      <c r="F69" s="120" t="s">
        <v>887</v>
      </c>
      <c r="G69" s="140">
        <v>0</v>
      </c>
      <c r="H69" s="294">
        <v>0</v>
      </c>
      <c r="I69" s="178">
        <v>5</v>
      </c>
      <c r="J69" s="29">
        <f t="shared" si="3"/>
        <v>5</v>
      </c>
    </row>
    <row r="70" spans="1:10" ht="14.95" thickBot="1" x14ac:dyDescent="0.3">
      <c r="A70" s="62" t="s">
        <v>208</v>
      </c>
      <c r="B70" s="303">
        <v>0</v>
      </c>
      <c r="C70" s="298">
        <v>1</v>
      </c>
      <c r="D70" s="98">
        <v>0</v>
      </c>
      <c r="E70" s="59">
        <f t="shared" si="2"/>
        <v>1</v>
      </c>
      <c r="F70" s="120" t="s">
        <v>647</v>
      </c>
      <c r="G70" s="140">
        <v>0</v>
      </c>
      <c r="H70" s="294">
        <v>0</v>
      </c>
      <c r="I70" s="178">
        <v>5</v>
      </c>
      <c r="J70" s="29">
        <f t="shared" si="3"/>
        <v>5</v>
      </c>
    </row>
    <row r="71" spans="1:10" ht="14.95" thickBot="1" x14ac:dyDescent="0.3">
      <c r="A71" s="62" t="s">
        <v>766</v>
      </c>
      <c r="B71" s="303">
        <v>0</v>
      </c>
      <c r="C71" s="298">
        <v>0</v>
      </c>
      <c r="D71" s="98">
        <v>1</v>
      </c>
      <c r="E71" s="59">
        <f t="shared" si="2"/>
        <v>1</v>
      </c>
      <c r="F71" s="120" t="s">
        <v>792</v>
      </c>
      <c r="G71" s="140">
        <v>5</v>
      </c>
      <c r="H71" s="294">
        <v>0</v>
      </c>
      <c r="I71" s="178">
        <v>0</v>
      </c>
      <c r="J71" s="29">
        <f t="shared" si="3"/>
        <v>5</v>
      </c>
    </row>
    <row r="72" spans="1:10" ht="14.95" thickBot="1" x14ac:dyDescent="0.3">
      <c r="A72" s="62" t="s">
        <v>628</v>
      </c>
      <c r="B72" s="303">
        <v>0</v>
      </c>
      <c r="C72" s="298">
        <v>1</v>
      </c>
      <c r="D72" s="98">
        <v>0</v>
      </c>
      <c r="E72" s="59">
        <f t="shared" si="2"/>
        <v>1</v>
      </c>
      <c r="F72" s="120" t="s">
        <v>776</v>
      </c>
      <c r="G72" s="140">
        <v>5</v>
      </c>
      <c r="H72" s="294">
        <v>0</v>
      </c>
      <c r="I72" s="178">
        <v>0</v>
      </c>
      <c r="J72" s="29">
        <f t="shared" si="3"/>
        <v>5</v>
      </c>
    </row>
    <row r="73" spans="1:10" ht="14.95" thickBot="1" x14ac:dyDescent="0.3">
      <c r="A73" s="62" t="s">
        <v>436</v>
      </c>
      <c r="B73" s="303">
        <v>1</v>
      </c>
      <c r="C73" s="298">
        <v>0</v>
      </c>
      <c r="D73" s="98">
        <v>0</v>
      </c>
      <c r="E73" s="59">
        <f t="shared" si="2"/>
        <v>1</v>
      </c>
      <c r="F73" s="120" t="s">
        <v>791</v>
      </c>
      <c r="G73" s="140">
        <v>5</v>
      </c>
      <c r="H73" s="294">
        <v>0</v>
      </c>
      <c r="I73" s="178">
        <v>0</v>
      </c>
      <c r="J73" s="29">
        <f t="shared" si="3"/>
        <v>5</v>
      </c>
    </row>
    <row r="74" spans="1:10" ht="14.95" thickBot="1" x14ac:dyDescent="0.3">
      <c r="A74" s="62" t="s">
        <v>347</v>
      </c>
      <c r="B74" s="303">
        <v>0</v>
      </c>
      <c r="C74" s="298">
        <v>0</v>
      </c>
      <c r="D74" s="98">
        <v>0</v>
      </c>
      <c r="E74" s="59">
        <f t="shared" si="2"/>
        <v>0</v>
      </c>
      <c r="F74" s="120" t="s">
        <v>766</v>
      </c>
      <c r="G74" s="140">
        <v>0</v>
      </c>
      <c r="H74" s="294">
        <v>0</v>
      </c>
      <c r="I74" s="178">
        <v>5</v>
      </c>
      <c r="J74" s="29">
        <f t="shared" si="3"/>
        <v>5</v>
      </c>
    </row>
    <row r="75" spans="1:10" ht="14.95" thickBot="1" x14ac:dyDescent="0.3">
      <c r="A75" s="62" t="s">
        <v>282</v>
      </c>
      <c r="B75" s="303">
        <v>0</v>
      </c>
      <c r="C75" s="298">
        <v>0</v>
      </c>
      <c r="D75" s="98">
        <v>0</v>
      </c>
      <c r="E75" s="59">
        <f t="shared" si="2"/>
        <v>0</v>
      </c>
      <c r="F75" s="120" t="s">
        <v>628</v>
      </c>
      <c r="G75" s="140">
        <v>0</v>
      </c>
      <c r="H75" s="294">
        <v>5</v>
      </c>
      <c r="I75" s="178">
        <v>0</v>
      </c>
      <c r="J75" s="29">
        <f t="shared" si="3"/>
        <v>5</v>
      </c>
    </row>
    <row r="76" spans="1:10" ht="14.95" thickBot="1" x14ac:dyDescent="0.3">
      <c r="A76" s="62" t="s">
        <v>349</v>
      </c>
      <c r="B76" s="303">
        <v>0</v>
      </c>
      <c r="C76" s="298">
        <v>0</v>
      </c>
      <c r="D76" s="98">
        <v>0</v>
      </c>
      <c r="E76" s="59">
        <f t="shared" si="2"/>
        <v>0</v>
      </c>
      <c r="F76" s="120" t="s">
        <v>436</v>
      </c>
      <c r="G76" s="140">
        <v>5</v>
      </c>
      <c r="H76" s="294">
        <v>0</v>
      </c>
      <c r="I76" s="178">
        <v>0</v>
      </c>
      <c r="J76" s="29">
        <f t="shared" si="3"/>
        <v>5</v>
      </c>
    </row>
    <row r="77" spans="1:10" ht="14.95" thickBot="1" x14ac:dyDescent="0.3">
      <c r="A77" s="62" t="s">
        <v>640</v>
      </c>
      <c r="B77" s="303">
        <v>0</v>
      </c>
      <c r="C77" s="298">
        <v>0</v>
      </c>
      <c r="D77" s="98">
        <v>0</v>
      </c>
      <c r="E77" s="59">
        <f t="shared" si="2"/>
        <v>0</v>
      </c>
      <c r="F77" s="120" t="s">
        <v>347</v>
      </c>
      <c r="G77" s="140">
        <v>0</v>
      </c>
      <c r="H77" s="294">
        <v>0</v>
      </c>
      <c r="I77" s="178">
        <v>0</v>
      </c>
      <c r="J77" s="29">
        <f t="shared" si="3"/>
        <v>0</v>
      </c>
    </row>
    <row r="78" spans="1:10" ht="14.95" thickBot="1" x14ac:dyDescent="0.3">
      <c r="A78" s="62" t="s">
        <v>352</v>
      </c>
      <c r="B78" s="303">
        <v>0</v>
      </c>
      <c r="C78" s="298">
        <v>0</v>
      </c>
      <c r="D78" s="98">
        <v>0</v>
      </c>
      <c r="E78" s="59">
        <f t="shared" si="2"/>
        <v>0</v>
      </c>
      <c r="F78" s="120" t="s">
        <v>282</v>
      </c>
      <c r="G78" s="140">
        <v>0</v>
      </c>
      <c r="H78" s="294">
        <v>0</v>
      </c>
      <c r="I78" s="178">
        <v>0</v>
      </c>
      <c r="J78" s="29">
        <f t="shared" si="3"/>
        <v>0</v>
      </c>
    </row>
    <row r="79" spans="1:10" ht="14.95" thickBot="1" x14ac:dyDescent="0.3">
      <c r="A79" s="62" t="s">
        <v>439</v>
      </c>
      <c r="B79" s="303">
        <v>0</v>
      </c>
      <c r="C79" s="298">
        <v>0</v>
      </c>
      <c r="D79" s="98">
        <v>0</v>
      </c>
      <c r="E79" s="59">
        <f t="shared" si="2"/>
        <v>0</v>
      </c>
      <c r="F79" s="120" t="s">
        <v>349</v>
      </c>
      <c r="G79" s="140">
        <v>0</v>
      </c>
      <c r="H79" s="294">
        <v>0</v>
      </c>
      <c r="I79" s="178">
        <v>0</v>
      </c>
      <c r="J79" s="29">
        <f t="shared" si="3"/>
        <v>0</v>
      </c>
    </row>
    <row r="80" spans="1:10" ht="14.95" thickBot="1" x14ac:dyDescent="0.3">
      <c r="A80" s="62" t="s">
        <v>222</v>
      </c>
      <c r="B80" s="303">
        <v>0</v>
      </c>
      <c r="C80" s="298">
        <v>0</v>
      </c>
      <c r="D80" s="98">
        <v>0</v>
      </c>
      <c r="E80" s="59">
        <f t="shared" si="2"/>
        <v>0</v>
      </c>
      <c r="F80" s="120" t="s">
        <v>640</v>
      </c>
      <c r="G80" s="140">
        <v>0</v>
      </c>
      <c r="H80" s="294">
        <v>0</v>
      </c>
      <c r="I80" s="178">
        <v>0</v>
      </c>
      <c r="J80" s="29">
        <f t="shared" si="3"/>
        <v>0</v>
      </c>
    </row>
    <row r="81" spans="1:10" ht="14.95" thickBot="1" x14ac:dyDescent="0.3">
      <c r="A81" s="62" t="s">
        <v>322</v>
      </c>
      <c r="B81" s="303">
        <v>0</v>
      </c>
      <c r="C81" s="298">
        <v>0</v>
      </c>
      <c r="D81" s="98">
        <v>0</v>
      </c>
      <c r="E81" s="59">
        <f t="shared" si="2"/>
        <v>0</v>
      </c>
      <c r="F81" s="120" t="s">
        <v>352</v>
      </c>
      <c r="G81" s="140">
        <v>0</v>
      </c>
      <c r="H81" s="294">
        <v>0</v>
      </c>
      <c r="I81" s="178">
        <v>0</v>
      </c>
      <c r="J81" s="29">
        <f t="shared" si="3"/>
        <v>0</v>
      </c>
    </row>
    <row r="82" spans="1:10" ht="14.95" thickBot="1" x14ac:dyDescent="0.3">
      <c r="A82" s="62" t="s">
        <v>216</v>
      </c>
      <c r="B82" s="303">
        <v>0</v>
      </c>
      <c r="C82" s="298">
        <v>0</v>
      </c>
      <c r="D82" s="98">
        <v>0</v>
      </c>
      <c r="E82" s="59">
        <f t="shared" si="2"/>
        <v>0</v>
      </c>
      <c r="F82" s="120" t="s">
        <v>322</v>
      </c>
      <c r="G82" s="140">
        <v>0</v>
      </c>
      <c r="H82" s="294">
        <v>0</v>
      </c>
      <c r="I82" s="178">
        <v>0</v>
      </c>
      <c r="J82" s="29">
        <f t="shared" si="3"/>
        <v>0</v>
      </c>
    </row>
    <row r="83" spans="1:10" ht="14.95" thickBot="1" x14ac:dyDescent="0.3">
      <c r="A83" s="62" t="s">
        <v>353</v>
      </c>
      <c r="B83" s="303">
        <v>0</v>
      </c>
      <c r="C83" s="298">
        <v>0</v>
      </c>
      <c r="D83" s="98">
        <v>0</v>
      </c>
      <c r="E83" s="59">
        <f t="shared" si="2"/>
        <v>0</v>
      </c>
      <c r="F83" s="120" t="s">
        <v>216</v>
      </c>
      <c r="G83" s="140">
        <v>0</v>
      </c>
      <c r="H83" s="294">
        <v>0</v>
      </c>
      <c r="I83" s="178">
        <v>0</v>
      </c>
      <c r="J83" s="29">
        <f t="shared" si="3"/>
        <v>0</v>
      </c>
    </row>
    <row r="84" spans="1:10" ht="14.95" thickBot="1" x14ac:dyDescent="0.3">
      <c r="A84" s="62" t="s">
        <v>355</v>
      </c>
      <c r="B84" s="303">
        <v>0</v>
      </c>
      <c r="C84" s="298">
        <v>0</v>
      </c>
      <c r="D84" s="98">
        <v>0</v>
      </c>
      <c r="E84" s="59">
        <f t="shared" si="2"/>
        <v>0</v>
      </c>
      <c r="F84" s="120" t="s">
        <v>353</v>
      </c>
      <c r="G84" s="140">
        <v>0</v>
      </c>
      <c r="H84" s="294">
        <v>0</v>
      </c>
      <c r="I84" s="178">
        <v>0</v>
      </c>
      <c r="J84" s="29">
        <f t="shared" si="3"/>
        <v>0</v>
      </c>
    </row>
    <row r="85" spans="1:10" ht="14.95" thickBot="1" x14ac:dyDescent="0.3">
      <c r="A85" s="62" t="s">
        <v>354</v>
      </c>
      <c r="B85" s="303">
        <v>0</v>
      </c>
      <c r="C85" s="298">
        <v>0</v>
      </c>
      <c r="D85" s="98">
        <v>0</v>
      </c>
      <c r="E85" s="59">
        <f t="shared" si="2"/>
        <v>0</v>
      </c>
      <c r="F85" s="120" t="s">
        <v>355</v>
      </c>
      <c r="G85" s="140">
        <v>0</v>
      </c>
      <c r="H85" s="294">
        <v>0</v>
      </c>
      <c r="I85" s="178">
        <v>0</v>
      </c>
      <c r="J85" s="29">
        <f t="shared" si="3"/>
        <v>0</v>
      </c>
    </row>
    <row r="86" spans="1:10" ht="14.95" thickBot="1" x14ac:dyDescent="0.3">
      <c r="A86" s="62" t="s">
        <v>258</v>
      </c>
      <c r="B86" s="303">
        <v>0</v>
      </c>
      <c r="C86" s="298">
        <v>0</v>
      </c>
      <c r="D86" s="98">
        <v>0</v>
      </c>
      <c r="E86" s="59">
        <f t="shared" si="2"/>
        <v>0</v>
      </c>
      <c r="F86" s="120" t="s">
        <v>354</v>
      </c>
      <c r="G86" s="140">
        <v>0</v>
      </c>
      <c r="H86" s="294">
        <v>0</v>
      </c>
      <c r="I86" s="178">
        <v>0</v>
      </c>
      <c r="J86" s="29">
        <f t="shared" si="3"/>
        <v>0</v>
      </c>
    </row>
    <row r="87" spans="1:10" ht="14.95" thickBot="1" x14ac:dyDescent="0.3">
      <c r="A87" s="62" t="s">
        <v>356</v>
      </c>
      <c r="B87" s="303">
        <v>0</v>
      </c>
      <c r="C87" s="298">
        <v>0</v>
      </c>
      <c r="D87" s="98">
        <v>0</v>
      </c>
      <c r="E87" s="59">
        <f t="shared" si="2"/>
        <v>0</v>
      </c>
      <c r="F87" s="120" t="s">
        <v>356</v>
      </c>
      <c r="G87" s="140">
        <v>0</v>
      </c>
      <c r="H87" s="294">
        <v>0</v>
      </c>
      <c r="I87" s="178">
        <v>0</v>
      </c>
      <c r="J87" s="29">
        <f t="shared" si="3"/>
        <v>0</v>
      </c>
    </row>
    <row r="88" spans="1:10" ht="14.95" thickBot="1" x14ac:dyDescent="0.3">
      <c r="A88" s="62" t="s">
        <v>3</v>
      </c>
      <c r="B88" s="303">
        <f>SUM(B48:B87)</f>
        <v>25</v>
      </c>
      <c r="C88" s="298">
        <f>SUM(C48:C87)</f>
        <v>5</v>
      </c>
      <c r="D88" s="98">
        <f>SUM(D48:D87)</f>
        <v>19</v>
      </c>
      <c r="E88" s="59">
        <f t="shared" ref="E88" si="4">SUM(B88:D88)</f>
        <v>49</v>
      </c>
      <c r="F88" s="121" t="s">
        <v>3</v>
      </c>
      <c r="G88" s="139">
        <f>SUM(G48:G87)</f>
        <v>153</v>
      </c>
      <c r="H88" s="295">
        <f>SUM(H48:H87)</f>
        <v>33</v>
      </c>
      <c r="I88" s="177">
        <f>SUM(I48:I87)</f>
        <v>116</v>
      </c>
      <c r="J88" s="118">
        <f t="shared" ref="J88" si="5">SUM(G88:I88)</f>
        <v>302</v>
      </c>
    </row>
    <row r="89" spans="1:10" ht="14.3" customHeight="1" x14ac:dyDescent="0.3">
      <c r="A89" s="524" t="s">
        <v>10</v>
      </c>
      <c r="B89" s="524"/>
      <c r="C89" s="524"/>
      <c r="D89" s="525"/>
    </row>
  </sheetData>
  <sortState xmlns:xlrd2="http://schemas.microsoft.com/office/spreadsheetml/2017/richdata2" ref="F48:J87">
    <sortCondition descending="1" ref="J48:J87"/>
  </sortState>
  <mergeCells count="19">
    <mergeCell ref="AA1:AC2"/>
    <mergeCell ref="O11:Q12"/>
    <mergeCell ref="V1:X2"/>
    <mergeCell ref="S1:U2"/>
    <mergeCell ref="L17:N18"/>
    <mergeCell ref="A89:D89"/>
    <mergeCell ref="R1:R2"/>
    <mergeCell ref="A1:J1"/>
    <mergeCell ref="K1:K2"/>
    <mergeCell ref="L1:N2"/>
    <mergeCell ref="O1:Q2"/>
    <mergeCell ref="K17:K18"/>
    <mergeCell ref="O17:Q18"/>
    <mergeCell ref="K11:K12"/>
    <mergeCell ref="L11:N12"/>
    <mergeCell ref="K24:K25"/>
    <mergeCell ref="L24:N25"/>
    <mergeCell ref="R11:T12"/>
    <mergeCell ref="O24:Q2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7E44-2CA9-4E2D-BE09-A8C65F52308C}">
  <dimension ref="A1:AF96"/>
  <sheetViews>
    <sheetView workbookViewId="0">
      <selection activeCell="G41" sqref="G41"/>
    </sheetView>
  </sheetViews>
  <sheetFormatPr defaultRowHeight="14.3" x14ac:dyDescent="0.25"/>
  <cols>
    <col min="1" max="1" width="18.625" customWidth="1"/>
    <col min="2" max="2" width="4.5" customWidth="1"/>
    <col min="3" max="3" width="4.875" customWidth="1"/>
    <col min="4" max="5" width="4.5" customWidth="1"/>
    <col min="6" max="6" width="18.62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7" thickBot="1" x14ac:dyDescent="0.3">
      <c r="A1" s="600" t="s">
        <v>1002</v>
      </c>
      <c r="B1" s="601"/>
      <c r="C1" s="601"/>
      <c r="D1" s="601"/>
      <c r="E1" s="601"/>
      <c r="F1" s="601"/>
      <c r="G1" s="601"/>
      <c r="H1" s="601"/>
      <c r="I1" s="601"/>
      <c r="J1" s="602"/>
      <c r="K1" s="603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142" t="s">
        <v>0</v>
      </c>
      <c r="B2" s="485" t="s">
        <v>223</v>
      </c>
      <c r="C2" s="487" t="s">
        <v>500</v>
      </c>
      <c r="D2" s="352" t="s">
        <v>11</v>
      </c>
      <c r="E2" s="144" t="s">
        <v>1</v>
      </c>
      <c r="F2" s="130" t="s">
        <v>2</v>
      </c>
      <c r="G2" s="478" t="s">
        <v>223</v>
      </c>
      <c r="H2" s="469" t="s">
        <v>500</v>
      </c>
      <c r="I2" s="118" t="s">
        <v>11</v>
      </c>
      <c r="J2" s="118" t="s">
        <v>1</v>
      </c>
      <c r="K2" s="604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143" t="s">
        <v>988</v>
      </c>
      <c r="B3" s="486">
        <v>0</v>
      </c>
      <c r="C3" s="488">
        <v>0</v>
      </c>
      <c r="D3" s="353">
        <v>0</v>
      </c>
      <c r="E3" s="145">
        <f t="shared" ref="E3:E46" si="0">SUM(B3:D3)</f>
        <v>0</v>
      </c>
      <c r="F3" s="131" t="s">
        <v>988</v>
      </c>
      <c r="G3" s="479">
        <v>0</v>
      </c>
      <c r="H3" s="483">
        <v>0</v>
      </c>
      <c r="I3" s="29">
        <v>0</v>
      </c>
      <c r="J3" s="29">
        <f t="shared" ref="J3:J46" si="1">SUM(G3:I3)</f>
        <v>0</v>
      </c>
      <c r="K3" s="146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185" t="s">
        <v>17</v>
      </c>
      <c r="AB3" s="59" t="s">
        <v>5</v>
      </c>
      <c r="AC3" s="59" t="s">
        <v>6</v>
      </c>
      <c r="AD3" s="185" t="s">
        <v>17</v>
      </c>
      <c r="AE3" s="59" t="s">
        <v>5</v>
      </c>
      <c r="AF3" s="59" t="s">
        <v>6</v>
      </c>
    </row>
    <row r="4" spans="1:32" ht="14.95" customHeight="1" thickBot="1" x14ac:dyDescent="0.3">
      <c r="A4" s="143" t="s">
        <v>357</v>
      </c>
      <c r="B4" s="486">
        <v>0</v>
      </c>
      <c r="C4" s="488">
        <v>0</v>
      </c>
      <c r="D4" s="353">
        <v>0</v>
      </c>
      <c r="E4" s="145">
        <f t="shared" si="0"/>
        <v>0</v>
      </c>
      <c r="F4" s="132" t="s">
        <v>357</v>
      </c>
      <c r="G4" s="479">
        <v>0</v>
      </c>
      <c r="H4" s="483">
        <v>0</v>
      </c>
      <c r="I4" s="29">
        <v>0</v>
      </c>
      <c r="J4" s="29">
        <f t="shared" si="1"/>
        <v>0</v>
      </c>
      <c r="K4" s="152" t="s">
        <v>859</v>
      </c>
      <c r="L4" s="201" t="s">
        <v>8</v>
      </c>
      <c r="M4" s="201" t="s">
        <v>8</v>
      </c>
      <c r="N4" s="198" t="s">
        <v>8</v>
      </c>
      <c r="O4" s="145" t="s">
        <v>8</v>
      </c>
      <c r="P4" s="145" t="s">
        <v>8</v>
      </c>
      <c r="Q4" s="147" t="s">
        <v>8</v>
      </c>
      <c r="R4" s="152">
        <v>-2</v>
      </c>
      <c r="S4" s="301">
        <v>0</v>
      </c>
      <c r="T4" s="243">
        <v>2</v>
      </c>
      <c r="U4" s="241">
        <v>0</v>
      </c>
      <c r="V4" s="243" t="s">
        <v>8</v>
      </c>
      <c r="W4" s="243" t="s">
        <v>8</v>
      </c>
      <c r="X4" s="489" t="s">
        <v>8</v>
      </c>
      <c r="AA4" s="243" t="s">
        <v>8</v>
      </c>
      <c r="AB4" s="243" t="s">
        <v>8</v>
      </c>
      <c r="AC4" s="244" t="s">
        <v>8</v>
      </c>
      <c r="AD4" s="243" t="s">
        <v>8</v>
      </c>
      <c r="AE4" s="243" t="s">
        <v>8</v>
      </c>
      <c r="AF4" s="244" t="s">
        <v>8</v>
      </c>
    </row>
    <row r="5" spans="1:32" ht="14.95" customHeight="1" thickBot="1" x14ac:dyDescent="0.3">
      <c r="A5" s="143" t="s">
        <v>358</v>
      </c>
      <c r="B5" s="486">
        <v>0</v>
      </c>
      <c r="C5" s="488">
        <v>0</v>
      </c>
      <c r="D5" s="353">
        <v>0</v>
      </c>
      <c r="E5" s="145">
        <f t="shared" si="0"/>
        <v>0</v>
      </c>
      <c r="F5" s="132" t="s">
        <v>358</v>
      </c>
      <c r="G5" s="479">
        <v>0</v>
      </c>
      <c r="H5" s="483">
        <v>0</v>
      </c>
      <c r="I5" s="29">
        <v>0</v>
      </c>
      <c r="J5" s="29">
        <f t="shared" si="1"/>
        <v>0</v>
      </c>
      <c r="K5" s="152" t="s">
        <v>234</v>
      </c>
      <c r="L5" s="201" t="s">
        <v>8</v>
      </c>
      <c r="M5" s="201" t="s">
        <v>8</v>
      </c>
      <c r="N5" s="198" t="s">
        <v>8</v>
      </c>
      <c r="O5" s="145" t="s">
        <v>8</v>
      </c>
      <c r="P5" s="145" t="s">
        <v>8</v>
      </c>
      <c r="Q5" s="147" t="s">
        <v>8</v>
      </c>
      <c r="R5" s="152">
        <v>2</v>
      </c>
      <c r="S5" s="243">
        <v>10</v>
      </c>
      <c r="T5" s="243">
        <v>16</v>
      </c>
      <c r="U5" s="244">
        <v>62.5</v>
      </c>
      <c r="V5" s="243">
        <v>6</v>
      </c>
      <c r="W5" s="243">
        <v>10</v>
      </c>
      <c r="X5" s="244">
        <f t="shared" ref="X5:X7" si="2">SUM(V5/W5)*100</f>
        <v>60</v>
      </c>
      <c r="AA5" s="243">
        <v>1</v>
      </c>
      <c r="AB5" s="243">
        <v>1</v>
      </c>
      <c r="AC5" s="244">
        <f>SUM(AA5/AB5)*100</f>
        <v>100</v>
      </c>
      <c r="AD5" s="181">
        <v>15</v>
      </c>
      <c r="AE5" s="181">
        <v>27</v>
      </c>
      <c r="AF5" s="195">
        <f>SUM(AD5/AE5)*100</f>
        <v>55.555555555555557</v>
      </c>
    </row>
    <row r="6" spans="1:32" ht="14.95" customHeight="1" thickBot="1" x14ac:dyDescent="0.3">
      <c r="A6" s="143" t="s">
        <v>241</v>
      </c>
      <c r="B6" s="486">
        <v>1</v>
      </c>
      <c r="C6" s="488">
        <v>0</v>
      </c>
      <c r="D6" s="353">
        <v>0</v>
      </c>
      <c r="E6" s="145">
        <f t="shared" si="0"/>
        <v>1</v>
      </c>
      <c r="F6" s="133" t="s">
        <v>241</v>
      </c>
      <c r="G6" s="479">
        <v>5</v>
      </c>
      <c r="H6" s="483">
        <v>0</v>
      </c>
      <c r="I6" s="29">
        <v>0</v>
      </c>
      <c r="J6" s="29">
        <f t="shared" si="1"/>
        <v>5</v>
      </c>
      <c r="K6" s="152" t="s">
        <v>240</v>
      </c>
      <c r="L6" s="200">
        <v>9</v>
      </c>
      <c r="M6" s="200">
        <v>14</v>
      </c>
      <c r="N6" s="197">
        <f t="shared" ref="N6" si="3">SUM(L6/M6)*100</f>
        <v>64.285714285714292</v>
      </c>
      <c r="O6" s="200">
        <v>3</v>
      </c>
      <c r="P6" s="200">
        <v>6</v>
      </c>
      <c r="Q6" s="197">
        <f t="shared" ref="Q6" si="4">SUM(O6/P6)*100</f>
        <v>50</v>
      </c>
      <c r="R6" s="152">
        <v>1</v>
      </c>
      <c r="S6" s="243">
        <v>22</v>
      </c>
      <c r="T6" s="243">
        <v>38</v>
      </c>
      <c r="U6" s="244">
        <v>57.894736842105267</v>
      </c>
      <c r="V6" s="243">
        <v>18</v>
      </c>
      <c r="W6" s="243">
        <v>29</v>
      </c>
      <c r="X6" s="244">
        <f t="shared" si="2"/>
        <v>62.068965517241381</v>
      </c>
      <c r="AA6" s="243">
        <v>22</v>
      </c>
      <c r="AB6" s="243">
        <v>38</v>
      </c>
      <c r="AC6" s="244">
        <f>SUM(AA6/AB6)*100</f>
        <v>57.894736842105267</v>
      </c>
      <c r="AD6" s="181">
        <v>20</v>
      </c>
      <c r="AE6" s="181">
        <v>39</v>
      </c>
      <c r="AF6" s="196">
        <f>SUM(AD6/AE6)*100</f>
        <v>51.282051282051277</v>
      </c>
    </row>
    <row r="7" spans="1:32" ht="14.95" customHeight="1" thickBot="1" x14ac:dyDescent="0.3">
      <c r="A7" s="143" t="s">
        <v>278</v>
      </c>
      <c r="B7" s="486">
        <v>0</v>
      </c>
      <c r="C7" s="488">
        <v>0</v>
      </c>
      <c r="D7" s="353">
        <v>0</v>
      </c>
      <c r="E7" s="145">
        <f t="shared" si="0"/>
        <v>0</v>
      </c>
      <c r="F7" s="132" t="s">
        <v>278</v>
      </c>
      <c r="G7" s="479">
        <v>0</v>
      </c>
      <c r="H7" s="483">
        <v>0</v>
      </c>
      <c r="I7" s="29">
        <v>0</v>
      </c>
      <c r="J7" s="29">
        <f t="shared" si="1"/>
        <v>0</v>
      </c>
      <c r="K7" s="152" t="s">
        <v>605</v>
      </c>
      <c r="L7" s="201" t="s">
        <v>8</v>
      </c>
      <c r="M7" s="201" t="s">
        <v>8</v>
      </c>
      <c r="N7" s="198" t="s">
        <v>8</v>
      </c>
      <c r="O7" s="145" t="s">
        <v>8</v>
      </c>
      <c r="P7" s="145" t="s">
        <v>8</v>
      </c>
      <c r="Q7" s="147" t="s">
        <v>8</v>
      </c>
      <c r="R7" s="152">
        <v>-1</v>
      </c>
      <c r="S7" s="243">
        <v>4</v>
      </c>
      <c r="T7" s="243">
        <v>7</v>
      </c>
      <c r="U7" s="244">
        <v>57.142857142857139</v>
      </c>
      <c r="V7" s="243">
        <v>6</v>
      </c>
      <c r="W7" s="243">
        <v>12</v>
      </c>
      <c r="X7" s="244">
        <f t="shared" si="2"/>
        <v>50</v>
      </c>
      <c r="AA7" s="243" t="s">
        <v>8</v>
      </c>
      <c r="AB7" s="243" t="s">
        <v>8</v>
      </c>
      <c r="AC7" s="244" t="s">
        <v>8</v>
      </c>
      <c r="AD7" s="243" t="s">
        <v>8</v>
      </c>
      <c r="AE7" s="243" t="s">
        <v>8</v>
      </c>
      <c r="AF7" s="244" t="s">
        <v>8</v>
      </c>
    </row>
    <row r="8" spans="1:32" ht="14.95" customHeight="1" thickBot="1" x14ac:dyDescent="0.3">
      <c r="A8" s="143" t="s">
        <v>321</v>
      </c>
      <c r="B8" s="486">
        <v>0</v>
      </c>
      <c r="C8" s="488">
        <v>0</v>
      </c>
      <c r="D8" s="353">
        <v>0</v>
      </c>
      <c r="E8" s="145">
        <f t="shared" si="0"/>
        <v>0</v>
      </c>
      <c r="F8" s="132" t="s">
        <v>321</v>
      </c>
      <c r="G8" s="479">
        <v>0</v>
      </c>
      <c r="H8" s="483">
        <v>0</v>
      </c>
      <c r="I8" s="29">
        <v>0</v>
      </c>
      <c r="J8" s="29">
        <f t="shared" si="1"/>
        <v>0</v>
      </c>
      <c r="K8" s="152" t="s">
        <v>773</v>
      </c>
      <c r="L8" s="201" t="s">
        <v>8</v>
      </c>
      <c r="M8" s="201" t="s">
        <v>8</v>
      </c>
      <c r="N8" s="198" t="s">
        <v>8</v>
      </c>
      <c r="O8" s="145" t="s">
        <v>8</v>
      </c>
      <c r="P8" s="145" t="s">
        <v>8</v>
      </c>
      <c r="Q8" s="147" t="s">
        <v>8</v>
      </c>
      <c r="R8" s="152">
        <v>-1</v>
      </c>
      <c r="S8" s="301">
        <v>7</v>
      </c>
      <c r="T8" s="243">
        <v>10</v>
      </c>
      <c r="U8" s="244">
        <v>70</v>
      </c>
      <c r="V8" s="301" t="s">
        <v>8</v>
      </c>
      <c r="W8" s="243" t="s">
        <v>8</v>
      </c>
      <c r="X8" s="490" t="s">
        <v>8</v>
      </c>
      <c r="AA8" s="243" t="s">
        <v>8</v>
      </c>
      <c r="AB8" s="243" t="s">
        <v>8</v>
      </c>
      <c r="AC8" s="244" t="s">
        <v>8</v>
      </c>
      <c r="AD8" s="181">
        <v>1</v>
      </c>
      <c r="AE8" s="181">
        <v>1</v>
      </c>
      <c r="AF8" s="196">
        <f>SUM(AD8/AE8)*100</f>
        <v>100</v>
      </c>
    </row>
    <row r="9" spans="1:32" ht="14.95" customHeight="1" thickBot="1" x14ac:dyDescent="0.3">
      <c r="A9" s="143" t="s">
        <v>234</v>
      </c>
      <c r="B9" s="486">
        <v>0</v>
      </c>
      <c r="C9" s="488">
        <v>0</v>
      </c>
      <c r="D9" s="353">
        <v>0</v>
      </c>
      <c r="E9" s="145">
        <f t="shared" si="0"/>
        <v>0</v>
      </c>
      <c r="F9" s="132" t="s">
        <v>234</v>
      </c>
      <c r="G9" s="479">
        <v>0</v>
      </c>
      <c r="H9" s="483">
        <v>0</v>
      </c>
      <c r="I9" s="29">
        <v>0</v>
      </c>
      <c r="J9" s="29">
        <f t="shared" si="1"/>
        <v>0</v>
      </c>
      <c r="K9" s="153" t="s">
        <v>235</v>
      </c>
      <c r="L9" s="201" t="s">
        <v>8</v>
      </c>
      <c r="M9" s="201" t="s">
        <v>8</v>
      </c>
      <c r="N9" s="198" t="s">
        <v>8</v>
      </c>
      <c r="O9" s="145" t="s">
        <v>8</v>
      </c>
      <c r="P9" s="145" t="s">
        <v>8</v>
      </c>
      <c r="Q9" s="147" t="s">
        <v>8</v>
      </c>
      <c r="R9" s="154">
        <v>-4</v>
      </c>
      <c r="S9" s="243" t="s">
        <v>8</v>
      </c>
      <c r="T9" s="243" t="s">
        <v>8</v>
      </c>
      <c r="U9" s="244" t="s">
        <v>8</v>
      </c>
      <c r="V9" s="243" t="s">
        <v>8</v>
      </c>
      <c r="W9" s="243" t="s">
        <v>8</v>
      </c>
      <c r="X9" s="244" t="s">
        <v>8</v>
      </c>
      <c r="AA9" s="243" t="s">
        <v>8</v>
      </c>
      <c r="AB9" s="243" t="s">
        <v>8</v>
      </c>
      <c r="AC9" s="244" t="s">
        <v>8</v>
      </c>
      <c r="AD9" s="181">
        <v>5</v>
      </c>
      <c r="AE9" s="194">
        <v>11</v>
      </c>
      <c r="AF9" s="196">
        <f>SUM(AD9/AE9)*100</f>
        <v>45.454545454545453</v>
      </c>
    </row>
    <row r="10" spans="1:32" ht="14.95" customHeight="1" thickBot="1" x14ac:dyDescent="0.3">
      <c r="A10" s="143" t="s">
        <v>279</v>
      </c>
      <c r="B10" s="486">
        <v>1</v>
      </c>
      <c r="C10" s="488">
        <v>0</v>
      </c>
      <c r="D10" s="353">
        <v>0</v>
      </c>
      <c r="E10" s="145">
        <f t="shared" si="0"/>
        <v>1</v>
      </c>
      <c r="F10" s="132" t="s">
        <v>279</v>
      </c>
      <c r="G10" s="479">
        <v>5</v>
      </c>
      <c r="H10" s="483">
        <v>0</v>
      </c>
      <c r="I10" s="29">
        <v>0</v>
      </c>
      <c r="J10" s="29">
        <f t="shared" si="1"/>
        <v>5</v>
      </c>
      <c r="K10" s="153" t="s">
        <v>453</v>
      </c>
      <c r="L10" s="200" t="s">
        <v>8</v>
      </c>
      <c r="M10" s="200" t="s">
        <v>8</v>
      </c>
      <c r="N10" s="197" t="s">
        <v>8</v>
      </c>
      <c r="O10" s="145" t="s">
        <v>8</v>
      </c>
      <c r="P10" s="145" t="s">
        <v>8</v>
      </c>
      <c r="Q10" s="147" t="s">
        <v>8</v>
      </c>
      <c r="R10" s="154">
        <v>-1</v>
      </c>
      <c r="S10" s="243" t="s">
        <v>8</v>
      </c>
      <c r="T10" s="243" t="s">
        <v>8</v>
      </c>
      <c r="U10" s="244" t="s">
        <v>8</v>
      </c>
      <c r="V10" s="243" t="s">
        <v>8</v>
      </c>
      <c r="W10" s="243" t="s">
        <v>8</v>
      </c>
      <c r="X10" s="244" t="s">
        <v>8</v>
      </c>
      <c r="AA10" s="243">
        <v>1</v>
      </c>
      <c r="AB10" s="243">
        <v>2</v>
      </c>
      <c r="AC10" s="244">
        <f>SUM(AA10/AB10)*100</f>
        <v>50</v>
      </c>
      <c r="AD10" s="185" t="s">
        <v>8</v>
      </c>
      <c r="AE10" s="59" t="s">
        <v>8</v>
      </c>
      <c r="AF10" s="117" t="s">
        <v>8</v>
      </c>
    </row>
    <row r="11" spans="1:32" ht="14.95" customHeight="1" thickBot="1" x14ac:dyDescent="0.3">
      <c r="A11" s="143" t="s">
        <v>481</v>
      </c>
      <c r="B11" s="486">
        <v>0</v>
      </c>
      <c r="C11" s="488">
        <v>0</v>
      </c>
      <c r="D11" s="353">
        <v>0</v>
      </c>
      <c r="E11" s="145">
        <f t="shared" si="0"/>
        <v>0</v>
      </c>
      <c r="F11" s="132" t="s">
        <v>481</v>
      </c>
      <c r="G11" s="479">
        <v>0</v>
      </c>
      <c r="H11" s="483">
        <v>0</v>
      </c>
      <c r="I11" s="29">
        <v>0</v>
      </c>
      <c r="J11" s="29">
        <f t="shared" si="1"/>
        <v>0</v>
      </c>
      <c r="K11" s="105" t="s">
        <v>9</v>
      </c>
      <c r="O11" s="57"/>
      <c r="P11" s="96"/>
      <c r="Q11" s="96"/>
    </row>
    <row r="12" spans="1:32" ht="14.95" customHeight="1" thickBot="1" x14ac:dyDescent="0.3">
      <c r="A12" s="143" t="s">
        <v>459</v>
      </c>
      <c r="B12" s="486">
        <v>0</v>
      </c>
      <c r="C12" s="488">
        <v>0</v>
      </c>
      <c r="D12" s="353">
        <v>0</v>
      </c>
      <c r="E12" s="145">
        <f t="shared" si="0"/>
        <v>0</v>
      </c>
      <c r="F12" s="132" t="s">
        <v>459</v>
      </c>
      <c r="G12" s="479">
        <v>0</v>
      </c>
      <c r="H12" s="483">
        <v>0</v>
      </c>
      <c r="I12" s="29">
        <v>0</v>
      </c>
      <c r="J12" s="29">
        <f t="shared" si="1"/>
        <v>0</v>
      </c>
      <c r="K12" s="508" t="s">
        <v>226</v>
      </c>
      <c r="L12" s="502">
        <v>2026</v>
      </c>
      <c r="M12" s="503"/>
      <c r="N12" s="504"/>
      <c r="O12" s="516">
        <v>2025</v>
      </c>
      <c r="P12" s="517"/>
      <c r="Q12" s="518"/>
      <c r="R12" s="516">
        <v>2024</v>
      </c>
      <c r="S12" s="517"/>
      <c r="T12" s="518"/>
      <c r="U12" s="516">
        <v>2023</v>
      </c>
      <c r="V12" s="517"/>
      <c r="W12" s="518"/>
      <c r="AA12" s="516">
        <v>2022</v>
      </c>
      <c r="AB12" s="517"/>
      <c r="AC12" s="518"/>
    </row>
    <row r="13" spans="1:32" ht="14.95" customHeight="1" thickBot="1" x14ac:dyDescent="0.3">
      <c r="A13" s="143" t="s">
        <v>240</v>
      </c>
      <c r="B13" s="486">
        <v>2</v>
      </c>
      <c r="C13" s="488">
        <v>0</v>
      </c>
      <c r="D13" s="353">
        <v>0</v>
      </c>
      <c r="E13" s="145">
        <f t="shared" si="0"/>
        <v>2</v>
      </c>
      <c r="F13" s="132" t="s">
        <v>240</v>
      </c>
      <c r="G13" s="479">
        <v>29</v>
      </c>
      <c r="H13" s="483">
        <v>0</v>
      </c>
      <c r="I13" s="29">
        <v>0</v>
      </c>
      <c r="J13" s="29">
        <f t="shared" si="1"/>
        <v>29</v>
      </c>
      <c r="K13" s="509"/>
      <c r="L13" s="505"/>
      <c r="M13" s="506"/>
      <c r="N13" s="507"/>
      <c r="O13" s="519"/>
      <c r="P13" s="520"/>
      <c r="Q13" s="521"/>
      <c r="R13" s="519"/>
      <c r="S13" s="520"/>
      <c r="T13" s="521"/>
      <c r="U13" s="519"/>
      <c r="V13" s="520"/>
      <c r="W13" s="521"/>
      <c r="AA13" s="519"/>
      <c r="AB13" s="520"/>
      <c r="AC13" s="521"/>
    </row>
    <row r="14" spans="1:32" ht="14.95" customHeight="1" thickBot="1" x14ac:dyDescent="0.3">
      <c r="A14" s="143" t="s">
        <v>512</v>
      </c>
      <c r="B14" s="486">
        <v>0</v>
      </c>
      <c r="C14" s="488">
        <v>0</v>
      </c>
      <c r="D14" s="353">
        <v>0</v>
      </c>
      <c r="E14" s="145">
        <f t="shared" si="0"/>
        <v>0</v>
      </c>
      <c r="F14" s="132" t="s">
        <v>512</v>
      </c>
      <c r="G14" s="479">
        <v>0</v>
      </c>
      <c r="H14" s="483">
        <v>0</v>
      </c>
      <c r="I14" s="29">
        <v>0</v>
      </c>
      <c r="J14" s="29">
        <f t="shared" si="1"/>
        <v>0</v>
      </c>
      <c r="K14" s="138"/>
      <c r="L14" s="29" t="s">
        <v>17</v>
      </c>
      <c r="M14" s="29" t="s">
        <v>5</v>
      </c>
      <c r="N14" s="29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AA14" s="260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143" t="s">
        <v>980</v>
      </c>
      <c r="B15" s="486">
        <v>0</v>
      </c>
      <c r="C15" s="488">
        <v>0</v>
      </c>
      <c r="D15" s="353">
        <v>0</v>
      </c>
      <c r="E15" s="145">
        <f t="shared" si="0"/>
        <v>0</v>
      </c>
      <c r="F15" s="132" t="s">
        <v>980</v>
      </c>
      <c r="G15" s="479">
        <v>0</v>
      </c>
      <c r="H15" s="483">
        <v>0</v>
      </c>
      <c r="I15" s="29">
        <v>0</v>
      </c>
      <c r="J15" s="29">
        <f t="shared" si="1"/>
        <v>0</v>
      </c>
      <c r="K15" s="152" t="s">
        <v>234</v>
      </c>
      <c r="L15" s="200" t="s">
        <v>8</v>
      </c>
      <c r="M15" s="200" t="s">
        <v>8</v>
      </c>
      <c r="N15" s="197" t="s">
        <v>8</v>
      </c>
      <c r="O15" s="243">
        <v>10</v>
      </c>
      <c r="P15" s="243">
        <v>16</v>
      </c>
      <c r="Q15" s="244">
        <v>62.5</v>
      </c>
      <c r="R15" s="243">
        <v>6</v>
      </c>
      <c r="S15" s="243">
        <v>10</v>
      </c>
      <c r="T15" s="244">
        <f t="shared" ref="T15:T17" si="5">SUM(R15/S15)*100</f>
        <v>60</v>
      </c>
      <c r="U15" s="243" t="s">
        <v>8</v>
      </c>
      <c r="V15" s="243" t="s">
        <v>8</v>
      </c>
      <c r="W15" s="242" t="s">
        <v>8</v>
      </c>
      <c r="AA15" s="181">
        <v>2</v>
      </c>
      <c r="AB15" s="181">
        <v>6</v>
      </c>
      <c r="AC15" s="196">
        <f>SUM(AA15/AB15)*100</f>
        <v>33.333333333333329</v>
      </c>
    </row>
    <row r="16" spans="1:32" ht="14.95" customHeight="1" thickBot="1" x14ac:dyDescent="0.3">
      <c r="A16" s="143" t="s">
        <v>359</v>
      </c>
      <c r="B16" s="486">
        <v>0</v>
      </c>
      <c r="C16" s="488">
        <v>0</v>
      </c>
      <c r="D16" s="353">
        <v>0</v>
      </c>
      <c r="E16" s="145">
        <f t="shared" si="0"/>
        <v>0</v>
      </c>
      <c r="F16" s="132" t="s">
        <v>359</v>
      </c>
      <c r="G16" s="479">
        <v>0</v>
      </c>
      <c r="H16" s="483">
        <v>0</v>
      </c>
      <c r="I16" s="29">
        <v>0</v>
      </c>
      <c r="J16" s="29">
        <f t="shared" si="1"/>
        <v>0</v>
      </c>
      <c r="K16" s="152" t="s">
        <v>240</v>
      </c>
      <c r="L16" s="200">
        <v>9</v>
      </c>
      <c r="M16" s="200">
        <v>14</v>
      </c>
      <c r="N16" s="197">
        <f t="shared" ref="N16" si="6">SUM(L16/M16)*100</f>
        <v>64.285714285714292</v>
      </c>
      <c r="O16" s="243" t="s">
        <v>8</v>
      </c>
      <c r="P16" s="243" t="s">
        <v>8</v>
      </c>
      <c r="Q16" s="244" t="s">
        <v>8</v>
      </c>
      <c r="R16" s="243">
        <v>6</v>
      </c>
      <c r="S16" s="243">
        <v>11</v>
      </c>
      <c r="T16" s="244">
        <f t="shared" si="5"/>
        <v>54.54545454545454</v>
      </c>
      <c r="U16" s="243">
        <v>14</v>
      </c>
      <c r="V16" s="243">
        <v>22</v>
      </c>
      <c r="W16" s="244">
        <f>SUM(U16/V16)*100</f>
        <v>63.636363636363633</v>
      </c>
      <c r="AA16" s="181">
        <v>1</v>
      </c>
      <c r="AB16" s="181">
        <v>1</v>
      </c>
      <c r="AC16" s="196">
        <f>SUM(AA16/AB16)*100</f>
        <v>100</v>
      </c>
    </row>
    <row r="17" spans="1:29" ht="14.95" customHeight="1" thickBot="1" x14ac:dyDescent="0.3">
      <c r="A17" s="143" t="s">
        <v>605</v>
      </c>
      <c r="B17" s="486">
        <v>1</v>
      </c>
      <c r="C17" s="488">
        <v>0</v>
      </c>
      <c r="D17" s="353">
        <v>0</v>
      </c>
      <c r="E17" s="145">
        <f t="shared" si="0"/>
        <v>1</v>
      </c>
      <c r="F17" s="132" t="s">
        <v>605</v>
      </c>
      <c r="G17" s="479">
        <v>5</v>
      </c>
      <c r="H17" s="483">
        <v>0</v>
      </c>
      <c r="I17" s="29">
        <v>0</v>
      </c>
      <c r="J17" s="29">
        <f t="shared" si="1"/>
        <v>5</v>
      </c>
      <c r="K17" s="152" t="s">
        <v>605</v>
      </c>
      <c r="L17" s="200" t="s">
        <v>8</v>
      </c>
      <c r="M17" s="200" t="s">
        <v>8</v>
      </c>
      <c r="N17" s="197" t="s">
        <v>8</v>
      </c>
      <c r="O17" s="243">
        <v>4</v>
      </c>
      <c r="P17" s="243">
        <v>7</v>
      </c>
      <c r="Q17" s="244">
        <v>57.142857142857139</v>
      </c>
      <c r="R17" s="243">
        <v>2</v>
      </c>
      <c r="S17" s="243">
        <v>2</v>
      </c>
      <c r="T17" s="244">
        <f t="shared" si="5"/>
        <v>100</v>
      </c>
      <c r="U17" s="243" t="s">
        <v>8</v>
      </c>
      <c r="V17" s="243" t="s">
        <v>8</v>
      </c>
      <c r="W17" s="242" t="s">
        <v>8</v>
      </c>
      <c r="AA17" s="243" t="s">
        <v>8</v>
      </c>
      <c r="AB17" s="243" t="s">
        <v>8</v>
      </c>
      <c r="AC17" s="242" t="s">
        <v>8</v>
      </c>
    </row>
    <row r="18" spans="1:29" ht="14.95" customHeight="1" thickBot="1" x14ac:dyDescent="0.3">
      <c r="A18" s="143" t="s">
        <v>682</v>
      </c>
      <c r="B18" s="486">
        <v>0</v>
      </c>
      <c r="C18" s="488">
        <v>0</v>
      </c>
      <c r="D18" s="353">
        <v>0</v>
      </c>
      <c r="E18" s="145">
        <f t="shared" si="0"/>
        <v>0</v>
      </c>
      <c r="F18" s="132" t="s">
        <v>682</v>
      </c>
      <c r="G18" s="479">
        <v>0</v>
      </c>
      <c r="H18" s="483">
        <v>0</v>
      </c>
      <c r="I18" s="29">
        <v>0</v>
      </c>
      <c r="J18" s="29">
        <f t="shared" si="1"/>
        <v>0</v>
      </c>
      <c r="K18" s="153" t="s">
        <v>235</v>
      </c>
      <c r="L18" s="201" t="s">
        <v>8</v>
      </c>
      <c r="M18" s="201" t="s">
        <v>8</v>
      </c>
      <c r="N18" s="199" t="s">
        <v>8</v>
      </c>
      <c r="O18" s="243" t="s">
        <v>8</v>
      </c>
      <c r="P18" s="243" t="s">
        <v>8</v>
      </c>
      <c r="Q18" s="242" t="s">
        <v>8</v>
      </c>
      <c r="R18" s="243" t="s">
        <v>8</v>
      </c>
      <c r="S18" s="243" t="s">
        <v>8</v>
      </c>
      <c r="T18" s="242" t="s">
        <v>8</v>
      </c>
      <c r="U18" s="243" t="s">
        <v>8</v>
      </c>
      <c r="V18" s="243" t="s">
        <v>8</v>
      </c>
      <c r="W18" s="244" t="s">
        <v>8</v>
      </c>
      <c r="AA18" s="181">
        <v>5</v>
      </c>
      <c r="AB18" s="181">
        <v>7</v>
      </c>
      <c r="AC18" s="195">
        <f>SUM(AA18/AB18)*100</f>
        <v>71.428571428571431</v>
      </c>
    </row>
    <row r="19" spans="1:29" ht="14.95" customHeight="1" thickBot="1" x14ac:dyDescent="0.3">
      <c r="A19" s="143" t="s">
        <v>643</v>
      </c>
      <c r="B19" s="486">
        <v>0</v>
      </c>
      <c r="C19" s="488">
        <v>0</v>
      </c>
      <c r="D19" s="353">
        <v>0</v>
      </c>
      <c r="E19" s="145">
        <f t="shared" si="0"/>
        <v>0</v>
      </c>
      <c r="F19" s="132" t="s">
        <v>643</v>
      </c>
      <c r="G19" s="479">
        <v>0</v>
      </c>
      <c r="H19" s="483">
        <v>0</v>
      </c>
      <c r="I19" s="29">
        <v>0</v>
      </c>
      <c r="J19" s="29">
        <f t="shared" si="1"/>
        <v>0</v>
      </c>
      <c r="K19" s="153" t="s">
        <v>453</v>
      </c>
      <c r="L19" s="201" t="s">
        <v>8</v>
      </c>
      <c r="M19" s="201" t="s">
        <v>8</v>
      </c>
      <c r="N19" s="198" t="s">
        <v>8</v>
      </c>
      <c r="O19" s="243" t="s">
        <v>8</v>
      </c>
      <c r="P19" s="243" t="s">
        <v>8</v>
      </c>
      <c r="Q19" s="247" t="s">
        <v>8</v>
      </c>
      <c r="R19" s="243" t="s">
        <v>8</v>
      </c>
      <c r="S19" s="243" t="s">
        <v>8</v>
      </c>
      <c r="T19" s="247" t="s">
        <v>8</v>
      </c>
      <c r="U19" s="243">
        <v>1</v>
      </c>
      <c r="V19" s="243">
        <v>2</v>
      </c>
      <c r="W19" s="244">
        <f>SUM(U19/V19)*100</f>
        <v>50</v>
      </c>
      <c r="AA19" s="245" t="s">
        <v>8</v>
      </c>
      <c r="AB19" s="215" t="s">
        <v>8</v>
      </c>
      <c r="AC19" s="216" t="s">
        <v>8</v>
      </c>
    </row>
    <row r="20" spans="1:29" ht="14.95" customHeight="1" thickBot="1" x14ac:dyDescent="0.3">
      <c r="A20" s="143" t="s">
        <v>360</v>
      </c>
      <c r="B20" s="486">
        <v>0</v>
      </c>
      <c r="C20" s="488">
        <v>0</v>
      </c>
      <c r="D20" s="353">
        <v>0</v>
      </c>
      <c r="E20" s="145">
        <f t="shared" si="0"/>
        <v>0</v>
      </c>
      <c r="F20" s="132" t="s">
        <v>360</v>
      </c>
      <c r="G20" s="479">
        <v>0</v>
      </c>
      <c r="H20" s="483">
        <v>0</v>
      </c>
      <c r="I20" s="29">
        <v>0</v>
      </c>
      <c r="J20" s="29">
        <f t="shared" si="1"/>
        <v>0</v>
      </c>
    </row>
    <row r="21" spans="1:29" ht="14.95" customHeight="1" thickBot="1" x14ac:dyDescent="0.3">
      <c r="A21" s="143" t="s">
        <v>610</v>
      </c>
      <c r="B21" s="486">
        <v>0</v>
      </c>
      <c r="C21" s="488">
        <v>0</v>
      </c>
      <c r="D21" s="353">
        <v>0</v>
      </c>
      <c r="E21" s="145">
        <f t="shared" si="0"/>
        <v>0</v>
      </c>
      <c r="F21" s="132" t="s">
        <v>610</v>
      </c>
      <c r="G21" s="479">
        <v>0</v>
      </c>
      <c r="H21" s="483">
        <v>0</v>
      </c>
      <c r="I21" s="29">
        <v>0</v>
      </c>
      <c r="J21" s="29">
        <f t="shared" si="1"/>
        <v>0</v>
      </c>
      <c r="K21" s="528" t="s">
        <v>345</v>
      </c>
      <c r="L21" s="516">
        <v>2025</v>
      </c>
      <c r="M21" s="517"/>
      <c r="N21" s="518"/>
      <c r="O21" s="516">
        <v>2022</v>
      </c>
      <c r="P21" s="517"/>
      <c r="Q21" s="518"/>
    </row>
    <row r="22" spans="1:29" ht="14.95" customHeight="1" thickBot="1" x14ac:dyDescent="0.3">
      <c r="A22" s="143" t="s">
        <v>239</v>
      </c>
      <c r="B22" s="486">
        <v>0</v>
      </c>
      <c r="C22" s="488">
        <v>0</v>
      </c>
      <c r="D22" s="353">
        <v>0</v>
      </c>
      <c r="E22" s="145">
        <f t="shared" si="0"/>
        <v>0</v>
      </c>
      <c r="F22" s="132" t="s">
        <v>239</v>
      </c>
      <c r="G22" s="479">
        <v>0</v>
      </c>
      <c r="H22" s="483">
        <v>0</v>
      </c>
      <c r="I22" s="29">
        <v>0</v>
      </c>
      <c r="J22" s="29">
        <f t="shared" si="1"/>
        <v>0</v>
      </c>
      <c r="K22" s="529"/>
      <c r="L22" s="519"/>
      <c r="M22" s="520"/>
      <c r="N22" s="521"/>
      <c r="O22" s="519"/>
      <c r="P22" s="520"/>
      <c r="Q22" s="521"/>
    </row>
    <row r="23" spans="1:29" ht="14.95" customHeight="1" thickBot="1" x14ac:dyDescent="0.3">
      <c r="A23" s="143" t="s">
        <v>361</v>
      </c>
      <c r="B23" s="486">
        <v>0</v>
      </c>
      <c r="C23" s="488">
        <v>0</v>
      </c>
      <c r="D23" s="353">
        <v>0</v>
      </c>
      <c r="E23" s="145">
        <f t="shared" si="0"/>
        <v>0</v>
      </c>
      <c r="F23" s="132" t="s">
        <v>361</v>
      </c>
      <c r="G23" s="479">
        <v>0</v>
      </c>
      <c r="H23" s="483">
        <v>0</v>
      </c>
      <c r="I23" s="29">
        <v>0</v>
      </c>
      <c r="J23" s="29">
        <f t="shared" si="1"/>
        <v>0</v>
      </c>
      <c r="K23" s="300"/>
      <c r="L23" s="59" t="s">
        <v>17</v>
      </c>
      <c r="M23" s="59" t="s">
        <v>5</v>
      </c>
      <c r="N23" s="59" t="s">
        <v>6</v>
      </c>
      <c r="O23" s="59" t="s">
        <v>17</v>
      </c>
      <c r="P23" s="59" t="s">
        <v>5</v>
      </c>
      <c r="Q23" s="59" t="s">
        <v>6</v>
      </c>
    </row>
    <row r="24" spans="1:29" ht="14.95" customHeight="1" thickBot="1" x14ac:dyDescent="0.3">
      <c r="A24" s="143" t="s">
        <v>362</v>
      </c>
      <c r="B24" s="486">
        <v>0</v>
      </c>
      <c r="C24" s="488">
        <v>0</v>
      </c>
      <c r="D24" s="353">
        <v>0</v>
      </c>
      <c r="E24" s="145">
        <f t="shared" si="0"/>
        <v>0</v>
      </c>
      <c r="F24" s="132" t="s">
        <v>362</v>
      </c>
      <c r="G24" s="479">
        <v>0</v>
      </c>
      <c r="H24" s="483">
        <v>0</v>
      </c>
      <c r="I24" s="29">
        <v>0</v>
      </c>
      <c r="J24" s="29">
        <f t="shared" si="1"/>
        <v>0</v>
      </c>
      <c r="K24" s="152" t="s">
        <v>234</v>
      </c>
      <c r="L24" s="243" t="s">
        <v>8</v>
      </c>
      <c r="M24" s="243" t="s">
        <v>8</v>
      </c>
      <c r="N24" s="244" t="s">
        <v>8</v>
      </c>
      <c r="O24" s="59">
        <v>10</v>
      </c>
      <c r="P24" s="59">
        <v>17</v>
      </c>
      <c r="Q24" s="117">
        <v>59</v>
      </c>
    </row>
    <row r="25" spans="1:29" ht="14.95" customHeight="1" thickBot="1" x14ac:dyDescent="0.3">
      <c r="A25" s="143" t="s">
        <v>260</v>
      </c>
      <c r="B25" s="486">
        <v>0</v>
      </c>
      <c r="C25" s="488">
        <v>0</v>
      </c>
      <c r="D25" s="353">
        <v>0</v>
      </c>
      <c r="E25" s="145">
        <f t="shared" si="0"/>
        <v>0</v>
      </c>
      <c r="F25" s="132" t="s">
        <v>260</v>
      </c>
      <c r="G25" s="479">
        <v>0</v>
      </c>
      <c r="H25" s="483">
        <v>0</v>
      </c>
      <c r="I25" s="29">
        <v>0</v>
      </c>
      <c r="J25" s="29">
        <f t="shared" si="1"/>
        <v>0</v>
      </c>
      <c r="K25" s="152" t="s">
        <v>240</v>
      </c>
      <c r="L25" s="301">
        <v>21</v>
      </c>
      <c r="M25" s="243">
        <v>33</v>
      </c>
      <c r="N25" s="244">
        <f t="shared" ref="N25:N26" si="7">SUM(L25/M25)*100</f>
        <v>63.636363636363633</v>
      </c>
      <c r="O25" s="59">
        <v>12</v>
      </c>
      <c r="P25" s="59">
        <v>25</v>
      </c>
      <c r="Q25" s="117">
        <v>53</v>
      </c>
    </row>
    <row r="26" spans="1:29" ht="14.95" customHeight="1" thickBot="1" x14ac:dyDescent="0.3">
      <c r="A26" s="143" t="s">
        <v>622</v>
      </c>
      <c r="B26" s="486">
        <v>2</v>
      </c>
      <c r="C26" s="488">
        <v>0</v>
      </c>
      <c r="D26" s="353">
        <v>0</v>
      </c>
      <c r="E26" s="145">
        <f t="shared" si="0"/>
        <v>2</v>
      </c>
      <c r="F26" s="132" t="s">
        <v>622</v>
      </c>
      <c r="G26" s="479">
        <v>10</v>
      </c>
      <c r="H26" s="483">
        <v>0</v>
      </c>
      <c r="I26" s="29">
        <v>0</v>
      </c>
      <c r="J26" s="29">
        <f t="shared" si="1"/>
        <v>10</v>
      </c>
      <c r="K26" s="152" t="s">
        <v>773</v>
      </c>
      <c r="L26" s="243">
        <v>7</v>
      </c>
      <c r="M26" s="301">
        <v>10</v>
      </c>
      <c r="N26" s="244">
        <f t="shared" si="7"/>
        <v>70</v>
      </c>
      <c r="O26" s="243" t="s">
        <v>8</v>
      </c>
      <c r="P26" s="243" t="s">
        <v>8</v>
      </c>
      <c r="Q26" s="242" t="s">
        <v>8</v>
      </c>
    </row>
    <row r="27" spans="1:29" ht="14.95" customHeight="1" thickBot="1" x14ac:dyDescent="0.3">
      <c r="A27" s="143" t="s">
        <v>452</v>
      </c>
      <c r="B27" s="486">
        <v>4</v>
      </c>
      <c r="C27" s="488">
        <v>0</v>
      </c>
      <c r="D27" s="353">
        <v>0</v>
      </c>
      <c r="E27" s="145">
        <f t="shared" si="0"/>
        <v>4</v>
      </c>
      <c r="F27" s="132" t="s">
        <v>452</v>
      </c>
      <c r="G27" s="479">
        <v>20</v>
      </c>
      <c r="H27" s="483">
        <v>0</v>
      </c>
      <c r="I27" s="29">
        <v>0</v>
      </c>
      <c r="J27" s="29">
        <f t="shared" si="1"/>
        <v>20</v>
      </c>
      <c r="K27" s="491" t="s">
        <v>235</v>
      </c>
      <c r="L27" s="243" t="s">
        <v>8</v>
      </c>
      <c r="M27" s="243" t="s">
        <v>8</v>
      </c>
      <c r="N27" s="244" t="s">
        <v>8</v>
      </c>
      <c r="O27" s="185">
        <v>0</v>
      </c>
      <c r="P27" s="59">
        <v>4</v>
      </c>
      <c r="Q27" s="117">
        <v>0</v>
      </c>
    </row>
    <row r="28" spans="1:29" ht="14.95" customHeight="1" thickBot="1" x14ac:dyDescent="0.3">
      <c r="A28" s="143" t="s">
        <v>208</v>
      </c>
      <c r="B28" s="486">
        <v>0</v>
      </c>
      <c r="C28" s="488">
        <v>0</v>
      </c>
      <c r="D28" s="353">
        <v>0</v>
      </c>
      <c r="E28" s="145">
        <f t="shared" si="0"/>
        <v>0</v>
      </c>
      <c r="F28" s="132" t="s">
        <v>208</v>
      </c>
      <c r="G28" s="479">
        <v>0</v>
      </c>
      <c r="H28" s="483">
        <v>0</v>
      </c>
      <c r="I28" s="29">
        <v>0</v>
      </c>
      <c r="J28" s="29">
        <f t="shared" si="1"/>
        <v>0</v>
      </c>
      <c r="O28" s="9"/>
      <c r="P28" s="9"/>
      <c r="Q28" s="9"/>
    </row>
    <row r="29" spans="1:29" ht="14.95" customHeight="1" thickBot="1" x14ac:dyDescent="0.3">
      <c r="A29" s="143" t="s">
        <v>363</v>
      </c>
      <c r="B29" s="486">
        <v>0</v>
      </c>
      <c r="C29" s="488">
        <v>0</v>
      </c>
      <c r="D29" s="353">
        <v>0</v>
      </c>
      <c r="E29" s="145">
        <f t="shared" si="0"/>
        <v>0</v>
      </c>
      <c r="F29" s="132" t="s">
        <v>363</v>
      </c>
      <c r="G29" s="479">
        <v>0</v>
      </c>
      <c r="H29" s="483">
        <v>0</v>
      </c>
      <c r="I29" s="29">
        <v>0</v>
      </c>
      <c r="J29" s="29">
        <f t="shared" si="1"/>
        <v>0</v>
      </c>
      <c r="K29" s="546" t="s">
        <v>500</v>
      </c>
      <c r="L29" s="502">
        <v>2026</v>
      </c>
      <c r="M29" s="503"/>
      <c r="N29" s="504"/>
      <c r="O29" s="516">
        <v>2024</v>
      </c>
      <c r="P29" s="517"/>
      <c r="Q29" s="518"/>
      <c r="R29" s="516">
        <v>2023</v>
      </c>
      <c r="S29" s="517"/>
      <c r="T29" s="518"/>
    </row>
    <row r="30" spans="1:29" ht="14.95" customHeight="1" thickBot="1" x14ac:dyDescent="0.3">
      <c r="A30" s="143" t="s">
        <v>946</v>
      </c>
      <c r="B30" s="486">
        <v>0</v>
      </c>
      <c r="C30" s="488">
        <v>0</v>
      </c>
      <c r="D30" s="353">
        <v>0</v>
      </c>
      <c r="E30" s="145">
        <f t="shared" si="0"/>
        <v>0</v>
      </c>
      <c r="F30" s="132" t="s">
        <v>946</v>
      </c>
      <c r="G30" s="479">
        <v>0</v>
      </c>
      <c r="H30" s="483">
        <v>0</v>
      </c>
      <c r="I30" s="29">
        <v>0</v>
      </c>
      <c r="J30" s="29">
        <f t="shared" si="1"/>
        <v>0</v>
      </c>
      <c r="K30" s="547"/>
      <c r="L30" s="505"/>
      <c r="M30" s="506"/>
      <c r="N30" s="507"/>
      <c r="O30" s="519"/>
      <c r="P30" s="520"/>
      <c r="Q30" s="521"/>
      <c r="R30" s="519"/>
      <c r="S30" s="520"/>
      <c r="T30" s="521"/>
    </row>
    <row r="31" spans="1:29" ht="14.95" customHeight="1" thickBot="1" x14ac:dyDescent="0.3">
      <c r="A31" s="143" t="s">
        <v>232</v>
      </c>
      <c r="B31" s="486">
        <v>0</v>
      </c>
      <c r="C31" s="488">
        <v>0</v>
      </c>
      <c r="D31" s="353">
        <v>0</v>
      </c>
      <c r="E31" s="145">
        <f t="shared" si="0"/>
        <v>0</v>
      </c>
      <c r="F31" s="132" t="s">
        <v>232</v>
      </c>
      <c r="G31" s="479">
        <v>0</v>
      </c>
      <c r="H31" s="483">
        <v>0</v>
      </c>
      <c r="I31" s="29">
        <v>0</v>
      </c>
      <c r="J31" s="29">
        <f t="shared" si="1"/>
        <v>0</v>
      </c>
      <c r="K31" s="221"/>
      <c r="L31" s="29" t="s">
        <v>17</v>
      </c>
      <c r="M31" s="29" t="s">
        <v>5</v>
      </c>
      <c r="N31" s="29" t="s">
        <v>6</v>
      </c>
      <c r="O31" s="59" t="s">
        <v>17</v>
      </c>
      <c r="P31" s="59" t="s">
        <v>5</v>
      </c>
      <c r="Q31" s="59" t="s">
        <v>6</v>
      </c>
      <c r="R31" s="59" t="s">
        <v>17</v>
      </c>
      <c r="S31" s="59" t="s">
        <v>5</v>
      </c>
      <c r="T31" s="59" t="s">
        <v>6</v>
      </c>
    </row>
    <row r="32" spans="1:29" ht="14.95" customHeight="1" thickBot="1" x14ac:dyDescent="0.3">
      <c r="A32" s="143" t="s">
        <v>364</v>
      </c>
      <c r="B32" s="486">
        <v>0</v>
      </c>
      <c r="C32" s="488">
        <v>0</v>
      </c>
      <c r="D32" s="353">
        <v>0</v>
      </c>
      <c r="E32" s="145">
        <f t="shared" si="0"/>
        <v>0</v>
      </c>
      <c r="F32" s="132" t="s">
        <v>364</v>
      </c>
      <c r="G32" s="479">
        <v>0</v>
      </c>
      <c r="H32" s="483">
        <v>0</v>
      </c>
      <c r="I32" s="29">
        <v>0</v>
      </c>
      <c r="J32" s="29">
        <f t="shared" si="1"/>
        <v>0</v>
      </c>
      <c r="K32" s="152" t="s">
        <v>234</v>
      </c>
      <c r="L32" s="200" t="s">
        <v>8</v>
      </c>
      <c r="M32" s="200" t="s">
        <v>8</v>
      </c>
      <c r="N32" s="197" t="s">
        <v>8</v>
      </c>
      <c r="O32" s="243" t="s">
        <v>8</v>
      </c>
      <c r="P32" s="243" t="s">
        <v>8</v>
      </c>
      <c r="Q32" s="242" t="s">
        <v>8</v>
      </c>
      <c r="R32" s="59">
        <v>1</v>
      </c>
      <c r="S32" s="59">
        <v>1</v>
      </c>
      <c r="T32" s="117">
        <f t="shared" ref="T32:T33" si="8">SUM(R32/S32)*100</f>
        <v>100</v>
      </c>
    </row>
    <row r="33" spans="1:20" ht="14.95" customHeight="1" thickBot="1" x14ac:dyDescent="0.3">
      <c r="A33" s="143" t="s">
        <v>609</v>
      </c>
      <c r="B33" s="486">
        <v>0</v>
      </c>
      <c r="C33" s="488">
        <v>0</v>
      </c>
      <c r="D33" s="353">
        <v>0</v>
      </c>
      <c r="E33" s="145">
        <f t="shared" si="0"/>
        <v>0</v>
      </c>
      <c r="F33" s="132" t="s">
        <v>609</v>
      </c>
      <c r="G33" s="479">
        <v>0</v>
      </c>
      <c r="H33" s="483">
        <v>0</v>
      </c>
      <c r="I33" s="29">
        <v>0</v>
      </c>
      <c r="J33" s="29">
        <f t="shared" si="1"/>
        <v>0</v>
      </c>
      <c r="K33" s="152" t="s">
        <v>240</v>
      </c>
      <c r="L33" s="200" t="s">
        <v>8</v>
      </c>
      <c r="M33" s="200" t="s">
        <v>8</v>
      </c>
      <c r="N33" s="197" t="s">
        <v>8</v>
      </c>
      <c r="O33" s="59">
        <v>6</v>
      </c>
      <c r="P33" s="59">
        <v>7</v>
      </c>
      <c r="Q33" s="117">
        <f t="shared" ref="Q33:Q34" si="9">SUM(O33/P33)*100</f>
        <v>85.714285714285708</v>
      </c>
      <c r="R33" s="59">
        <v>8</v>
      </c>
      <c r="S33" s="59">
        <v>16</v>
      </c>
      <c r="T33" s="117">
        <f t="shared" si="8"/>
        <v>50</v>
      </c>
    </row>
    <row r="34" spans="1:20" ht="14.95" customHeight="1" thickBot="1" x14ac:dyDescent="0.3">
      <c r="A34" s="143" t="s">
        <v>922</v>
      </c>
      <c r="B34" s="486">
        <v>0</v>
      </c>
      <c r="C34" s="488">
        <v>0</v>
      </c>
      <c r="D34" s="353">
        <v>0</v>
      </c>
      <c r="E34" s="145">
        <f t="shared" si="0"/>
        <v>0</v>
      </c>
      <c r="F34" s="132" t="s">
        <v>922</v>
      </c>
      <c r="G34" s="479">
        <v>0</v>
      </c>
      <c r="H34" s="483">
        <v>0</v>
      </c>
      <c r="I34" s="29">
        <v>0</v>
      </c>
      <c r="J34" s="29">
        <f t="shared" si="1"/>
        <v>0</v>
      </c>
      <c r="K34" s="152" t="s">
        <v>605</v>
      </c>
      <c r="L34" s="200" t="s">
        <v>8</v>
      </c>
      <c r="M34" s="200" t="s">
        <v>8</v>
      </c>
      <c r="N34" s="197" t="s">
        <v>8</v>
      </c>
      <c r="O34" s="59">
        <v>4</v>
      </c>
      <c r="P34" s="59">
        <v>10</v>
      </c>
      <c r="Q34" s="117">
        <f t="shared" si="9"/>
        <v>40</v>
      </c>
      <c r="R34" s="243" t="s">
        <v>8</v>
      </c>
      <c r="S34" s="243" t="s">
        <v>8</v>
      </c>
      <c r="T34" s="244" t="s">
        <v>8</v>
      </c>
    </row>
    <row r="35" spans="1:20" ht="14.95" customHeight="1" thickBot="1" x14ac:dyDescent="0.3">
      <c r="A35" s="143" t="s">
        <v>365</v>
      </c>
      <c r="B35" s="486">
        <v>0</v>
      </c>
      <c r="C35" s="488">
        <v>0</v>
      </c>
      <c r="D35" s="353">
        <v>0</v>
      </c>
      <c r="E35" s="145">
        <f t="shared" si="0"/>
        <v>0</v>
      </c>
      <c r="F35" s="132" t="s">
        <v>365</v>
      </c>
      <c r="G35" s="479">
        <v>0</v>
      </c>
      <c r="H35" s="483">
        <v>0</v>
      </c>
      <c r="I35" s="29">
        <v>0</v>
      </c>
      <c r="J35" s="29">
        <f t="shared" si="1"/>
        <v>0</v>
      </c>
    </row>
    <row r="36" spans="1:20" ht="14.95" customHeight="1" thickBot="1" x14ac:dyDescent="0.3">
      <c r="A36" s="143" t="s">
        <v>773</v>
      </c>
      <c r="B36" s="486">
        <v>0</v>
      </c>
      <c r="C36" s="488">
        <v>0</v>
      </c>
      <c r="D36" s="353">
        <v>0</v>
      </c>
      <c r="E36" s="145">
        <f t="shared" si="0"/>
        <v>0</v>
      </c>
      <c r="F36" s="132" t="s">
        <v>773</v>
      </c>
      <c r="G36" s="479">
        <v>0</v>
      </c>
      <c r="H36" s="483">
        <v>0</v>
      </c>
      <c r="I36" s="29">
        <v>0</v>
      </c>
      <c r="J36" s="29">
        <f t="shared" si="1"/>
        <v>0</v>
      </c>
    </row>
    <row r="37" spans="1:20" ht="14.95" thickBot="1" x14ac:dyDescent="0.3">
      <c r="A37" s="143" t="s">
        <v>366</v>
      </c>
      <c r="B37" s="486">
        <v>0</v>
      </c>
      <c r="C37" s="488">
        <v>0</v>
      </c>
      <c r="D37" s="353">
        <v>0</v>
      </c>
      <c r="E37" s="145">
        <f t="shared" si="0"/>
        <v>0</v>
      </c>
      <c r="F37" s="132" t="s">
        <v>366</v>
      </c>
      <c r="G37" s="479">
        <v>0</v>
      </c>
      <c r="H37" s="483">
        <v>0</v>
      </c>
      <c r="I37" s="29">
        <v>0</v>
      </c>
      <c r="J37" s="29">
        <f t="shared" si="1"/>
        <v>0</v>
      </c>
    </row>
    <row r="38" spans="1:20" ht="14.95" thickBot="1" x14ac:dyDescent="0.3">
      <c r="A38" s="143" t="s">
        <v>367</v>
      </c>
      <c r="B38" s="486">
        <v>0</v>
      </c>
      <c r="C38" s="488">
        <v>0</v>
      </c>
      <c r="D38" s="353">
        <v>0</v>
      </c>
      <c r="E38" s="145">
        <f t="shared" si="0"/>
        <v>0</v>
      </c>
      <c r="F38" s="132" t="s">
        <v>367</v>
      </c>
      <c r="G38" s="479">
        <v>0</v>
      </c>
      <c r="H38" s="483">
        <v>0</v>
      </c>
      <c r="I38" s="29">
        <v>0</v>
      </c>
      <c r="J38" s="29">
        <f t="shared" si="1"/>
        <v>0</v>
      </c>
    </row>
    <row r="39" spans="1:20" ht="14.95" thickBot="1" x14ac:dyDescent="0.3">
      <c r="A39" s="143" t="s">
        <v>479</v>
      </c>
      <c r="B39" s="486">
        <v>0</v>
      </c>
      <c r="C39" s="488">
        <v>0</v>
      </c>
      <c r="D39" s="353">
        <v>0</v>
      </c>
      <c r="E39" s="145">
        <f t="shared" si="0"/>
        <v>0</v>
      </c>
      <c r="F39" s="132" t="s">
        <v>479</v>
      </c>
      <c r="G39" s="479">
        <v>0</v>
      </c>
      <c r="H39" s="483">
        <v>0</v>
      </c>
      <c r="I39" s="29">
        <v>0</v>
      </c>
      <c r="J39" s="29">
        <f t="shared" si="1"/>
        <v>0</v>
      </c>
    </row>
    <row r="40" spans="1:20" ht="14.95" thickBot="1" x14ac:dyDescent="0.3">
      <c r="A40" s="143" t="s">
        <v>233</v>
      </c>
      <c r="B40" s="486">
        <v>0</v>
      </c>
      <c r="C40" s="488">
        <v>0</v>
      </c>
      <c r="D40" s="353">
        <v>0</v>
      </c>
      <c r="E40" s="145">
        <f t="shared" si="0"/>
        <v>0</v>
      </c>
      <c r="F40" s="132" t="s">
        <v>233</v>
      </c>
      <c r="G40" s="479">
        <v>0</v>
      </c>
      <c r="H40" s="483">
        <v>0</v>
      </c>
      <c r="I40" s="29">
        <v>0</v>
      </c>
      <c r="J40" s="29">
        <f>SUM(G40:I40)</f>
        <v>0</v>
      </c>
    </row>
    <row r="41" spans="1:20" ht="14.95" customHeight="1" thickBot="1" x14ac:dyDescent="0.3">
      <c r="A41" s="143" t="s">
        <v>944</v>
      </c>
      <c r="B41" s="486">
        <v>1</v>
      </c>
      <c r="C41" s="488">
        <v>0</v>
      </c>
      <c r="D41" s="353">
        <v>0</v>
      </c>
      <c r="E41" s="145">
        <f t="shared" si="0"/>
        <v>1</v>
      </c>
      <c r="F41" s="132" t="s">
        <v>944</v>
      </c>
      <c r="G41" s="479">
        <v>5</v>
      </c>
      <c r="H41" s="483">
        <v>0</v>
      </c>
      <c r="I41" s="29">
        <v>0</v>
      </c>
      <c r="J41" s="29">
        <f>SUM(G41:I41)</f>
        <v>5</v>
      </c>
    </row>
    <row r="42" spans="1:20" ht="14.95" thickBot="1" x14ac:dyDescent="0.3">
      <c r="A42" s="143" t="s">
        <v>507</v>
      </c>
      <c r="B42" s="486">
        <v>0</v>
      </c>
      <c r="C42" s="488">
        <v>0</v>
      </c>
      <c r="D42" s="353">
        <v>0</v>
      </c>
      <c r="E42" s="145">
        <f t="shared" si="0"/>
        <v>0</v>
      </c>
      <c r="F42" s="132" t="s">
        <v>507</v>
      </c>
      <c r="G42" s="479">
        <v>0</v>
      </c>
      <c r="H42" s="483">
        <v>0</v>
      </c>
      <c r="I42" s="29">
        <v>0</v>
      </c>
      <c r="J42" s="29">
        <f t="shared" si="1"/>
        <v>0</v>
      </c>
    </row>
    <row r="43" spans="1:20" ht="14.95" customHeight="1" thickBot="1" x14ac:dyDescent="0.3">
      <c r="A43" s="143" t="s">
        <v>607</v>
      </c>
      <c r="B43" s="486">
        <v>1</v>
      </c>
      <c r="C43" s="488">
        <v>0</v>
      </c>
      <c r="D43" s="353">
        <v>0</v>
      </c>
      <c r="E43" s="145">
        <f t="shared" si="0"/>
        <v>1</v>
      </c>
      <c r="F43" s="132" t="s">
        <v>607</v>
      </c>
      <c r="G43" s="479">
        <v>5</v>
      </c>
      <c r="H43" s="483">
        <v>0</v>
      </c>
      <c r="I43" s="29">
        <v>0</v>
      </c>
      <c r="J43" s="29">
        <f t="shared" si="1"/>
        <v>5</v>
      </c>
    </row>
    <row r="44" spans="1:20" ht="14.95" customHeight="1" thickBot="1" x14ac:dyDescent="0.3">
      <c r="A44" s="143" t="s">
        <v>623</v>
      </c>
      <c r="B44" s="486">
        <v>0</v>
      </c>
      <c r="C44" s="488">
        <v>0</v>
      </c>
      <c r="D44" s="353">
        <v>0</v>
      </c>
      <c r="E44" s="145">
        <f t="shared" si="0"/>
        <v>0</v>
      </c>
      <c r="F44" s="132" t="s">
        <v>623</v>
      </c>
      <c r="G44" s="479">
        <v>0</v>
      </c>
      <c r="H44" s="483">
        <v>0</v>
      </c>
      <c r="I44" s="29">
        <v>0</v>
      </c>
      <c r="J44" s="29">
        <f t="shared" si="1"/>
        <v>0</v>
      </c>
    </row>
    <row r="45" spans="1:20" ht="14.95" thickBot="1" x14ac:dyDescent="0.3">
      <c r="A45" s="143" t="s">
        <v>789</v>
      </c>
      <c r="B45" s="486">
        <v>0</v>
      </c>
      <c r="C45" s="488">
        <v>0</v>
      </c>
      <c r="D45" s="353">
        <v>0</v>
      </c>
      <c r="E45" s="145">
        <f t="shared" si="0"/>
        <v>0</v>
      </c>
      <c r="F45" s="132" t="s">
        <v>789</v>
      </c>
      <c r="G45" s="479">
        <v>0</v>
      </c>
      <c r="H45" s="483">
        <v>0</v>
      </c>
      <c r="I45" s="29">
        <v>0</v>
      </c>
      <c r="J45" s="29">
        <f t="shared" si="1"/>
        <v>0</v>
      </c>
    </row>
    <row r="46" spans="1:20" ht="14.95" thickBot="1" x14ac:dyDescent="0.3">
      <c r="A46" s="143" t="s">
        <v>787</v>
      </c>
      <c r="B46" s="486">
        <v>0</v>
      </c>
      <c r="C46" s="488">
        <v>0</v>
      </c>
      <c r="D46" s="353">
        <v>0</v>
      </c>
      <c r="E46" s="145">
        <f t="shared" si="0"/>
        <v>0</v>
      </c>
      <c r="F46" s="132" t="s">
        <v>787</v>
      </c>
      <c r="G46" s="479">
        <v>0</v>
      </c>
      <c r="H46" s="483">
        <v>0</v>
      </c>
      <c r="I46" s="29">
        <v>0</v>
      </c>
      <c r="J46" s="29">
        <f t="shared" si="1"/>
        <v>0</v>
      </c>
    </row>
    <row r="47" spans="1:20" ht="14.95" thickBot="1" x14ac:dyDescent="0.3">
      <c r="A47" s="143" t="s">
        <v>3</v>
      </c>
      <c r="B47" s="486">
        <f>SUM(B3:B46)</f>
        <v>13</v>
      </c>
      <c r="C47" s="488">
        <f>SUM(C3:C46)</f>
        <v>0</v>
      </c>
      <c r="D47" s="353">
        <f>SUM(D3:D46)</f>
        <v>0</v>
      </c>
      <c r="E47" s="145">
        <f>SUM(E3:E46)</f>
        <v>13</v>
      </c>
      <c r="F47" s="133" t="s">
        <v>3</v>
      </c>
      <c r="G47" s="480">
        <f>SUM(G3:G46)</f>
        <v>84</v>
      </c>
      <c r="H47" s="484">
        <f>SUM(H3:H46)</f>
        <v>0</v>
      </c>
      <c r="I47" s="118">
        <f>SUM(I3:I46)</f>
        <v>0</v>
      </c>
      <c r="J47" s="118">
        <f>SUM(J3:J46)</f>
        <v>84</v>
      </c>
    </row>
    <row r="48" spans="1:20" ht="16.3" x14ac:dyDescent="0.25">
      <c r="D48" s="50"/>
      <c r="F48" s="3"/>
      <c r="G48" s="3"/>
      <c r="H48" s="3"/>
      <c r="I48" s="51"/>
      <c r="J48" s="3"/>
    </row>
    <row r="49" spans="1:10" ht="17" thickBot="1" x14ac:dyDescent="0.3">
      <c r="A49" t="s">
        <v>7</v>
      </c>
      <c r="D49" s="50"/>
      <c r="F49" s="3"/>
      <c r="G49" s="3"/>
      <c r="H49" s="3"/>
      <c r="I49" s="51"/>
      <c r="J49" s="3"/>
    </row>
    <row r="50" spans="1:10" ht="14.95" customHeight="1" thickBot="1" x14ac:dyDescent="0.3">
      <c r="A50" s="142" t="s">
        <v>0</v>
      </c>
      <c r="B50" s="485" t="s">
        <v>223</v>
      </c>
      <c r="C50" s="487" t="s">
        <v>500</v>
      </c>
      <c r="D50" s="352" t="s">
        <v>11</v>
      </c>
      <c r="E50" s="144" t="s">
        <v>1</v>
      </c>
      <c r="F50" s="130" t="s">
        <v>2</v>
      </c>
      <c r="G50" s="478" t="s">
        <v>223</v>
      </c>
      <c r="H50" s="469" t="s">
        <v>500</v>
      </c>
      <c r="I50" s="118" t="s">
        <v>11</v>
      </c>
      <c r="J50" s="118" t="s">
        <v>1</v>
      </c>
    </row>
    <row r="51" spans="1:10" ht="14.95" thickBot="1" x14ac:dyDescent="0.3">
      <c r="A51" s="143" t="s">
        <v>452</v>
      </c>
      <c r="B51" s="486">
        <v>4</v>
      </c>
      <c r="C51" s="488">
        <v>0</v>
      </c>
      <c r="D51" s="353">
        <v>0</v>
      </c>
      <c r="E51" s="145">
        <f>SUM(B51:D51)</f>
        <v>4</v>
      </c>
      <c r="F51" s="131" t="s">
        <v>240</v>
      </c>
      <c r="G51" s="479">
        <v>29</v>
      </c>
      <c r="H51" s="483">
        <v>0</v>
      </c>
      <c r="I51" s="29">
        <v>0</v>
      </c>
      <c r="J51" s="29">
        <f>SUM(G51:I51)</f>
        <v>29</v>
      </c>
    </row>
    <row r="52" spans="1:10" ht="14.95" thickBot="1" x14ac:dyDescent="0.3">
      <c r="A52" s="143" t="s">
        <v>240</v>
      </c>
      <c r="B52" s="486">
        <v>2</v>
      </c>
      <c r="C52" s="488">
        <v>0</v>
      </c>
      <c r="D52" s="353">
        <v>0</v>
      </c>
      <c r="E52" s="145">
        <f>SUM(B52:D52)</f>
        <v>2</v>
      </c>
      <c r="F52" s="132" t="s">
        <v>452</v>
      </c>
      <c r="G52" s="479">
        <v>20</v>
      </c>
      <c r="H52" s="483">
        <v>0</v>
      </c>
      <c r="I52" s="29">
        <v>0</v>
      </c>
      <c r="J52" s="29">
        <f>SUM(G52:I52)</f>
        <v>20</v>
      </c>
    </row>
    <row r="53" spans="1:10" ht="14.95" thickBot="1" x14ac:dyDescent="0.3">
      <c r="A53" s="143" t="s">
        <v>622</v>
      </c>
      <c r="B53" s="486">
        <v>2</v>
      </c>
      <c r="C53" s="488">
        <v>0</v>
      </c>
      <c r="D53" s="353">
        <v>0</v>
      </c>
      <c r="E53" s="145">
        <f>SUM(B53:D53)</f>
        <v>2</v>
      </c>
      <c r="F53" s="132" t="s">
        <v>622</v>
      </c>
      <c r="G53" s="479">
        <v>10</v>
      </c>
      <c r="H53" s="483">
        <v>0</v>
      </c>
      <c r="I53" s="29">
        <v>0</v>
      </c>
      <c r="J53" s="29">
        <f>SUM(G53:I53)</f>
        <v>10</v>
      </c>
    </row>
    <row r="54" spans="1:10" ht="14.95" thickBot="1" x14ac:dyDescent="0.3">
      <c r="A54" s="143" t="s">
        <v>241</v>
      </c>
      <c r="B54" s="486">
        <v>1</v>
      </c>
      <c r="C54" s="488">
        <v>0</v>
      </c>
      <c r="D54" s="353">
        <v>0</v>
      </c>
      <c r="E54" s="145">
        <f>SUM(B54:D54)</f>
        <v>1</v>
      </c>
      <c r="F54" s="133" t="s">
        <v>241</v>
      </c>
      <c r="G54" s="479">
        <v>5</v>
      </c>
      <c r="H54" s="483">
        <v>0</v>
      </c>
      <c r="I54" s="29">
        <v>0</v>
      </c>
      <c r="J54" s="29">
        <f>SUM(G54:I54)</f>
        <v>5</v>
      </c>
    </row>
    <row r="55" spans="1:10" ht="14.95" thickBot="1" x14ac:dyDescent="0.3">
      <c r="A55" s="143" t="s">
        <v>279</v>
      </c>
      <c r="B55" s="486">
        <v>1</v>
      </c>
      <c r="C55" s="488">
        <v>0</v>
      </c>
      <c r="D55" s="353">
        <v>0</v>
      </c>
      <c r="E55" s="145">
        <f>SUM(B55:D55)</f>
        <v>1</v>
      </c>
      <c r="F55" s="132" t="s">
        <v>279</v>
      </c>
      <c r="G55" s="479">
        <v>5</v>
      </c>
      <c r="H55" s="483">
        <v>0</v>
      </c>
      <c r="I55" s="29">
        <v>0</v>
      </c>
      <c r="J55" s="29">
        <f>SUM(G55:I55)</f>
        <v>5</v>
      </c>
    </row>
    <row r="56" spans="1:10" ht="14.95" thickBot="1" x14ac:dyDescent="0.3">
      <c r="A56" s="143" t="s">
        <v>605</v>
      </c>
      <c r="B56" s="486">
        <v>1</v>
      </c>
      <c r="C56" s="488">
        <v>0</v>
      </c>
      <c r="D56" s="353">
        <v>0</v>
      </c>
      <c r="E56" s="145">
        <f>SUM(B56:D56)</f>
        <v>1</v>
      </c>
      <c r="F56" s="132" t="s">
        <v>605</v>
      </c>
      <c r="G56" s="479">
        <v>5</v>
      </c>
      <c r="H56" s="483">
        <v>0</v>
      </c>
      <c r="I56" s="29">
        <v>0</v>
      </c>
      <c r="J56" s="29">
        <f>SUM(G56:I56)</f>
        <v>5</v>
      </c>
    </row>
    <row r="57" spans="1:10" ht="14.95" thickBot="1" x14ac:dyDescent="0.3">
      <c r="A57" s="143" t="s">
        <v>944</v>
      </c>
      <c r="B57" s="486">
        <v>1</v>
      </c>
      <c r="C57" s="488">
        <v>0</v>
      </c>
      <c r="D57" s="353">
        <v>0</v>
      </c>
      <c r="E57" s="145">
        <f>SUM(B57:D57)</f>
        <v>1</v>
      </c>
      <c r="F57" s="132" t="s">
        <v>944</v>
      </c>
      <c r="G57" s="479">
        <v>5</v>
      </c>
      <c r="H57" s="483">
        <v>0</v>
      </c>
      <c r="I57" s="29">
        <v>0</v>
      </c>
      <c r="J57" s="29">
        <f>SUM(G57:I57)</f>
        <v>5</v>
      </c>
    </row>
    <row r="58" spans="1:10" ht="14.95" thickBot="1" x14ac:dyDescent="0.3">
      <c r="A58" s="143" t="s">
        <v>607</v>
      </c>
      <c r="B58" s="486">
        <v>1</v>
      </c>
      <c r="C58" s="488">
        <v>0</v>
      </c>
      <c r="D58" s="353">
        <v>0</v>
      </c>
      <c r="E58" s="145">
        <f>SUM(B58:D58)</f>
        <v>1</v>
      </c>
      <c r="F58" s="132" t="s">
        <v>607</v>
      </c>
      <c r="G58" s="479">
        <v>5</v>
      </c>
      <c r="H58" s="483">
        <v>0</v>
      </c>
      <c r="I58" s="29">
        <v>0</v>
      </c>
      <c r="J58" s="29">
        <f>SUM(G58:I58)</f>
        <v>5</v>
      </c>
    </row>
    <row r="59" spans="1:10" ht="14.95" thickBot="1" x14ac:dyDescent="0.3">
      <c r="A59" s="143" t="s">
        <v>988</v>
      </c>
      <c r="B59" s="486">
        <v>0</v>
      </c>
      <c r="C59" s="488">
        <v>0</v>
      </c>
      <c r="D59" s="353">
        <v>0</v>
      </c>
      <c r="E59" s="145">
        <f>SUM(B59:D59)</f>
        <v>0</v>
      </c>
      <c r="F59" s="132" t="s">
        <v>988</v>
      </c>
      <c r="G59" s="479">
        <v>0</v>
      </c>
      <c r="H59" s="483">
        <v>0</v>
      </c>
      <c r="I59" s="29">
        <v>0</v>
      </c>
      <c r="J59" s="29">
        <f>SUM(G59:I59)</f>
        <v>0</v>
      </c>
    </row>
    <row r="60" spans="1:10" ht="14.95" thickBot="1" x14ac:dyDescent="0.3">
      <c r="A60" s="143" t="s">
        <v>357</v>
      </c>
      <c r="B60" s="486">
        <v>0</v>
      </c>
      <c r="C60" s="488">
        <v>0</v>
      </c>
      <c r="D60" s="353">
        <v>0</v>
      </c>
      <c r="E60" s="145">
        <f>SUM(B60:D60)</f>
        <v>0</v>
      </c>
      <c r="F60" s="132" t="s">
        <v>357</v>
      </c>
      <c r="G60" s="479">
        <v>0</v>
      </c>
      <c r="H60" s="483">
        <v>0</v>
      </c>
      <c r="I60" s="29">
        <v>0</v>
      </c>
      <c r="J60" s="29">
        <f>SUM(G60:I60)</f>
        <v>0</v>
      </c>
    </row>
    <row r="61" spans="1:10" ht="14.95" thickBot="1" x14ac:dyDescent="0.3">
      <c r="A61" s="143" t="s">
        <v>358</v>
      </c>
      <c r="B61" s="486">
        <v>0</v>
      </c>
      <c r="C61" s="488">
        <v>0</v>
      </c>
      <c r="D61" s="353">
        <v>0</v>
      </c>
      <c r="E61" s="145">
        <f>SUM(B61:D61)</f>
        <v>0</v>
      </c>
      <c r="F61" s="132" t="s">
        <v>358</v>
      </c>
      <c r="G61" s="479">
        <v>0</v>
      </c>
      <c r="H61" s="483">
        <v>0</v>
      </c>
      <c r="I61" s="29">
        <v>0</v>
      </c>
      <c r="J61" s="29">
        <f>SUM(G61:I61)</f>
        <v>0</v>
      </c>
    </row>
    <row r="62" spans="1:10" ht="14.95" thickBot="1" x14ac:dyDescent="0.3">
      <c r="A62" s="143" t="s">
        <v>278</v>
      </c>
      <c r="B62" s="486">
        <v>0</v>
      </c>
      <c r="C62" s="488">
        <v>0</v>
      </c>
      <c r="D62" s="353">
        <v>0</v>
      </c>
      <c r="E62" s="145">
        <f>SUM(B62:D62)</f>
        <v>0</v>
      </c>
      <c r="F62" s="132" t="s">
        <v>278</v>
      </c>
      <c r="G62" s="479">
        <v>0</v>
      </c>
      <c r="H62" s="483">
        <v>0</v>
      </c>
      <c r="I62" s="29">
        <v>0</v>
      </c>
      <c r="J62" s="29">
        <f>SUM(G62:I62)</f>
        <v>0</v>
      </c>
    </row>
    <row r="63" spans="1:10" ht="14.95" thickBot="1" x14ac:dyDescent="0.3">
      <c r="A63" s="143" t="s">
        <v>321</v>
      </c>
      <c r="B63" s="486">
        <v>0</v>
      </c>
      <c r="C63" s="488">
        <v>0</v>
      </c>
      <c r="D63" s="353">
        <v>0</v>
      </c>
      <c r="E63" s="145">
        <f>SUM(B63:D63)</f>
        <v>0</v>
      </c>
      <c r="F63" s="132" t="s">
        <v>321</v>
      </c>
      <c r="G63" s="479">
        <v>0</v>
      </c>
      <c r="H63" s="483">
        <v>0</v>
      </c>
      <c r="I63" s="29">
        <v>0</v>
      </c>
      <c r="J63" s="29">
        <f>SUM(G63:I63)</f>
        <v>0</v>
      </c>
    </row>
    <row r="64" spans="1:10" ht="14.95" thickBot="1" x14ac:dyDescent="0.3">
      <c r="A64" s="143" t="s">
        <v>234</v>
      </c>
      <c r="B64" s="486">
        <v>0</v>
      </c>
      <c r="C64" s="488">
        <v>0</v>
      </c>
      <c r="D64" s="353">
        <v>0</v>
      </c>
      <c r="E64" s="145">
        <f>SUM(B64:D64)</f>
        <v>0</v>
      </c>
      <c r="F64" s="132" t="s">
        <v>234</v>
      </c>
      <c r="G64" s="479">
        <v>0</v>
      </c>
      <c r="H64" s="483">
        <v>0</v>
      </c>
      <c r="I64" s="29">
        <v>0</v>
      </c>
      <c r="J64" s="29">
        <f>SUM(G64:I64)</f>
        <v>0</v>
      </c>
    </row>
    <row r="65" spans="1:10" ht="14.95" thickBot="1" x14ac:dyDescent="0.3">
      <c r="A65" s="143" t="s">
        <v>481</v>
      </c>
      <c r="B65" s="486">
        <v>0</v>
      </c>
      <c r="C65" s="488">
        <v>0</v>
      </c>
      <c r="D65" s="353">
        <v>0</v>
      </c>
      <c r="E65" s="145">
        <f>SUM(B65:D65)</f>
        <v>0</v>
      </c>
      <c r="F65" s="132" t="s">
        <v>481</v>
      </c>
      <c r="G65" s="479">
        <v>0</v>
      </c>
      <c r="H65" s="483">
        <v>0</v>
      </c>
      <c r="I65" s="29">
        <v>0</v>
      </c>
      <c r="J65" s="29">
        <f>SUM(G65:I65)</f>
        <v>0</v>
      </c>
    </row>
    <row r="66" spans="1:10" ht="14.95" thickBot="1" x14ac:dyDescent="0.3">
      <c r="A66" s="143" t="s">
        <v>459</v>
      </c>
      <c r="B66" s="486">
        <v>0</v>
      </c>
      <c r="C66" s="488">
        <v>0</v>
      </c>
      <c r="D66" s="353">
        <v>0</v>
      </c>
      <c r="E66" s="145">
        <f>SUM(B66:D66)</f>
        <v>0</v>
      </c>
      <c r="F66" s="132" t="s">
        <v>459</v>
      </c>
      <c r="G66" s="479">
        <v>0</v>
      </c>
      <c r="H66" s="483">
        <v>0</v>
      </c>
      <c r="I66" s="29">
        <v>0</v>
      </c>
      <c r="J66" s="29">
        <f>SUM(G66:I66)</f>
        <v>0</v>
      </c>
    </row>
    <row r="67" spans="1:10" ht="14.95" thickBot="1" x14ac:dyDescent="0.3">
      <c r="A67" s="143" t="s">
        <v>512</v>
      </c>
      <c r="B67" s="486">
        <v>0</v>
      </c>
      <c r="C67" s="488">
        <v>0</v>
      </c>
      <c r="D67" s="353">
        <v>0</v>
      </c>
      <c r="E67" s="145">
        <f>SUM(B67:D67)</f>
        <v>0</v>
      </c>
      <c r="F67" s="132" t="s">
        <v>512</v>
      </c>
      <c r="G67" s="479">
        <v>0</v>
      </c>
      <c r="H67" s="483">
        <v>0</v>
      </c>
      <c r="I67" s="29">
        <v>0</v>
      </c>
      <c r="J67" s="29">
        <f>SUM(G67:I67)</f>
        <v>0</v>
      </c>
    </row>
    <row r="68" spans="1:10" ht="14.95" thickBot="1" x14ac:dyDescent="0.3">
      <c r="A68" s="143" t="s">
        <v>980</v>
      </c>
      <c r="B68" s="486">
        <v>0</v>
      </c>
      <c r="C68" s="488">
        <v>0</v>
      </c>
      <c r="D68" s="353">
        <v>0</v>
      </c>
      <c r="E68" s="145">
        <f>SUM(B68:D68)</f>
        <v>0</v>
      </c>
      <c r="F68" s="132" t="s">
        <v>980</v>
      </c>
      <c r="G68" s="479">
        <v>0</v>
      </c>
      <c r="H68" s="483">
        <v>0</v>
      </c>
      <c r="I68" s="29">
        <v>0</v>
      </c>
      <c r="J68" s="29">
        <f>SUM(G68:I68)</f>
        <v>0</v>
      </c>
    </row>
    <row r="69" spans="1:10" ht="14.95" thickBot="1" x14ac:dyDescent="0.3">
      <c r="A69" s="143" t="s">
        <v>359</v>
      </c>
      <c r="B69" s="486">
        <v>0</v>
      </c>
      <c r="C69" s="488">
        <v>0</v>
      </c>
      <c r="D69" s="353">
        <v>0</v>
      </c>
      <c r="E69" s="145">
        <f>SUM(B69:D69)</f>
        <v>0</v>
      </c>
      <c r="F69" s="132" t="s">
        <v>359</v>
      </c>
      <c r="G69" s="479">
        <v>0</v>
      </c>
      <c r="H69" s="483">
        <v>0</v>
      </c>
      <c r="I69" s="29">
        <v>0</v>
      </c>
      <c r="J69" s="29">
        <f>SUM(G69:I69)</f>
        <v>0</v>
      </c>
    </row>
    <row r="70" spans="1:10" ht="14.95" thickBot="1" x14ac:dyDescent="0.3">
      <c r="A70" s="143" t="s">
        <v>682</v>
      </c>
      <c r="B70" s="486">
        <v>0</v>
      </c>
      <c r="C70" s="488">
        <v>0</v>
      </c>
      <c r="D70" s="353">
        <v>0</v>
      </c>
      <c r="E70" s="145">
        <f>SUM(B70:D70)</f>
        <v>0</v>
      </c>
      <c r="F70" s="132" t="s">
        <v>682</v>
      </c>
      <c r="G70" s="479">
        <v>0</v>
      </c>
      <c r="H70" s="483">
        <v>0</v>
      </c>
      <c r="I70" s="29">
        <v>0</v>
      </c>
      <c r="J70" s="29">
        <f>SUM(G70:I70)</f>
        <v>0</v>
      </c>
    </row>
    <row r="71" spans="1:10" ht="14.95" thickBot="1" x14ac:dyDescent="0.3">
      <c r="A71" s="143" t="s">
        <v>643</v>
      </c>
      <c r="B71" s="486">
        <v>0</v>
      </c>
      <c r="C71" s="488">
        <v>0</v>
      </c>
      <c r="D71" s="353">
        <v>0</v>
      </c>
      <c r="E71" s="145">
        <f>SUM(B71:D71)</f>
        <v>0</v>
      </c>
      <c r="F71" s="132" t="s">
        <v>643</v>
      </c>
      <c r="G71" s="479">
        <v>0</v>
      </c>
      <c r="H71" s="483">
        <v>0</v>
      </c>
      <c r="I71" s="29">
        <v>0</v>
      </c>
      <c r="J71" s="29">
        <f>SUM(G71:I71)</f>
        <v>0</v>
      </c>
    </row>
    <row r="72" spans="1:10" ht="14.95" thickBot="1" x14ac:dyDescent="0.3">
      <c r="A72" s="143" t="s">
        <v>360</v>
      </c>
      <c r="B72" s="486">
        <v>0</v>
      </c>
      <c r="C72" s="488">
        <v>0</v>
      </c>
      <c r="D72" s="353">
        <v>0</v>
      </c>
      <c r="E72" s="145">
        <f>SUM(B72:D72)</f>
        <v>0</v>
      </c>
      <c r="F72" s="132" t="s">
        <v>360</v>
      </c>
      <c r="G72" s="479">
        <v>0</v>
      </c>
      <c r="H72" s="483">
        <v>0</v>
      </c>
      <c r="I72" s="29">
        <v>0</v>
      </c>
      <c r="J72" s="29">
        <f>SUM(G72:I72)</f>
        <v>0</v>
      </c>
    </row>
    <row r="73" spans="1:10" ht="14.95" thickBot="1" x14ac:dyDescent="0.3">
      <c r="A73" s="143" t="s">
        <v>610</v>
      </c>
      <c r="B73" s="486">
        <v>0</v>
      </c>
      <c r="C73" s="488">
        <v>0</v>
      </c>
      <c r="D73" s="353">
        <v>0</v>
      </c>
      <c r="E73" s="145">
        <f>SUM(B73:D73)</f>
        <v>0</v>
      </c>
      <c r="F73" s="132" t="s">
        <v>610</v>
      </c>
      <c r="G73" s="479">
        <v>0</v>
      </c>
      <c r="H73" s="483">
        <v>0</v>
      </c>
      <c r="I73" s="29">
        <v>0</v>
      </c>
      <c r="J73" s="29">
        <f>SUM(G73:I73)</f>
        <v>0</v>
      </c>
    </row>
    <row r="74" spans="1:10" ht="14.95" thickBot="1" x14ac:dyDescent="0.3">
      <c r="A74" s="143" t="s">
        <v>239</v>
      </c>
      <c r="B74" s="486">
        <v>0</v>
      </c>
      <c r="C74" s="488">
        <v>0</v>
      </c>
      <c r="D74" s="353">
        <v>0</v>
      </c>
      <c r="E74" s="145">
        <f>SUM(B74:D74)</f>
        <v>0</v>
      </c>
      <c r="F74" s="132" t="s">
        <v>239</v>
      </c>
      <c r="G74" s="479">
        <v>0</v>
      </c>
      <c r="H74" s="483">
        <v>0</v>
      </c>
      <c r="I74" s="29">
        <v>0</v>
      </c>
      <c r="J74" s="29">
        <f>SUM(G74:I74)</f>
        <v>0</v>
      </c>
    </row>
    <row r="75" spans="1:10" ht="14.95" thickBot="1" x14ac:dyDescent="0.3">
      <c r="A75" s="143" t="s">
        <v>361</v>
      </c>
      <c r="B75" s="486">
        <v>0</v>
      </c>
      <c r="C75" s="488">
        <v>0</v>
      </c>
      <c r="D75" s="353">
        <v>0</v>
      </c>
      <c r="E75" s="145">
        <f>SUM(B75:D75)</f>
        <v>0</v>
      </c>
      <c r="F75" s="132" t="s">
        <v>361</v>
      </c>
      <c r="G75" s="479">
        <v>0</v>
      </c>
      <c r="H75" s="483">
        <v>0</v>
      </c>
      <c r="I75" s="29">
        <v>0</v>
      </c>
      <c r="J75" s="29">
        <f>SUM(G75:I75)</f>
        <v>0</v>
      </c>
    </row>
    <row r="76" spans="1:10" ht="14.95" thickBot="1" x14ac:dyDescent="0.3">
      <c r="A76" s="143" t="s">
        <v>362</v>
      </c>
      <c r="B76" s="486">
        <v>0</v>
      </c>
      <c r="C76" s="488">
        <v>0</v>
      </c>
      <c r="D76" s="353">
        <v>0</v>
      </c>
      <c r="E76" s="145">
        <f>SUM(B76:D76)</f>
        <v>0</v>
      </c>
      <c r="F76" s="132" t="s">
        <v>362</v>
      </c>
      <c r="G76" s="479">
        <v>0</v>
      </c>
      <c r="H76" s="483">
        <v>0</v>
      </c>
      <c r="I76" s="29">
        <v>0</v>
      </c>
      <c r="J76" s="29">
        <f>SUM(G76:I76)</f>
        <v>0</v>
      </c>
    </row>
    <row r="77" spans="1:10" ht="14.95" thickBot="1" x14ac:dyDescent="0.3">
      <c r="A77" s="143" t="s">
        <v>260</v>
      </c>
      <c r="B77" s="486">
        <v>0</v>
      </c>
      <c r="C77" s="488">
        <v>0</v>
      </c>
      <c r="D77" s="353">
        <v>0</v>
      </c>
      <c r="E77" s="145">
        <f>SUM(B77:D77)</f>
        <v>0</v>
      </c>
      <c r="F77" s="132" t="s">
        <v>260</v>
      </c>
      <c r="G77" s="479">
        <v>0</v>
      </c>
      <c r="H77" s="483">
        <v>0</v>
      </c>
      <c r="I77" s="29">
        <v>0</v>
      </c>
      <c r="J77" s="29">
        <f>SUM(G77:I77)</f>
        <v>0</v>
      </c>
    </row>
    <row r="78" spans="1:10" ht="14.95" thickBot="1" x14ac:dyDescent="0.3">
      <c r="A78" s="143" t="s">
        <v>208</v>
      </c>
      <c r="B78" s="486">
        <v>0</v>
      </c>
      <c r="C78" s="488">
        <v>0</v>
      </c>
      <c r="D78" s="353">
        <v>0</v>
      </c>
      <c r="E78" s="145">
        <f>SUM(B78:D78)</f>
        <v>0</v>
      </c>
      <c r="F78" s="132" t="s">
        <v>208</v>
      </c>
      <c r="G78" s="479">
        <v>0</v>
      </c>
      <c r="H78" s="483">
        <v>0</v>
      </c>
      <c r="I78" s="29">
        <v>0</v>
      </c>
      <c r="J78" s="29">
        <f>SUM(G78:I78)</f>
        <v>0</v>
      </c>
    </row>
    <row r="79" spans="1:10" ht="14.95" thickBot="1" x14ac:dyDescent="0.3">
      <c r="A79" s="143" t="s">
        <v>363</v>
      </c>
      <c r="B79" s="486">
        <v>0</v>
      </c>
      <c r="C79" s="488">
        <v>0</v>
      </c>
      <c r="D79" s="353">
        <v>0</v>
      </c>
      <c r="E79" s="145">
        <f>SUM(B79:D79)</f>
        <v>0</v>
      </c>
      <c r="F79" s="132" t="s">
        <v>363</v>
      </c>
      <c r="G79" s="479">
        <v>0</v>
      </c>
      <c r="H79" s="483">
        <v>0</v>
      </c>
      <c r="I79" s="29">
        <v>0</v>
      </c>
      <c r="J79" s="29">
        <f>SUM(G79:I79)</f>
        <v>0</v>
      </c>
    </row>
    <row r="80" spans="1:10" ht="14.95" thickBot="1" x14ac:dyDescent="0.3">
      <c r="A80" s="143" t="s">
        <v>946</v>
      </c>
      <c r="B80" s="486">
        <v>0</v>
      </c>
      <c r="C80" s="488">
        <v>0</v>
      </c>
      <c r="D80" s="353">
        <v>0</v>
      </c>
      <c r="E80" s="145">
        <f>SUM(B80:D80)</f>
        <v>0</v>
      </c>
      <c r="F80" s="132" t="s">
        <v>946</v>
      </c>
      <c r="G80" s="479">
        <v>0</v>
      </c>
      <c r="H80" s="483">
        <v>0</v>
      </c>
      <c r="I80" s="29">
        <v>0</v>
      </c>
      <c r="J80" s="29">
        <f>SUM(G80:I80)</f>
        <v>0</v>
      </c>
    </row>
    <row r="81" spans="1:10" ht="14.95" thickBot="1" x14ac:dyDescent="0.3">
      <c r="A81" s="143" t="s">
        <v>232</v>
      </c>
      <c r="B81" s="486">
        <v>0</v>
      </c>
      <c r="C81" s="488">
        <v>0</v>
      </c>
      <c r="D81" s="353">
        <v>0</v>
      </c>
      <c r="E81" s="145">
        <f>SUM(B81:D81)</f>
        <v>0</v>
      </c>
      <c r="F81" s="132" t="s">
        <v>232</v>
      </c>
      <c r="G81" s="479">
        <v>0</v>
      </c>
      <c r="H81" s="483">
        <v>0</v>
      </c>
      <c r="I81" s="29">
        <v>0</v>
      </c>
      <c r="J81" s="29">
        <f>SUM(G81:I81)</f>
        <v>0</v>
      </c>
    </row>
    <row r="82" spans="1:10" ht="14.95" thickBot="1" x14ac:dyDescent="0.3">
      <c r="A82" s="143" t="s">
        <v>364</v>
      </c>
      <c r="B82" s="486">
        <v>0</v>
      </c>
      <c r="C82" s="488">
        <v>0</v>
      </c>
      <c r="D82" s="353">
        <v>0</v>
      </c>
      <c r="E82" s="145">
        <f>SUM(B82:D82)</f>
        <v>0</v>
      </c>
      <c r="F82" s="132" t="s">
        <v>364</v>
      </c>
      <c r="G82" s="479">
        <v>0</v>
      </c>
      <c r="H82" s="483">
        <v>0</v>
      </c>
      <c r="I82" s="29">
        <v>0</v>
      </c>
      <c r="J82" s="29">
        <f>SUM(G82:I82)</f>
        <v>0</v>
      </c>
    </row>
    <row r="83" spans="1:10" ht="14.95" thickBot="1" x14ac:dyDescent="0.3">
      <c r="A83" s="143" t="s">
        <v>609</v>
      </c>
      <c r="B83" s="486">
        <v>0</v>
      </c>
      <c r="C83" s="488">
        <v>0</v>
      </c>
      <c r="D83" s="353">
        <v>0</v>
      </c>
      <c r="E83" s="145">
        <f>SUM(B83:D83)</f>
        <v>0</v>
      </c>
      <c r="F83" s="132" t="s">
        <v>609</v>
      </c>
      <c r="G83" s="479">
        <v>0</v>
      </c>
      <c r="H83" s="483">
        <v>0</v>
      </c>
      <c r="I83" s="29">
        <v>0</v>
      </c>
      <c r="J83" s="29">
        <f>SUM(G83:I83)</f>
        <v>0</v>
      </c>
    </row>
    <row r="84" spans="1:10" ht="14.95" thickBot="1" x14ac:dyDescent="0.3">
      <c r="A84" s="143" t="s">
        <v>922</v>
      </c>
      <c r="B84" s="486">
        <v>0</v>
      </c>
      <c r="C84" s="488">
        <v>0</v>
      </c>
      <c r="D84" s="353">
        <v>0</v>
      </c>
      <c r="E84" s="145">
        <f>SUM(B84:D84)</f>
        <v>0</v>
      </c>
      <c r="F84" s="132" t="s">
        <v>922</v>
      </c>
      <c r="G84" s="479">
        <v>0</v>
      </c>
      <c r="H84" s="483">
        <v>0</v>
      </c>
      <c r="I84" s="29">
        <v>0</v>
      </c>
      <c r="J84" s="29">
        <f>SUM(G84:I84)</f>
        <v>0</v>
      </c>
    </row>
    <row r="85" spans="1:10" ht="14.95" thickBot="1" x14ac:dyDescent="0.3">
      <c r="A85" s="143" t="s">
        <v>365</v>
      </c>
      <c r="B85" s="486">
        <v>0</v>
      </c>
      <c r="C85" s="488">
        <v>0</v>
      </c>
      <c r="D85" s="353">
        <v>0</v>
      </c>
      <c r="E85" s="145">
        <f>SUM(B85:D85)</f>
        <v>0</v>
      </c>
      <c r="F85" s="132" t="s">
        <v>365</v>
      </c>
      <c r="G85" s="479">
        <v>0</v>
      </c>
      <c r="H85" s="483">
        <v>0</v>
      </c>
      <c r="I85" s="29">
        <v>0</v>
      </c>
      <c r="J85" s="29">
        <f>SUM(G85:I85)</f>
        <v>0</v>
      </c>
    </row>
    <row r="86" spans="1:10" ht="14.95" thickBot="1" x14ac:dyDescent="0.3">
      <c r="A86" s="143" t="s">
        <v>773</v>
      </c>
      <c r="B86" s="486">
        <v>0</v>
      </c>
      <c r="C86" s="488">
        <v>0</v>
      </c>
      <c r="D86" s="353">
        <v>0</v>
      </c>
      <c r="E86" s="145">
        <f>SUM(B86:D86)</f>
        <v>0</v>
      </c>
      <c r="F86" s="132" t="s">
        <v>773</v>
      </c>
      <c r="G86" s="479">
        <v>0</v>
      </c>
      <c r="H86" s="483">
        <v>0</v>
      </c>
      <c r="I86" s="29">
        <v>0</v>
      </c>
      <c r="J86" s="29">
        <f>SUM(G86:I86)</f>
        <v>0</v>
      </c>
    </row>
    <row r="87" spans="1:10" ht="14.95" thickBot="1" x14ac:dyDescent="0.3">
      <c r="A87" s="143" t="s">
        <v>366</v>
      </c>
      <c r="B87" s="486">
        <v>0</v>
      </c>
      <c r="C87" s="488">
        <v>0</v>
      </c>
      <c r="D87" s="353">
        <v>0</v>
      </c>
      <c r="E87" s="145">
        <f>SUM(B87:D87)</f>
        <v>0</v>
      </c>
      <c r="F87" s="132" t="s">
        <v>366</v>
      </c>
      <c r="G87" s="479">
        <v>0</v>
      </c>
      <c r="H87" s="483">
        <v>0</v>
      </c>
      <c r="I87" s="29">
        <v>0</v>
      </c>
      <c r="J87" s="29">
        <f>SUM(G87:I87)</f>
        <v>0</v>
      </c>
    </row>
    <row r="88" spans="1:10" ht="14.95" thickBot="1" x14ac:dyDescent="0.3">
      <c r="A88" s="143" t="s">
        <v>367</v>
      </c>
      <c r="B88" s="486">
        <v>0</v>
      </c>
      <c r="C88" s="488">
        <v>0</v>
      </c>
      <c r="D88" s="353">
        <v>0</v>
      </c>
      <c r="E88" s="145">
        <f>SUM(B88:D88)</f>
        <v>0</v>
      </c>
      <c r="F88" s="132" t="s">
        <v>367</v>
      </c>
      <c r="G88" s="479">
        <v>0</v>
      </c>
      <c r="H88" s="483">
        <v>0</v>
      </c>
      <c r="I88" s="29">
        <v>0</v>
      </c>
      <c r="J88" s="29">
        <f>SUM(G88:I88)</f>
        <v>0</v>
      </c>
    </row>
    <row r="89" spans="1:10" ht="14.95" thickBot="1" x14ac:dyDescent="0.3">
      <c r="A89" s="143" t="s">
        <v>479</v>
      </c>
      <c r="B89" s="486">
        <v>0</v>
      </c>
      <c r="C89" s="488">
        <v>0</v>
      </c>
      <c r="D89" s="353">
        <v>0</v>
      </c>
      <c r="E89" s="145">
        <f>SUM(B89:D89)</f>
        <v>0</v>
      </c>
      <c r="F89" s="132" t="s">
        <v>479</v>
      </c>
      <c r="G89" s="479">
        <v>0</v>
      </c>
      <c r="H89" s="483">
        <v>0</v>
      </c>
      <c r="I89" s="29">
        <v>0</v>
      </c>
      <c r="J89" s="29">
        <f>SUM(G89:I89)</f>
        <v>0</v>
      </c>
    </row>
    <row r="90" spans="1:10" ht="14.95" thickBot="1" x14ac:dyDescent="0.3">
      <c r="A90" s="143" t="s">
        <v>233</v>
      </c>
      <c r="B90" s="486">
        <v>0</v>
      </c>
      <c r="C90" s="488">
        <v>0</v>
      </c>
      <c r="D90" s="353">
        <v>0</v>
      </c>
      <c r="E90" s="145">
        <f>SUM(B90:D90)</f>
        <v>0</v>
      </c>
      <c r="F90" s="132" t="s">
        <v>233</v>
      </c>
      <c r="G90" s="479">
        <v>0</v>
      </c>
      <c r="H90" s="483">
        <v>0</v>
      </c>
      <c r="I90" s="29">
        <v>0</v>
      </c>
      <c r="J90" s="29">
        <f>SUM(G90:I90)</f>
        <v>0</v>
      </c>
    </row>
    <row r="91" spans="1:10" ht="14.95" thickBot="1" x14ac:dyDescent="0.3">
      <c r="A91" s="143" t="s">
        <v>507</v>
      </c>
      <c r="B91" s="486">
        <v>0</v>
      </c>
      <c r="C91" s="488">
        <v>0</v>
      </c>
      <c r="D91" s="353">
        <v>0</v>
      </c>
      <c r="E91" s="145">
        <f>SUM(B91:D91)</f>
        <v>0</v>
      </c>
      <c r="F91" s="132" t="s">
        <v>507</v>
      </c>
      <c r="G91" s="479">
        <v>0</v>
      </c>
      <c r="H91" s="483">
        <v>0</v>
      </c>
      <c r="I91" s="29">
        <v>0</v>
      </c>
      <c r="J91" s="29">
        <f>SUM(G91:I91)</f>
        <v>0</v>
      </c>
    </row>
    <row r="92" spans="1:10" ht="14.95" thickBot="1" x14ac:dyDescent="0.3">
      <c r="A92" s="143" t="s">
        <v>623</v>
      </c>
      <c r="B92" s="486">
        <v>0</v>
      </c>
      <c r="C92" s="488">
        <v>0</v>
      </c>
      <c r="D92" s="353">
        <v>0</v>
      </c>
      <c r="E92" s="145">
        <f>SUM(B92:D92)</f>
        <v>0</v>
      </c>
      <c r="F92" s="132" t="s">
        <v>623</v>
      </c>
      <c r="G92" s="479">
        <v>0</v>
      </c>
      <c r="H92" s="483">
        <v>0</v>
      </c>
      <c r="I92" s="29">
        <v>0</v>
      </c>
      <c r="J92" s="29">
        <f>SUM(G92:I92)</f>
        <v>0</v>
      </c>
    </row>
    <row r="93" spans="1:10" ht="14.3" customHeight="1" thickBot="1" x14ac:dyDescent="0.3">
      <c r="A93" s="143" t="s">
        <v>789</v>
      </c>
      <c r="B93" s="486">
        <v>0</v>
      </c>
      <c r="C93" s="488">
        <v>0</v>
      </c>
      <c r="D93" s="353">
        <v>0</v>
      </c>
      <c r="E93" s="145">
        <f>SUM(B93:D93)</f>
        <v>0</v>
      </c>
      <c r="F93" s="132" t="s">
        <v>789</v>
      </c>
      <c r="G93" s="479">
        <v>0</v>
      </c>
      <c r="H93" s="483">
        <v>0</v>
      </c>
      <c r="I93" s="29">
        <v>0</v>
      </c>
      <c r="J93" s="29">
        <f>SUM(G93:I93)</f>
        <v>0</v>
      </c>
    </row>
    <row r="94" spans="1:10" ht="14.95" thickBot="1" x14ac:dyDescent="0.3">
      <c r="A94" s="143" t="s">
        <v>787</v>
      </c>
      <c r="B94" s="486">
        <v>0</v>
      </c>
      <c r="C94" s="488">
        <v>0</v>
      </c>
      <c r="D94" s="353">
        <v>0</v>
      </c>
      <c r="E94" s="145">
        <f>SUM(B94:D94)</f>
        <v>0</v>
      </c>
      <c r="F94" s="132" t="s">
        <v>787</v>
      </c>
      <c r="G94" s="479">
        <v>0</v>
      </c>
      <c r="H94" s="483">
        <v>0</v>
      </c>
      <c r="I94" s="29">
        <v>0</v>
      </c>
      <c r="J94" s="29">
        <f>SUM(G94:I94)</f>
        <v>0</v>
      </c>
    </row>
    <row r="95" spans="1:10" ht="14.3" customHeight="1" thickBot="1" x14ac:dyDescent="0.3">
      <c r="A95" s="143" t="s">
        <v>3</v>
      </c>
      <c r="B95" s="486">
        <f>SUM(B51:B94)</f>
        <v>13</v>
      </c>
      <c r="C95" s="488">
        <f>SUM(C51:C94)</f>
        <v>0</v>
      </c>
      <c r="D95" s="353">
        <f>SUM(D51:D94)</f>
        <v>0</v>
      </c>
      <c r="E95" s="145">
        <f>SUM(E51:E94)</f>
        <v>13</v>
      </c>
      <c r="F95" s="133" t="s">
        <v>3</v>
      </c>
      <c r="G95" s="480">
        <f>SUM(G51:G94)</f>
        <v>84</v>
      </c>
      <c r="H95" s="484">
        <f>SUM(H51:H94)</f>
        <v>0</v>
      </c>
      <c r="I95" s="118">
        <f>SUM(I51:I94)</f>
        <v>0</v>
      </c>
      <c r="J95" s="118">
        <f>SUM(J51:J94)</f>
        <v>84</v>
      </c>
    </row>
    <row r="96" spans="1:10" ht="16.3" x14ac:dyDescent="0.3">
      <c r="A96" s="524" t="s">
        <v>10</v>
      </c>
      <c r="B96" s="524"/>
      <c r="C96" s="524"/>
      <c r="D96" s="525"/>
    </row>
  </sheetData>
  <sortState xmlns:xlrd2="http://schemas.microsoft.com/office/spreadsheetml/2017/richdata2" ref="F51:J94">
    <sortCondition descending="1" ref="J51:J94"/>
  </sortState>
  <mergeCells count="23">
    <mergeCell ref="K29:K30"/>
    <mergeCell ref="K12:K13"/>
    <mergeCell ref="L12:N13"/>
    <mergeCell ref="K1:K2"/>
    <mergeCell ref="L1:N2"/>
    <mergeCell ref="L29:N30"/>
    <mergeCell ref="L21:N22"/>
    <mergeCell ref="A96:D96"/>
    <mergeCell ref="AD1:AF2"/>
    <mergeCell ref="O12:Q13"/>
    <mergeCell ref="V1:X2"/>
    <mergeCell ref="U12:W13"/>
    <mergeCell ref="O1:Q2"/>
    <mergeCell ref="R1:R2"/>
    <mergeCell ref="R12:T13"/>
    <mergeCell ref="S1:U2"/>
    <mergeCell ref="AA1:AC2"/>
    <mergeCell ref="AA12:AC13"/>
    <mergeCell ref="R29:T30"/>
    <mergeCell ref="O29:Q30"/>
    <mergeCell ref="A1:J1"/>
    <mergeCell ref="K21:K22"/>
    <mergeCell ref="O21:Q2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92BA-68E2-4FE1-84D2-C44D0F45555C}">
  <dimension ref="A1:R58"/>
  <sheetViews>
    <sheetView workbookViewId="0">
      <selection activeCell="C14" sqref="C14"/>
    </sheetView>
  </sheetViews>
  <sheetFormatPr defaultRowHeight="14.3" x14ac:dyDescent="0.25"/>
  <cols>
    <col min="1" max="1" width="19.625" customWidth="1"/>
    <col min="2" max="2" width="4.5" customWidth="1"/>
    <col min="3" max="3" width="5" bestFit="1" customWidth="1"/>
    <col min="4" max="5" width="4.5" customWidth="1"/>
    <col min="6" max="6" width="19.625" customWidth="1"/>
    <col min="7" max="7" width="4.5" customWidth="1"/>
    <col min="8" max="8" width="5" bestFit="1" customWidth="1"/>
    <col min="9" max="10" width="4.5" customWidth="1"/>
    <col min="11" max="11" width="19.625" customWidth="1"/>
    <col min="12" max="18" width="5.625" customWidth="1"/>
  </cols>
  <sheetData>
    <row r="1" spans="1:18" ht="14.95" customHeight="1" thickBot="1" x14ac:dyDescent="0.3">
      <c r="A1" s="605" t="s">
        <v>1003</v>
      </c>
      <c r="B1" s="606"/>
      <c r="C1" s="606"/>
      <c r="D1" s="606"/>
      <c r="E1" s="606"/>
      <c r="F1" s="606"/>
      <c r="G1" s="606"/>
      <c r="H1" s="606"/>
      <c r="I1" s="606"/>
      <c r="J1" s="607"/>
      <c r="K1" s="592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</row>
    <row r="2" spans="1:18" ht="14.95" customHeight="1" thickBot="1" x14ac:dyDescent="0.3">
      <c r="A2" s="82" t="s">
        <v>0</v>
      </c>
      <c r="B2" s="347" t="s">
        <v>243</v>
      </c>
      <c r="C2" s="99" t="s">
        <v>500</v>
      </c>
      <c r="D2" s="343" t="s">
        <v>11</v>
      </c>
      <c r="E2" s="175" t="s">
        <v>1</v>
      </c>
      <c r="F2" s="339" t="s">
        <v>2</v>
      </c>
      <c r="G2" s="349" t="s">
        <v>243</v>
      </c>
      <c r="H2" s="314" t="s">
        <v>500</v>
      </c>
      <c r="I2" s="123" t="s">
        <v>11</v>
      </c>
      <c r="J2" s="345" t="s">
        <v>1</v>
      </c>
      <c r="K2" s="593"/>
      <c r="L2" s="505"/>
      <c r="M2" s="506"/>
      <c r="N2" s="507"/>
      <c r="O2" s="505"/>
      <c r="P2" s="506"/>
      <c r="Q2" s="507"/>
      <c r="R2" s="523"/>
    </row>
    <row r="3" spans="1:18" ht="14.95" customHeight="1" thickBot="1" x14ac:dyDescent="0.3">
      <c r="A3" s="32" t="s">
        <v>831</v>
      </c>
      <c r="B3" s="348">
        <v>0</v>
      </c>
      <c r="C3" s="100">
        <v>0</v>
      </c>
      <c r="D3" s="344">
        <v>0</v>
      </c>
      <c r="E3" s="33">
        <f>SUM(B3:D3)</f>
        <v>0</v>
      </c>
      <c r="F3" s="340" t="s">
        <v>831</v>
      </c>
      <c r="G3" s="350">
        <v>0</v>
      </c>
      <c r="H3" s="315">
        <v>0</v>
      </c>
      <c r="I3" s="125">
        <v>0</v>
      </c>
      <c r="J3" s="346">
        <f t="shared" ref="J3:J28" si="0">SUM(G3:I3)</f>
        <v>0</v>
      </c>
      <c r="K3" s="336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</row>
    <row r="4" spans="1:18" ht="14.95" customHeight="1" thickBot="1" x14ac:dyDescent="0.3">
      <c r="A4" s="32" t="s">
        <v>845</v>
      </c>
      <c r="B4" s="348">
        <v>0</v>
      </c>
      <c r="C4" s="100">
        <v>0</v>
      </c>
      <c r="D4" s="344">
        <v>0</v>
      </c>
      <c r="E4" s="33">
        <f>SUM(B4:D4)</f>
        <v>0</v>
      </c>
      <c r="F4" s="340" t="s">
        <v>845</v>
      </c>
      <c r="G4" s="350">
        <v>0</v>
      </c>
      <c r="H4" s="315">
        <v>0</v>
      </c>
      <c r="I4" s="125">
        <v>0</v>
      </c>
      <c r="J4" s="346">
        <f>SUM(G4:I4)</f>
        <v>0</v>
      </c>
      <c r="K4" s="82" t="s">
        <v>837</v>
      </c>
      <c r="L4" s="337">
        <v>1</v>
      </c>
      <c r="M4" s="33">
        <v>3</v>
      </c>
      <c r="N4" s="34">
        <f t="shared" ref="N4:N5" si="1">SUM(L4/M4)*100</f>
        <v>33.333333333333329</v>
      </c>
      <c r="O4" s="33" t="s">
        <v>8</v>
      </c>
      <c r="P4" s="33" t="s">
        <v>8</v>
      </c>
      <c r="Q4" s="34" t="s">
        <v>8</v>
      </c>
      <c r="R4" s="338">
        <v>-1</v>
      </c>
    </row>
    <row r="5" spans="1:18" ht="14.95" customHeight="1" thickBot="1" x14ac:dyDescent="0.3">
      <c r="A5" s="32" t="s">
        <v>843</v>
      </c>
      <c r="B5" s="348">
        <v>0</v>
      </c>
      <c r="C5" s="100">
        <v>0</v>
      </c>
      <c r="D5" s="344">
        <v>0</v>
      </c>
      <c r="E5" s="33">
        <f t="shared" ref="E5:E28" si="2">SUM(B5:D5)</f>
        <v>0</v>
      </c>
      <c r="F5" s="340" t="s">
        <v>843</v>
      </c>
      <c r="G5" s="350">
        <v>0</v>
      </c>
      <c r="H5" s="315">
        <v>0</v>
      </c>
      <c r="I5" s="125">
        <v>0</v>
      </c>
      <c r="J5" s="346">
        <f t="shared" si="0"/>
        <v>0</v>
      </c>
      <c r="K5" s="82" t="s">
        <v>836</v>
      </c>
      <c r="L5" s="337">
        <v>6</v>
      </c>
      <c r="M5" s="33">
        <v>11</v>
      </c>
      <c r="N5" s="34">
        <f t="shared" si="1"/>
        <v>54.54545454545454</v>
      </c>
      <c r="O5" s="33">
        <v>1</v>
      </c>
      <c r="P5" s="33">
        <v>1</v>
      </c>
      <c r="Q5" s="34">
        <f t="shared" ref="Q5" si="3">SUM(O5/P5)*100</f>
        <v>100</v>
      </c>
      <c r="R5" s="338">
        <v>1</v>
      </c>
    </row>
    <row r="6" spans="1:18" ht="14.95" customHeight="1" thickBot="1" x14ac:dyDescent="0.3">
      <c r="A6" s="32" t="s">
        <v>847</v>
      </c>
      <c r="B6" s="348">
        <v>0</v>
      </c>
      <c r="C6" s="100">
        <v>0</v>
      </c>
      <c r="D6" s="344">
        <v>0</v>
      </c>
      <c r="E6" s="33">
        <f t="shared" si="2"/>
        <v>0</v>
      </c>
      <c r="F6" s="341" t="s">
        <v>847</v>
      </c>
      <c r="G6" s="350">
        <v>0</v>
      </c>
      <c r="H6" s="315">
        <v>0</v>
      </c>
      <c r="I6" s="125">
        <v>0</v>
      </c>
      <c r="J6" s="346">
        <f t="shared" si="0"/>
        <v>0</v>
      </c>
      <c r="K6" s="45"/>
      <c r="L6" s="45"/>
      <c r="M6" s="45"/>
      <c r="N6" s="45"/>
      <c r="O6" s="45"/>
      <c r="P6" s="45"/>
      <c r="Q6" s="45"/>
    </row>
    <row r="7" spans="1:18" ht="14.95" customHeight="1" thickBot="1" x14ac:dyDescent="0.3">
      <c r="A7" s="32" t="s">
        <v>838</v>
      </c>
      <c r="B7" s="348">
        <v>0</v>
      </c>
      <c r="C7" s="100">
        <v>0</v>
      </c>
      <c r="D7" s="344">
        <v>0</v>
      </c>
      <c r="E7" s="33">
        <f t="shared" ref="E7" si="4">SUM(B7:D7)</f>
        <v>0</v>
      </c>
      <c r="F7" s="340" t="s">
        <v>838</v>
      </c>
      <c r="G7" s="350">
        <v>0</v>
      </c>
      <c r="H7" s="315">
        <v>0</v>
      </c>
      <c r="I7" s="125">
        <v>0</v>
      </c>
      <c r="J7" s="346">
        <f t="shared" ref="J7" si="5">SUM(G7:I7)</f>
        <v>0</v>
      </c>
      <c r="K7" s="528" t="s">
        <v>345</v>
      </c>
      <c r="L7" s="530">
        <v>2025</v>
      </c>
      <c r="M7" s="531"/>
      <c r="N7" s="532"/>
    </row>
    <row r="8" spans="1:18" ht="14.95" customHeight="1" thickBot="1" x14ac:dyDescent="0.3">
      <c r="A8" s="32" t="s">
        <v>839</v>
      </c>
      <c r="B8" s="348">
        <v>0</v>
      </c>
      <c r="C8" s="100">
        <v>0</v>
      </c>
      <c r="D8" s="344">
        <v>0</v>
      </c>
      <c r="E8" s="33">
        <f t="shared" si="2"/>
        <v>0</v>
      </c>
      <c r="F8" s="341" t="s">
        <v>839</v>
      </c>
      <c r="G8" s="350">
        <v>0</v>
      </c>
      <c r="H8" s="315">
        <v>0</v>
      </c>
      <c r="I8" s="125">
        <v>0</v>
      </c>
      <c r="J8" s="346">
        <f t="shared" si="0"/>
        <v>0</v>
      </c>
      <c r="K8" s="529"/>
      <c r="L8" s="533"/>
      <c r="M8" s="534"/>
      <c r="N8" s="535"/>
    </row>
    <row r="9" spans="1:18" ht="14.95" customHeight="1" thickBot="1" x14ac:dyDescent="0.3">
      <c r="A9" s="32" t="s">
        <v>849</v>
      </c>
      <c r="B9" s="348">
        <v>0</v>
      </c>
      <c r="C9" s="100">
        <v>0</v>
      </c>
      <c r="D9" s="344">
        <v>0</v>
      </c>
      <c r="E9" s="33">
        <f t="shared" si="2"/>
        <v>0</v>
      </c>
      <c r="F9" s="341" t="s">
        <v>849</v>
      </c>
      <c r="G9" s="350">
        <v>0</v>
      </c>
      <c r="H9" s="315">
        <v>0</v>
      </c>
      <c r="I9" s="125">
        <v>0</v>
      </c>
      <c r="J9" s="346">
        <f t="shared" si="0"/>
        <v>0</v>
      </c>
      <c r="K9" s="300"/>
      <c r="L9" s="29" t="s">
        <v>17</v>
      </c>
      <c r="M9" s="29" t="s">
        <v>5</v>
      </c>
      <c r="N9" s="29" t="s">
        <v>6</v>
      </c>
    </row>
    <row r="10" spans="1:18" ht="14.95" customHeight="1" thickBot="1" x14ac:dyDescent="0.3">
      <c r="A10" s="32" t="s">
        <v>835</v>
      </c>
      <c r="B10" s="348">
        <v>0</v>
      </c>
      <c r="C10" s="100">
        <v>0</v>
      </c>
      <c r="D10" s="344">
        <v>0</v>
      </c>
      <c r="E10" s="33">
        <f t="shared" si="2"/>
        <v>0</v>
      </c>
      <c r="F10" s="341" t="s">
        <v>835</v>
      </c>
      <c r="G10" s="350">
        <v>0</v>
      </c>
      <c r="H10" s="315">
        <v>0</v>
      </c>
      <c r="I10" s="125">
        <v>0</v>
      </c>
      <c r="J10" s="346">
        <f t="shared" si="0"/>
        <v>0</v>
      </c>
      <c r="K10" s="82" t="s">
        <v>837</v>
      </c>
      <c r="L10" s="33" t="s">
        <v>8</v>
      </c>
      <c r="M10" s="33" t="s">
        <v>8</v>
      </c>
      <c r="N10" s="34" t="s">
        <v>8</v>
      </c>
    </row>
    <row r="11" spans="1:18" ht="14.95" customHeight="1" thickBot="1" x14ac:dyDescent="0.3">
      <c r="A11" s="32" t="s">
        <v>853</v>
      </c>
      <c r="B11" s="348">
        <v>0</v>
      </c>
      <c r="C11" s="100">
        <v>0</v>
      </c>
      <c r="D11" s="344">
        <v>0</v>
      </c>
      <c r="E11" s="33">
        <f t="shared" si="2"/>
        <v>0</v>
      </c>
      <c r="F11" s="341" t="s">
        <v>853</v>
      </c>
      <c r="G11" s="350">
        <v>0</v>
      </c>
      <c r="H11" s="315">
        <v>0</v>
      </c>
      <c r="I11" s="125">
        <v>0</v>
      </c>
      <c r="J11" s="346">
        <f t="shared" si="0"/>
        <v>0</v>
      </c>
      <c r="K11" s="82" t="s">
        <v>836</v>
      </c>
      <c r="L11" s="337">
        <v>1</v>
      </c>
      <c r="M11" s="33">
        <v>1</v>
      </c>
      <c r="N11" s="34">
        <f t="shared" ref="N11" si="6">SUM(L11/M11)*100</f>
        <v>100</v>
      </c>
      <c r="O11" s="9"/>
      <c r="P11" s="9"/>
      <c r="Q11" s="9"/>
    </row>
    <row r="12" spans="1:18" ht="14.95" customHeight="1" thickBot="1" x14ac:dyDescent="0.3">
      <c r="A12" s="32" t="s">
        <v>844</v>
      </c>
      <c r="B12" s="348">
        <v>0</v>
      </c>
      <c r="C12" s="100">
        <v>0</v>
      </c>
      <c r="D12" s="344">
        <v>0</v>
      </c>
      <c r="E12" s="33">
        <f t="shared" si="2"/>
        <v>0</v>
      </c>
      <c r="F12" s="341" t="s">
        <v>844</v>
      </c>
      <c r="G12" s="350">
        <v>0</v>
      </c>
      <c r="H12" s="315">
        <v>0</v>
      </c>
      <c r="I12" s="125">
        <v>0</v>
      </c>
      <c r="J12" s="346">
        <f t="shared" si="0"/>
        <v>0</v>
      </c>
      <c r="O12" s="20"/>
      <c r="P12" s="20"/>
      <c r="Q12" s="23"/>
    </row>
    <row r="13" spans="1:18" ht="14.95" customHeight="1" thickBot="1" x14ac:dyDescent="0.3">
      <c r="A13" s="32" t="s">
        <v>832</v>
      </c>
      <c r="B13" s="348">
        <v>0</v>
      </c>
      <c r="C13" s="100">
        <v>0</v>
      </c>
      <c r="D13" s="344">
        <v>0</v>
      </c>
      <c r="E13" s="33">
        <f t="shared" si="2"/>
        <v>0</v>
      </c>
      <c r="F13" s="341" t="s">
        <v>832</v>
      </c>
      <c r="G13" s="350">
        <v>0</v>
      </c>
      <c r="H13" s="315">
        <v>0</v>
      </c>
      <c r="I13" s="125">
        <v>0</v>
      </c>
      <c r="J13" s="346">
        <f t="shared" si="0"/>
        <v>0</v>
      </c>
      <c r="K13" s="526" t="s">
        <v>500</v>
      </c>
      <c r="L13" s="516">
        <v>2024</v>
      </c>
      <c r="M13" s="517"/>
      <c r="N13" s="518"/>
      <c r="O13" s="516">
        <v>2023</v>
      </c>
      <c r="P13" s="517"/>
      <c r="Q13" s="518"/>
    </row>
    <row r="14" spans="1:18" ht="14.95" customHeight="1" thickBot="1" x14ac:dyDescent="0.3">
      <c r="A14" s="32" t="s">
        <v>834</v>
      </c>
      <c r="B14" s="348">
        <v>0</v>
      </c>
      <c r="C14" s="100">
        <v>0</v>
      </c>
      <c r="D14" s="344">
        <v>0</v>
      </c>
      <c r="E14" s="33">
        <f t="shared" si="2"/>
        <v>0</v>
      </c>
      <c r="F14" s="341" t="s">
        <v>834</v>
      </c>
      <c r="G14" s="350">
        <v>0</v>
      </c>
      <c r="H14" s="315">
        <v>0</v>
      </c>
      <c r="I14" s="125">
        <v>0</v>
      </c>
      <c r="J14" s="346">
        <f t="shared" si="0"/>
        <v>0</v>
      </c>
      <c r="K14" s="527"/>
      <c r="L14" s="519"/>
      <c r="M14" s="520"/>
      <c r="N14" s="521"/>
      <c r="O14" s="519"/>
      <c r="P14" s="520"/>
      <c r="Q14" s="521"/>
    </row>
    <row r="15" spans="1:18" ht="14.95" customHeight="1" thickBot="1" x14ac:dyDescent="0.3">
      <c r="A15" s="32" t="s">
        <v>840</v>
      </c>
      <c r="B15" s="348">
        <v>0</v>
      </c>
      <c r="C15" s="100">
        <v>0</v>
      </c>
      <c r="D15" s="344">
        <v>0</v>
      </c>
      <c r="E15" s="33">
        <f t="shared" si="2"/>
        <v>0</v>
      </c>
      <c r="F15" s="341" t="s">
        <v>840</v>
      </c>
      <c r="G15" s="350">
        <v>0</v>
      </c>
      <c r="H15" s="315">
        <v>0</v>
      </c>
      <c r="I15" s="125">
        <v>0</v>
      </c>
      <c r="J15" s="346">
        <f t="shared" si="0"/>
        <v>0</v>
      </c>
      <c r="K15" s="220"/>
      <c r="L15" s="59" t="s">
        <v>17</v>
      </c>
      <c r="M15" s="59" t="s">
        <v>5</v>
      </c>
      <c r="N15" s="59" t="s">
        <v>6</v>
      </c>
      <c r="O15" s="59" t="s">
        <v>17</v>
      </c>
      <c r="P15" s="59" t="s">
        <v>5</v>
      </c>
      <c r="Q15" s="59" t="s">
        <v>6</v>
      </c>
    </row>
    <row r="16" spans="1:18" ht="14.95" customHeight="1" thickBot="1" x14ac:dyDescent="0.3">
      <c r="A16" s="32" t="s">
        <v>842</v>
      </c>
      <c r="B16" s="348">
        <v>0</v>
      </c>
      <c r="C16" s="100">
        <v>0</v>
      </c>
      <c r="D16" s="344">
        <v>0</v>
      </c>
      <c r="E16" s="33">
        <f t="shared" si="2"/>
        <v>0</v>
      </c>
      <c r="F16" s="341" t="s">
        <v>842</v>
      </c>
      <c r="G16" s="350">
        <v>0</v>
      </c>
      <c r="H16" s="315">
        <v>0</v>
      </c>
      <c r="I16" s="125">
        <v>0</v>
      </c>
      <c r="J16" s="346">
        <f t="shared" si="0"/>
        <v>0</v>
      </c>
      <c r="K16" s="32" t="s">
        <v>889</v>
      </c>
      <c r="L16" s="59" t="s">
        <v>8</v>
      </c>
      <c r="M16" s="59" t="s">
        <v>8</v>
      </c>
      <c r="N16" s="117" t="s">
        <v>8</v>
      </c>
      <c r="O16" s="59">
        <v>2</v>
      </c>
      <c r="P16" s="59">
        <v>3</v>
      </c>
      <c r="Q16" s="117">
        <f t="shared" ref="Q16:Q17" si="7">SUM(O16/P16)*100</f>
        <v>66.666666666666657</v>
      </c>
    </row>
    <row r="17" spans="1:17" ht="14.95" customHeight="1" thickBot="1" x14ac:dyDescent="0.3">
      <c r="A17" s="32" t="s">
        <v>846</v>
      </c>
      <c r="B17" s="348">
        <v>0</v>
      </c>
      <c r="C17" s="100">
        <v>0</v>
      </c>
      <c r="D17" s="344">
        <v>0</v>
      </c>
      <c r="E17" s="33">
        <f t="shared" si="2"/>
        <v>0</v>
      </c>
      <c r="F17" s="341" t="s">
        <v>846</v>
      </c>
      <c r="G17" s="350">
        <v>0</v>
      </c>
      <c r="H17" s="315">
        <v>0</v>
      </c>
      <c r="I17" s="125">
        <v>0</v>
      </c>
      <c r="J17" s="346">
        <f t="shared" si="0"/>
        <v>0</v>
      </c>
      <c r="K17" s="82" t="s">
        <v>888</v>
      </c>
      <c r="L17" s="185">
        <v>12</v>
      </c>
      <c r="M17" s="59">
        <v>18</v>
      </c>
      <c r="N17" s="117">
        <f t="shared" ref="N17:N18" si="8">SUM(L17/M17)*100</f>
        <v>66.666666666666657</v>
      </c>
      <c r="O17" s="185">
        <v>4</v>
      </c>
      <c r="P17" s="59">
        <v>4</v>
      </c>
      <c r="Q17" s="117">
        <f t="shared" si="7"/>
        <v>100</v>
      </c>
    </row>
    <row r="18" spans="1:17" ht="14.95" customHeight="1" thickBot="1" x14ac:dyDescent="0.3">
      <c r="A18" s="32" t="s">
        <v>854</v>
      </c>
      <c r="B18" s="348">
        <v>0</v>
      </c>
      <c r="C18" s="100">
        <v>0</v>
      </c>
      <c r="D18" s="344">
        <v>0</v>
      </c>
      <c r="E18" s="33">
        <f t="shared" si="2"/>
        <v>0</v>
      </c>
      <c r="F18" s="341" t="s">
        <v>854</v>
      </c>
      <c r="G18" s="350">
        <v>0</v>
      </c>
      <c r="H18" s="315">
        <v>0</v>
      </c>
      <c r="I18" s="125">
        <v>0</v>
      </c>
      <c r="J18" s="346">
        <f t="shared" si="0"/>
        <v>0</v>
      </c>
      <c r="K18" s="32" t="s">
        <v>836</v>
      </c>
      <c r="L18" s="59">
        <v>0</v>
      </c>
      <c r="M18" s="59">
        <v>1</v>
      </c>
      <c r="N18" s="117">
        <f t="shared" si="8"/>
        <v>0</v>
      </c>
      <c r="O18" s="185" t="s">
        <v>8</v>
      </c>
      <c r="P18" s="59" t="s">
        <v>8</v>
      </c>
      <c r="Q18" s="117" t="s">
        <v>8</v>
      </c>
    </row>
    <row r="19" spans="1:17" ht="14.95" customHeight="1" thickBot="1" x14ac:dyDescent="0.3">
      <c r="A19" s="32" t="s">
        <v>208</v>
      </c>
      <c r="B19" s="348">
        <v>0</v>
      </c>
      <c r="C19" s="100">
        <v>0</v>
      </c>
      <c r="D19" s="344">
        <v>0</v>
      </c>
      <c r="E19" s="33">
        <f t="shared" si="2"/>
        <v>0</v>
      </c>
      <c r="F19" s="341" t="s">
        <v>208</v>
      </c>
      <c r="G19" s="350">
        <v>0</v>
      </c>
      <c r="H19" s="315">
        <v>0</v>
      </c>
      <c r="I19" s="125">
        <v>0</v>
      </c>
      <c r="J19" s="346">
        <f t="shared" si="0"/>
        <v>0</v>
      </c>
    </row>
    <row r="20" spans="1:17" ht="14.95" customHeight="1" thickBot="1" x14ac:dyDescent="0.3">
      <c r="A20" s="32" t="s">
        <v>851</v>
      </c>
      <c r="B20" s="348">
        <v>0</v>
      </c>
      <c r="C20" s="100">
        <v>0</v>
      </c>
      <c r="D20" s="344">
        <v>0</v>
      </c>
      <c r="E20" s="33">
        <f t="shared" si="2"/>
        <v>0</v>
      </c>
      <c r="F20" s="341" t="s">
        <v>851</v>
      </c>
      <c r="G20" s="350">
        <v>0</v>
      </c>
      <c r="H20" s="315">
        <v>0</v>
      </c>
      <c r="I20" s="125">
        <v>0</v>
      </c>
      <c r="J20" s="346">
        <f t="shared" si="0"/>
        <v>0</v>
      </c>
      <c r="K20" s="570" t="s">
        <v>434</v>
      </c>
      <c r="L20" s="530">
        <v>2025</v>
      </c>
      <c r="M20" s="531"/>
      <c r="N20" s="532"/>
    </row>
    <row r="21" spans="1:17" ht="14.95" customHeight="1" thickBot="1" x14ac:dyDescent="0.3">
      <c r="A21" s="32" t="s">
        <v>837</v>
      </c>
      <c r="B21" s="348">
        <v>0</v>
      </c>
      <c r="C21" s="100">
        <v>0</v>
      </c>
      <c r="D21" s="344">
        <v>0</v>
      </c>
      <c r="E21" s="33">
        <f t="shared" si="2"/>
        <v>0</v>
      </c>
      <c r="F21" s="341" t="s">
        <v>837</v>
      </c>
      <c r="G21" s="350">
        <v>0</v>
      </c>
      <c r="H21" s="315">
        <v>0</v>
      </c>
      <c r="I21" s="125">
        <v>0</v>
      </c>
      <c r="J21" s="346">
        <f t="shared" si="0"/>
        <v>0</v>
      </c>
      <c r="K21" s="571"/>
      <c r="L21" s="533"/>
      <c r="M21" s="534"/>
      <c r="N21" s="535"/>
    </row>
    <row r="22" spans="1:17" ht="14.95" customHeight="1" thickBot="1" x14ac:dyDescent="0.3">
      <c r="A22" s="32" t="s">
        <v>833</v>
      </c>
      <c r="B22" s="348">
        <v>0</v>
      </c>
      <c r="C22" s="100">
        <v>0</v>
      </c>
      <c r="D22" s="344">
        <v>0</v>
      </c>
      <c r="E22" s="33">
        <f t="shared" si="2"/>
        <v>0</v>
      </c>
      <c r="F22" s="341" t="s">
        <v>833</v>
      </c>
      <c r="G22" s="350">
        <v>0</v>
      </c>
      <c r="H22" s="315">
        <v>0</v>
      </c>
      <c r="I22" s="125">
        <v>0</v>
      </c>
      <c r="J22" s="346">
        <f t="shared" si="0"/>
        <v>0</v>
      </c>
      <c r="K22" s="351"/>
      <c r="L22" s="29" t="s">
        <v>17</v>
      </c>
      <c r="M22" s="29" t="s">
        <v>5</v>
      </c>
      <c r="N22" s="29" t="s">
        <v>6</v>
      </c>
    </row>
    <row r="23" spans="1:17" ht="14.95" customHeight="1" thickBot="1" x14ac:dyDescent="0.3">
      <c r="A23" s="32" t="s">
        <v>848</v>
      </c>
      <c r="B23" s="348">
        <v>0</v>
      </c>
      <c r="C23" s="100">
        <v>0</v>
      </c>
      <c r="D23" s="344">
        <v>0</v>
      </c>
      <c r="E23" s="33">
        <f t="shared" si="2"/>
        <v>0</v>
      </c>
      <c r="F23" s="341" t="s">
        <v>848</v>
      </c>
      <c r="G23" s="350">
        <v>0</v>
      </c>
      <c r="H23" s="315">
        <v>0</v>
      </c>
      <c r="I23" s="125">
        <v>0</v>
      </c>
      <c r="J23" s="346">
        <f t="shared" si="0"/>
        <v>0</v>
      </c>
      <c r="K23" s="32" t="s">
        <v>837</v>
      </c>
      <c r="L23" s="33">
        <v>1</v>
      </c>
      <c r="M23" s="33">
        <v>3</v>
      </c>
      <c r="N23" s="34">
        <f t="shared" ref="N23" si="9">SUM(L23/M23)*100</f>
        <v>33.333333333333329</v>
      </c>
    </row>
    <row r="24" spans="1:17" ht="14.95" customHeight="1" thickBot="1" x14ac:dyDescent="0.3">
      <c r="A24" s="32" t="s">
        <v>850</v>
      </c>
      <c r="B24" s="348">
        <v>0</v>
      </c>
      <c r="C24" s="100">
        <v>0</v>
      </c>
      <c r="D24" s="344">
        <v>0</v>
      </c>
      <c r="E24" s="33">
        <f t="shared" si="2"/>
        <v>0</v>
      </c>
      <c r="F24" s="341" t="s">
        <v>850</v>
      </c>
      <c r="G24" s="350">
        <v>0</v>
      </c>
      <c r="H24" s="315">
        <v>0</v>
      </c>
      <c r="I24" s="125">
        <v>0</v>
      </c>
      <c r="J24" s="346">
        <f t="shared" si="0"/>
        <v>0</v>
      </c>
      <c r="K24" s="82" t="s">
        <v>836</v>
      </c>
      <c r="L24" s="337">
        <v>5</v>
      </c>
      <c r="M24" s="33">
        <v>10</v>
      </c>
      <c r="N24" s="34">
        <f t="shared" ref="N24" si="10">SUM(L24/M24)*100</f>
        <v>50</v>
      </c>
      <c r="O24" s="9"/>
      <c r="P24" s="9"/>
      <c r="Q24" s="9"/>
    </row>
    <row r="25" spans="1:17" ht="14.95" customHeight="1" thickBot="1" x14ac:dyDescent="0.3">
      <c r="A25" s="32" t="s">
        <v>312</v>
      </c>
      <c r="B25" s="348">
        <v>0</v>
      </c>
      <c r="C25" s="100">
        <v>0</v>
      </c>
      <c r="D25" s="344">
        <v>0</v>
      </c>
      <c r="E25" s="33">
        <f t="shared" si="2"/>
        <v>0</v>
      </c>
      <c r="F25" s="341" t="s">
        <v>312</v>
      </c>
      <c r="G25" s="350">
        <v>0</v>
      </c>
      <c r="H25" s="315">
        <v>0</v>
      </c>
      <c r="I25" s="125">
        <v>0</v>
      </c>
      <c r="J25" s="346">
        <f t="shared" si="0"/>
        <v>0</v>
      </c>
    </row>
    <row r="26" spans="1:17" ht="14.95" customHeight="1" thickBot="1" x14ac:dyDescent="0.3">
      <c r="A26" s="32" t="s">
        <v>841</v>
      </c>
      <c r="B26" s="348">
        <v>0</v>
      </c>
      <c r="C26" s="100">
        <v>0</v>
      </c>
      <c r="D26" s="344">
        <v>0</v>
      </c>
      <c r="E26" s="33">
        <f t="shared" si="2"/>
        <v>0</v>
      </c>
      <c r="F26" s="341" t="s">
        <v>841</v>
      </c>
      <c r="G26" s="350">
        <v>0</v>
      </c>
      <c r="H26" s="315">
        <v>0</v>
      </c>
      <c r="I26" s="125">
        <v>0</v>
      </c>
      <c r="J26" s="346">
        <f t="shared" si="0"/>
        <v>0</v>
      </c>
    </row>
    <row r="27" spans="1:17" ht="14.95" customHeight="1" thickBot="1" x14ac:dyDescent="0.3">
      <c r="A27" s="32" t="s">
        <v>836</v>
      </c>
      <c r="B27" s="348">
        <v>0</v>
      </c>
      <c r="C27" s="100">
        <v>0</v>
      </c>
      <c r="D27" s="344">
        <v>0</v>
      </c>
      <c r="E27" s="33">
        <f t="shared" si="2"/>
        <v>0</v>
      </c>
      <c r="F27" s="341" t="s">
        <v>836</v>
      </c>
      <c r="G27" s="350">
        <v>0</v>
      </c>
      <c r="H27" s="315">
        <v>0</v>
      </c>
      <c r="I27" s="125">
        <v>0</v>
      </c>
      <c r="J27" s="346">
        <f t="shared" si="0"/>
        <v>0</v>
      </c>
    </row>
    <row r="28" spans="1:17" ht="14.95" customHeight="1" thickBot="1" x14ac:dyDescent="0.3">
      <c r="A28" s="32" t="s">
        <v>3</v>
      </c>
      <c r="B28" s="348">
        <f>SUM(B3:B27)</f>
        <v>0</v>
      </c>
      <c r="C28" s="100">
        <f>SUM(C3:C27)</f>
        <v>0</v>
      </c>
      <c r="D28" s="344">
        <f>SUM(D3:D27)</f>
        <v>0</v>
      </c>
      <c r="E28" s="33">
        <f t="shared" si="2"/>
        <v>0</v>
      </c>
      <c r="F28" s="342" t="s">
        <v>3</v>
      </c>
      <c r="G28" s="349">
        <f>SUM(G3:G27)</f>
        <v>0</v>
      </c>
      <c r="H28" s="316">
        <f>SUM(H3:H27)</f>
        <v>0</v>
      </c>
      <c r="I28" s="123">
        <f>SUM(I3:I27)</f>
        <v>0</v>
      </c>
      <c r="J28" s="345">
        <f t="shared" si="0"/>
        <v>0</v>
      </c>
    </row>
    <row r="29" spans="1:17" ht="14.95" customHeight="1" x14ac:dyDescent="0.25"/>
    <row r="30" spans="1:17" ht="14.95" customHeight="1" thickBot="1" x14ac:dyDescent="0.3">
      <c r="A30" t="s">
        <v>7</v>
      </c>
      <c r="E30" s="50"/>
    </row>
    <row r="31" spans="1:17" ht="14.95" thickBot="1" x14ac:dyDescent="0.3">
      <c r="A31" s="82" t="s">
        <v>0</v>
      </c>
      <c r="B31" s="347" t="s">
        <v>243</v>
      </c>
      <c r="C31" s="99" t="s">
        <v>720</v>
      </c>
      <c r="D31" s="343" t="s">
        <v>11</v>
      </c>
      <c r="E31" s="175" t="s">
        <v>1</v>
      </c>
      <c r="F31" s="339" t="s">
        <v>2</v>
      </c>
      <c r="G31" s="349" t="s">
        <v>243</v>
      </c>
      <c r="H31" s="314" t="s">
        <v>720</v>
      </c>
      <c r="I31" s="123" t="s">
        <v>11</v>
      </c>
      <c r="J31" s="345" t="s">
        <v>1</v>
      </c>
    </row>
    <row r="32" spans="1:17" ht="14.95" thickBot="1" x14ac:dyDescent="0.3">
      <c r="A32" s="32" t="s">
        <v>835</v>
      </c>
      <c r="B32" s="348">
        <v>3</v>
      </c>
      <c r="C32" s="100">
        <v>0</v>
      </c>
      <c r="D32" s="344">
        <v>0</v>
      </c>
      <c r="E32" s="33">
        <f t="shared" ref="E32:E56" si="11">SUM(B32:D32)</f>
        <v>3</v>
      </c>
      <c r="F32" s="340" t="s">
        <v>835</v>
      </c>
      <c r="G32" s="350">
        <v>15</v>
      </c>
      <c r="H32" s="315">
        <v>0</v>
      </c>
      <c r="I32" s="125">
        <v>0</v>
      </c>
      <c r="J32" s="346">
        <f t="shared" ref="J32:J56" si="12">SUM(G32:I32)</f>
        <v>15</v>
      </c>
    </row>
    <row r="33" spans="1:10" ht="14.95" thickBot="1" x14ac:dyDescent="0.3">
      <c r="A33" s="32" t="s">
        <v>832</v>
      </c>
      <c r="B33" s="348">
        <v>3</v>
      </c>
      <c r="C33" s="100">
        <v>0</v>
      </c>
      <c r="D33" s="344">
        <v>0</v>
      </c>
      <c r="E33" s="33">
        <f t="shared" si="11"/>
        <v>3</v>
      </c>
      <c r="F33" s="340" t="s">
        <v>832</v>
      </c>
      <c r="G33" s="350">
        <v>15</v>
      </c>
      <c r="H33" s="315">
        <v>0</v>
      </c>
      <c r="I33" s="125">
        <v>0</v>
      </c>
      <c r="J33" s="346">
        <f t="shared" si="12"/>
        <v>15</v>
      </c>
    </row>
    <row r="34" spans="1:10" ht="14.95" thickBot="1" x14ac:dyDescent="0.3">
      <c r="A34" s="32" t="s">
        <v>831</v>
      </c>
      <c r="B34" s="348">
        <v>2</v>
      </c>
      <c r="C34" s="100">
        <v>0</v>
      </c>
      <c r="D34" s="344">
        <v>0</v>
      </c>
      <c r="E34" s="33">
        <f t="shared" si="11"/>
        <v>2</v>
      </c>
      <c r="F34" s="340" t="s">
        <v>836</v>
      </c>
      <c r="G34" s="350">
        <v>10</v>
      </c>
      <c r="H34" s="315">
        <v>3</v>
      </c>
      <c r="I34" s="125">
        <v>0</v>
      </c>
      <c r="J34" s="346">
        <f t="shared" si="12"/>
        <v>13</v>
      </c>
    </row>
    <row r="35" spans="1:10" ht="14.95" thickBot="1" x14ac:dyDescent="0.3">
      <c r="A35" s="32" t="s">
        <v>853</v>
      </c>
      <c r="B35" s="348">
        <v>2</v>
      </c>
      <c r="C35" s="100">
        <v>0</v>
      </c>
      <c r="D35" s="344">
        <v>0</v>
      </c>
      <c r="E35" s="33">
        <f t="shared" si="11"/>
        <v>2</v>
      </c>
      <c r="F35" s="341" t="s">
        <v>831</v>
      </c>
      <c r="G35" s="350">
        <v>10</v>
      </c>
      <c r="H35" s="315">
        <v>0</v>
      </c>
      <c r="I35" s="125">
        <v>0</v>
      </c>
      <c r="J35" s="346">
        <f t="shared" si="12"/>
        <v>10</v>
      </c>
    </row>
    <row r="36" spans="1:10" ht="14.95" thickBot="1" x14ac:dyDescent="0.3">
      <c r="A36" s="32" t="s">
        <v>838</v>
      </c>
      <c r="B36" s="348">
        <v>1</v>
      </c>
      <c r="C36" s="100">
        <v>0</v>
      </c>
      <c r="D36" s="344">
        <v>0</v>
      </c>
      <c r="E36" s="33">
        <f t="shared" si="11"/>
        <v>1</v>
      </c>
      <c r="F36" s="340" t="s">
        <v>853</v>
      </c>
      <c r="G36" s="350">
        <v>10</v>
      </c>
      <c r="H36" s="315">
        <v>0</v>
      </c>
      <c r="I36" s="125">
        <v>0</v>
      </c>
      <c r="J36" s="346">
        <f t="shared" si="12"/>
        <v>10</v>
      </c>
    </row>
    <row r="37" spans="1:10" ht="14.95" thickBot="1" x14ac:dyDescent="0.3">
      <c r="A37" s="32" t="s">
        <v>834</v>
      </c>
      <c r="B37" s="348">
        <v>1</v>
      </c>
      <c r="C37" s="100">
        <v>0</v>
      </c>
      <c r="D37" s="344">
        <v>0</v>
      </c>
      <c r="E37" s="33">
        <f t="shared" si="11"/>
        <v>1</v>
      </c>
      <c r="F37" s="341" t="s">
        <v>208</v>
      </c>
      <c r="G37" s="350">
        <v>7</v>
      </c>
      <c r="H37" s="315">
        <v>0</v>
      </c>
      <c r="I37" s="125">
        <v>0</v>
      </c>
      <c r="J37" s="346">
        <f t="shared" si="12"/>
        <v>7</v>
      </c>
    </row>
    <row r="38" spans="1:10" ht="14.95" thickBot="1" x14ac:dyDescent="0.3">
      <c r="A38" s="32" t="s">
        <v>208</v>
      </c>
      <c r="B38" s="348">
        <v>1</v>
      </c>
      <c r="C38" s="100">
        <v>0</v>
      </c>
      <c r="D38" s="344">
        <v>0</v>
      </c>
      <c r="E38" s="33">
        <f t="shared" si="11"/>
        <v>1</v>
      </c>
      <c r="F38" s="341" t="s">
        <v>838</v>
      </c>
      <c r="G38" s="350">
        <v>5</v>
      </c>
      <c r="H38" s="315">
        <v>0</v>
      </c>
      <c r="I38" s="125">
        <v>0</v>
      </c>
      <c r="J38" s="346">
        <f t="shared" si="12"/>
        <v>5</v>
      </c>
    </row>
    <row r="39" spans="1:10" ht="14.95" thickBot="1" x14ac:dyDescent="0.3">
      <c r="A39" s="32" t="s">
        <v>833</v>
      </c>
      <c r="B39" s="348">
        <v>1</v>
      </c>
      <c r="C39" s="100">
        <v>0</v>
      </c>
      <c r="D39" s="344">
        <v>0</v>
      </c>
      <c r="E39" s="33">
        <f t="shared" si="11"/>
        <v>1</v>
      </c>
      <c r="F39" s="341" t="s">
        <v>834</v>
      </c>
      <c r="G39" s="350">
        <v>5</v>
      </c>
      <c r="H39" s="315">
        <v>0</v>
      </c>
      <c r="I39" s="125">
        <v>0</v>
      </c>
      <c r="J39" s="346">
        <f t="shared" si="12"/>
        <v>5</v>
      </c>
    </row>
    <row r="40" spans="1:10" ht="14.95" thickBot="1" x14ac:dyDescent="0.3">
      <c r="A40" s="32" t="s">
        <v>845</v>
      </c>
      <c r="B40" s="348">
        <v>0</v>
      </c>
      <c r="C40" s="100">
        <v>0</v>
      </c>
      <c r="D40" s="344">
        <v>0</v>
      </c>
      <c r="E40" s="33">
        <f t="shared" si="11"/>
        <v>0</v>
      </c>
      <c r="F40" s="341" t="s">
        <v>833</v>
      </c>
      <c r="G40" s="350">
        <v>5</v>
      </c>
      <c r="H40" s="315">
        <v>0</v>
      </c>
      <c r="I40" s="125">
        <v>0</v>
      </c>
      <c r="J40" s="346">
        <f t="shared" si="12"/>
        <v>5</v>
      </c>
    </row>
    <row r="41" spans="1:10" ht="14.95" thickBot="1" x14ac:dyDescent="0.3">
      <c r="A41" s="32" t="s">
        <v>843</v>
      </c>
      <c r="B41" s="348">
        <v>0</v>
      </c>
      <c r="C41" s="100">
        <v>0</v>
      </c>
      <c r="D41" s="344">
        <v>0</v>
      </c>
      <c r="E41" s="33">
        <f t="shared" si="11"/>
        <v>0</v>
      </c>
      <c r="F41" s="341" t="s">
        <v>837</v>
      </c>
      <c r="G41" s="350">
        <v>2</v>
      </c>
      <c r="H41" s="315">
        <v>0</v>
      </c>
      <c r="I41" s="125">
        <v>0</v>
      </c>
      <c r="J41" s="346">
        <f t="shared" si="12"/>
        <v>2</v>
      </c>
    </row>
    <row r="42" spans="1:10" ht="14.95" thickBot="1" x14ac:dyDescent="0.3">
      <c r="A42" s="32" t="s">
        <v>847</v>
      </c>
      <c r="B42" s="348">
        <v>0</v>
      </c>
      <c r="C42" s="100">
        <v>0</v>
      </c>
      <c r="D42" s="344">
        <v>0</v>
      </c>
      <c r="E42" s="33">
        <f t="shared" si="11"/>
        <v>0</v>
      </c>
      <c r="F42" s="341" t="s">
        <v>845</v>
      </c>
      <c r="G42" s="350">
        <v>0</v>
      </c>
      <c r="H42" s="315">
        <v>0</v>
      </c>
      <c r="I42" s="125">
        <v>0</v>
      </c>
      <c r="J42" s="346">
        <f t="shared" si="12"/>
        <v>0</v>
      </c>
    </row>
    <row r="43" spans="1:10" ht="14.95" thickBot="1" x14ac:dyDescent="0.3">
      <c r="A43" s="32" t="s">
        <v>839</v>
      </c>
      <c r="B43" s="348">
        <v>0</v>
      </c>
      <c r="C43" s="100">
        <v>0</v>
      </c>
      <c r="D43" s="344">
        <v>0</v>
      </c>
      <c r="E43" s="33">
        <f t="shared" si="11"/>
        <v>0</v>
      </c>
      <c r="F43" s="341" t="s">
        <v>843</v>
      </c>
      <c r="G43" s="350">
        <v>0</v>
      </c>
      <c r="H43" s="315">
        <v>0</v>
      </c>
      <c r="I43" s="125">
        <v>0</v>
      </c>
      <c r="J43" s="346">
        <f t="shared" si="12"/>
        <v>0</v>
      </c>
    </row>
    <row r="44" spans="1:10" ht="14.95" thickBot="1" x14ac:dyDescent="0.3">
      <c r="A44" s="32" t="s">
        <v>849</v>
      </c>
      <c r="B44" s="348">
        <v>0</v>
      </c>
      <c r="C44" s="100">
        <v>0</v>
      </c>
      <c r="D44" s="344">
        <v>0</v>
      </c>
      <c r="E44" s="33">
        <f t="shared" si="11"/>
        <v>0</v>
      </c>
      <c r="F44" s="341" t="s">
        <v>847</v>
      </c>
      <c r="G44" s="350">
        <v>0</v>
      </c>
      <c r="H44" s="315">
        <v>0</v>
      </c>
      <c r="I44" s="125">
        <v>0</v>
      </c>
      <c r="J44" s="346">
        <f t="shared" si="12"/>
        <v>0</v>
      </c>
    </row>
    <row r="45" spans="1:10" ht="14.95" thickBot="1" x14ac:dyDescent="0.3">
      <c r="A45" s="32" t="s">
        <v>844</v>
      </c>
      <c r="B45" s="348">
        <v>0</v>
      </c>
      <c r="C45" s="100">
        <v>0</v>
      </c>
      <c r="D45" s="344">
        <v>0</v>
      </c>
      <c r="E45" s="33">
        <f t="shared" si="11"/>
        <v>0</v>
      </c>
      <c r="F45" s="341" t="s">
        <v>839</v>
      </c>
      <c r="G45" s="350">
        <v>0</v>
      </c>
      <c r="H45" s="315">
        <v>0</v>
      </c>
      <c r="I45" s="125">
        <v>0</v>
      </c>
      <c r="J45" s="346">
        <f t="shared" si="12"/>
        <v>0</v>
      </c>
    </row>
    <row r="46" spans="1:10" ht="14.95" thickBot="1" x14ac:dyDescent="0.3">
      <c r="A46" s="32" t="s">
        <v>840</v>
      </c>
      <c r="B46" s="348">
        <v>0</v>
      </c>
      <c r="C46" s="100">
        <v>0</v>
      </c>
      <c r="D46" s="344">
        <v>0</v>
      </c>
      <c r="E46" s="33">
        <f t="shared" si="11"/>
        <v>0</v>
      </c>
      <c r="F46" s="341" t="s">
        <v>849</v>
      </c>
      <c r="G46" s="350">
        <v>0</v>
      </c>
      <c r="H46" s="315">
        <v>0</v>
      </c>
      <c r="I46" s="125">
        <v>0</v>
      </c>
      <c r="J46" s="346">
        <f t="shared" si="12"/>
        <v>0</v>
      </c>
    </row>
    <row r="47" spans="1:10" ht="14.95" thickBot="1" x14ac:dyDescent="0.3">
      <c r="A47" s="32" t="s">
        <v>842</v>
      </c>
      <c r="B47" s="348">
        <v>0</v>
      </c>
      <c r="C47" s="100">
        <v>0</v>
      </c>
      <c r="D47" s="344">
        <v>0</v>
      </c>
      <c r="E47" s="33">
        <f t="shared" si="11"/>
        <v>0</v>
      </c>
      <c r="F47" s="341" t="s">
        <v>844</v>
      </c>
      <c r="G47" s="350">
        <v>0</v>
      </c>
      <c r="H47" s="315">
        <v>0</v>
      </c>
      <c r="I47" s="125">
        <v>0</v>
      </c>
      <c r="J47" s="346">
        <f t="shared" si="12"/>
        <v>0</v>
      </c>
    </row>
    <row r="48" spans="1:10" ht="14.95" thickBot="1" x14ac:dyDescent="0.3">
      <c r="A48" s="32" t="s">
        <v>846</v>
      </c>
      <c r="B48" s="348">
        <v>0</v>
      </c>
      <c r="C48" s="100">
        <v>0</v>
      </c>
      <c r="D48" s="344">
        <v>0</v>
      </c>
      <c r="E48" s="33">
        <f t="shared" si="11"/>
        <v>0</v>
      </c>
      <c r="F48" s="341" t="s">
        <v>840</v>
      </c>
      <c r="G48" s="350">
        <v>0</v>
      </c>
      <c r="H48" s="315">
        <v>0</v>
      </c>
      <c r="I48" s="125">
        <v>0</v>
      </c>
      <c r="J48" s="346">
        <f t="shared" si="12"/>
        <v>0</v>
      </c>
    </row>
    <row r="49" spans="1:10" ht="14.95" thickBot="1" x14ac:dyDescent="0.3">
      <c r="A49" s="32" t="s">
        <v>854</v>
      </c>
      <c r="B49" s="348">
        <v>0</v>
      </c>
      <c r="C49" s="100">
        <v>0</v>
      </c>
      <c r="D49" s="344">
        <v>0</v>
      </c>
      <c r="E49" s="33">
        <f t="shared" si="11"/>
        <v>0</v>
      </c>
      <c r="F49" s="341" t="s">
        <v>842</v>
      </c>
      <c r="G49" s="350">
        <v>0</v>
      </c>
      <c r="H49" s="315">
        <v>0</v>
      </c>
      <c r="I49" s="125">
        <v>0</v>
      </c>
      <c r="J49" s="346">
        <f t="shared" si="12"/>
        <v>0</v>
      </c>
    </row>
    <row r="50" spans="1:10" ht="14.95" thickBot="1" x14ac:dyDescent="0.3">
      <c r="A50" s="32" t="s">
        <v>851</v>
      </c>
      <c r="B50" s="348">
        <v>0</v>
      </c>
      <c r="C50" s="100">
        <v>0</v>
      </c>
      <c r="D50" s="344">
        <v>0</v>
      </c>
      <c r="E50" s="33">
        <f t="shared" si="11"/>
        <v>0</v>
      </c>
      <c r="F50" s="341" t="s">
        <v>846</v>
      </c>
      <c r="G50" s="350">
        <v>0</v>
      </c>
      <c r="H50" s="315">
        <v>0</v>
      </c>
      <c r="I50" s="125">
        <v>0</v>
      </c>
      <c r="J50" s="346">
        <f t="shared" si="12"/>
        <v>0</v>
      </c>
    </row>
    <row r="51" spans="1:10" ht="14.95" thickBot="1" x14ac:dyDescent="0.3">
      <c r="A51" s="32" t="s">
        <v>837</v>
      </c>
      <c r="B51" s="348">
        <v>0</v>
      </c>
      <c r="C51" s="100">
        <v>0</v>
      </c>
      <c r="D51" s="344">
        <v>0</v>
      </c>
      <c r="E51" s="33">
        <f t="shared" si="11"/>
        <v>0</v>
      </c>
      <c r="F51" s="341" t="s">
        <v>854</v>
      </c>
      <c r="G51" s="350">
        <v>0</v>
      </c>
      <c r="H51" s="315">
        <v>0</v>
      </c>
      <c r="I51" s="125">
        <v>0</v>
      </c>
      <c r="J51" s="346">
        <f t="shared" si="12"/>
        <v>0</v>
      </c>
    </row>
    <row r="52" spans="1:10" ht="14.95" thickBot="1" x14ac:dyDescent="0.3">
      <c r="A52" s="32" t="s">
        <v>848</v>
      </c>
      <c r="B52" s="348">
        <v>0</v>
      </c>
      <c r="C52" s="100">
        <v>0</v>
      </c>
      <c r="D52" s="344">
        <v>0</v>
      </c>
      <c r="E52" s="33">
        <f t="shared" si="11"/>
        <v>0</v>
      </c>
      <c r="F52" s="341" t="s">
        <v>851</v>
      </c>
      <c r="G52" s="350">
        <v>0</v>
      </c>
      <c r="H52" s="315">
        <v>0</v>
      </c>
      <c r="I52" s="125">
        <v>0</v>
      </c>
      <c r="J52" s="346">
        <f t="shared" si="12"/>
        <v>0</v>
      </c>
    </row>
    <row r="53" spans="1:10" ht="14.95" thickBot="1" x14ac:dyDescent="0.3">
      <c r="A53" s="32" t="s">
        <v>850</v>
      </c>
      <c r="B53" s="348">
        <v>0</v>
      </c>
      <c r="C53" s="100">
        <v>0</v>
      </c>
      <c r="D53" s="344">
        <v>0</v>
      </c>
      <c r="E53" s="33">
        <f t="shared" si="11"/>
        <v>0</v>
      </c>
      <c r="F53" s="341" t="s">
        <v>848</v>
      </c>
      <c r="G53" s="350">
        <v>0</v>
      </c>
      <c r="H53" s="315">
        <v>0</v>
      </c>
      <c r="I53" s="125">
        <v>0</v>
      </c>
      <c r="J53" s="346">
        <f t="shared" si="12"/>
        <v>0</v>
      </c>
    </row>
    <row r="54" spans="1:10" ht="14.95" thickBot="1" x14ac:dyDescent="0.3">
      <c r="A54" s="32" t="s">
        <v>312</v>
      </c>
      <c r="B54" s="348">
        <v>0</v>
      </c>
      <c r="C54" s="100">
        <v>0</v>
      </c>
      <c r="D54" s="344">
        <v>0</v>
      </c>
      <c r="E54" s="33">
        <f t="shared" si="11"/>
        <v>0</v>
      </c>
      <c r="F54" s="341" t="s">
        <v>850</v>
      </c>
      <c r="G54" s="350">
        <v>0</v>
      </c>
      <c r="H54" s="315">
        <v>0</v>
      </c>
      <c r="I54" s="125">
        <v>0</v>
      </c>
      <c r="J54" s="346">
        <f t="shared" si="12"/>
        <v>0</v>
      </c>
    </row>
    <row r="55" spans="1:10" ht="14.95" thickBot="1" x14ac:dyDescent="0.3">
      <c r="A55" s="32" t="s">
        <v>841</v>
      </c>
      <c r="B55" s="348">
        <v>0</v>
      </c>
      <c r="C55" s="100">
        <v>0</v>
      </c>
      <c r="D55" s="344">
        <v>0</v>
      </c>
      <c r="E55" s="33">
        <f t="shared" si="11"/>
        <v>0</v>
      </c>
      <c r="F55" s="341" t="s">
        <v>312</v>
      </c>
      <c r="G55" s="350">
        <v>0</v>
      </c>
      <c r="H55" s="315">
        <v>0</v>
      </c>
      <c r="I55" s="125">
        <v>0</v>
      </c>
      <c r="J55" s="346">
        <f t="shared" si="12"/>
        <v>0</v>
      </c>
    </row>
    <row r="56" spans="1:10" ht="14.95" thickBot="1" x14ac:dyDescent="0.3">
      <c r="A56" s="32" t="s">
        <v>836</v>
      </c>
      <c r="B56" s="348">
        <v>0</v>
      </c>
      <c r="C56" s="100">
        <v>0</v>
      </c>
      <c r="D56" s="344">
        <v>0</v>
      </c>
      <c r="E56" s="33">
        <f t="shared" si="11"/>
        <v>0</v>
      </c>
      <c r="F56" s="341" t="s">
        <v>841</v>
      </c>
      <c r="G56" s="350">
        <v>0</v>
      </c>
      <c r="H56" s="315">
        <v>0</v>
      </c>
      <c r="I56" s="125">
        <v>0</v>
      </c>
      <c r="J56" s="346">
        <f t="shared" si="12"/>
        <v>0</v>
      </c>
    </row>
    <row r="57" spans="1:10" ht="14.95" thickBot="1" x14ac:dyDescent="0.3">
      <c r="A57" s="32" t="s">
        <v>3</v>
      </c>
      <c r="B57" s="348">
        <f>SUM(B32:B56)</f>
        <v>14</v>
      </c>
      <c r="C57" s="100">
        <f>SUM(C32:C56)</f>
        <v>0</v>
      </c>
      <c r="D57" s="344">
        <f>SUM(D32:D56)</f>
        <v>0</v>
      </c>
      <c r="E57" s="33">
        <f t="shared" ref="E57" si="13">SUM(B57:D57)</f>
        <v>14</v>
      </c>
      <c r="F57" s="342" t="s">
        <v>3</v>
      </c>
      <c r="G57" s="349">
        <f>SUM(G32:G56)</f>
        <v>84</v>
      </c>
      <c r="H57" s="316">
        <f>SUM(H32:H56)</f>
        <v>3</v>
      </c>
      <c r="I57" s="123">
        <f>SUM(I32:I56)</f>
        <v>0</v>
      </c>
      <c r="J57" s="345">
        <f t="shared" ref="J57" si="14">SUM(G57:I57)</f>
        <v>87</v>
      </c>
    </row>
    <row r="58" spans="1:10" ht="16.3" x14ac:dyDescent="0.3">
      <c r="A58" s="524" t="s">
        <v>10</v>
      </c>
      <c r="B58" s="524"/>
      <c r="C58" s="524"/>
      <c r="D58" s="524"/>
      <c r="E58" s="525"/>
    </row>
  </sheetData>
  <sortState xmlns:xlrd2="http://schemas.microsoft.com/office/spreadsheetml/2017/richdata2" ref="F32:J56">
    <sortCondition descending="1" ref="J32:J56"/>
  </sortState>
  <mergeCells count="13">
    <mergeCell ref="A58:E58"/>
    <mergeCell ref="K20:K21"/>
    <mergeCell ref="L20:N21"/>
    <mergeCell ref="K7:K8"/>
    <mergeCell ref="L7:N8"/>
    <mergeCell ref="K13:K14"/>
    <mergeCell ref="L13:N14"/>
    <mergeCell ref="R1:R2"/>
    <mergeCell ref="O13:Q14"/>
    <mergeCell ref="A1:J1"/>
    <mergeCell ref="K1:K2"/>
    <mergeCell ref="L1:N2"/>
    <mergeCell ref="O1:Q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90"/>
  <sheetViews>
    <sheetView workbookViewId="0">
      <selection activeCell="W21" sqref="W21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5.25" customWidth="1"/>
    <col min="12" max="29" width="5.5" customWidth="1"/>
    <col min="30" max="32" width="5.625" customWidth="1"/>
  </cols>
  <sheetData>
    <row r="1" spans="1:32" ht="14.95" customHeight="1" thickBot="1" x14ac:dyDescent="0.3">
      <c r="A1" s="574" t="s">
        <v>1004</v>
      </c>
      <c r="B1" s="575"/>
      <c r="C1" s="575"/>
      <c r="D1" s="575"/>
      <c r="E1" s="575"/>
      <c r="F1" s="575"/>
      <c r="G1" s="575"/>
      <c r="H1" s="575"/>
      <c r="I1" s="575"/>
      <c r="J1" s="576"/>
      <c r="K1" s="579" t="s">
        <v>15</v>
      </c>
      <c r="L1" s="502">
        <v>2026</v>
      </c>
      <c r="M1" s="503"/>
      <c r="N1" s="504"/>
      <c r="O1" s="502" t="s">
        <v>12</v>
      </c>
      <c r="P1" s="503"/>
      <c r="Q1" s="504"/>
      <c r="R1" s="502" t="s">
        <v>16</v>
      </c>
      <c r="S1" s="516">
        <v>2025</v>
      </c>
      <c r="T1" s="517"/>
      <c r="U1" s="518"/>
      <c r="V1" s="516">
        <v>2024</v>
      </c>
      <c r="W1" s="517"/>
      <c r="X1" s="518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85" t="s">
        <v>0</v>
      </c>
      <c r="B2" s="282" t="s">
        <v>14</v>
      </c>
      <c r="C2" s="379" t="s">
        <v>500</v>
      </c>
      <c r="D2" s="76" t="s">
        <v>11</v>
      </c>
      <c r="E2" s="77" t="s">
        <v>1</v>
      </c>
      <c r="F2" s="83" t="s">
        <v>2</v>
      </c>
      <c r="G2" s="288" t="s">
        <v>14</v>
      </c>
      <c r="H2" s="377" t="s">
        <v>500</v>
      </c>
      <c r="I2" s="81" t="s">
        <v>11</v>
      </c>
      <c r="J2" s="84" t="s">
        <v>1</v>
      </c>
      <c r="K2" s="580"/>
      <c r="L2" s="505"/>
      <c r="M2" s="506"/>
      <c r="N2" s="507"/>
      <c r="O2" s="505"/>
      <c r="P2" s="506"/>
      <c r="Q2" s="507"/>
      <c r="R2" s="505"/>
      <c r="S2" s="519"/>
      <c r="T2" s="520"/>
      <c r="U2" s="521"/>
      <c r="V2" s="519"/>
      <c r="W2" s="520"/>
      <c r="X2" s="521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35" t="s">
        <v>144</v>
      </c>
      <c r="B3" s="283">
        <v>0</v>
      </c>
      <c r="C3" s="380">
        <v>0</v>
      </c>
      <c r="D3" s="66">
        <v>0</v>
      </c>
      <c r="E3" s="36">
        <f t="shared" ref="E3:E44" si="0">SUM(B3:D3)</f>
        <v>0</v>
      </c>
      <c r="F3" s="37" t="s">
        <v>144</v>
      </c>
      <c r="G3" s="289">
        <v>0</v>
      </c>
      <c r="H3" s="378">
        <v>0</v>
      </c>
      <c r="I3" s="16">
        <v>0</v>
      </c>
      <c r="J3" s="38">
        <f t="shared" ref="J3:J44" si="1">SUM(G3:I3)</f>
        <v>0</v>
      </c>
      <c r="K3" s="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35" t="s">
        <v>145</v>
      </c>
      <c r="B4" s="283">
        <v>0</v>
      </c>
      <c r="C4" s="380">
        <v>0</v>
      </c>
      <c r="D4" s="66">
        <v>0</v>
      </c>
      <c r="E4" s="36">
        <f t="shared" si="0"/>
        <v>0</v>
      </c>
      <c r="F4" s="37" t="s">
        <v>145</v>
      </c>
      <c r="G4" s="289">
        <v>0</v>
      </c>
      <c r="H4" s="378">
        <v>0</v>
      </c>
      <c r="I4" s="16">
        <v>0</v>
      </c>
      <c r="J4" s="38">
        <f t="shared" si="1"/>
        <v>0</v>
      </c>
      <c r="K4" s="35" t="s">
        <v>30</v>
      </c>
      <c r="L4" s="36">
        <v>5</v>
      </c>
      <c r="M4" s="36">
        <v>6</v>
      </c>
      <c r="N4" s="39">
        <f>SUM(L4/M4)*100</f>
        <v>83.333333333333343</v>
      </c>
      <c r="O4" s="36">
        <v>1</v>
      </c>
      <c r="P4" s="36">
        <v>1</v>
      </c>
      <c r="Q4" s="39">
        <f>SUM(O4/P4)*100</f>
        <v>100</v>
      </c>
      <c r="R4" s="36">
        <v>1</v>
      </c>
      <c r="S4" s="59">
        <v>22</v>
      </c>
      <c r="T4" s="59">
        <v>35</v>
      </c>
      <c r="U4" s="117">
        <v>62.857142857142854</v>
      </c>
      <c r="V4" s="59">
        <v>15</v>
      </c>
      <c r="W4" s="59">
        <v>26</v>
      </c>
      <c r="X4" s="117">
        <f>SUM(V4/W4)*100</f>
        <v>57.692307692307686</v>
      </c>
      <c r="AA4" s="260">
        <v>16</v>
      </c>
      <c r="AB4" s="59">
        <v>31</v>
      </c>
      <c r="AC4" s="117">
        <f>SUM(AA4/AB4)*100</f>
        <v>51.612903225806448</v>
      </c>
      <c r="AD4" s="260">
        <v>13</v>
      </c>
      <c r="AE4" s="59">
        <v>25</v>
      </c>
      <c r="AF4" s="117">
        <f>SUM(AD4/AE4)*100</f>
        <v>52</v>
      </c>
    </row>
    <row r="5" spans="1:32" ht="14.95" customHeight="1" thickBot="1" x14ac:dyDescent="0.3">
      <c r="A5" s="35" t="s">
        <v>146</v>
      </c>
      <c r="B5" s="283">
        <v>0</v>
      </c>
      <c r="C5" s="380">
        <v>0</v>
      </c>
      <c r="D5" s="66">
        <v>0</v>
      </c>
      <c r="E5" s="36">
        <f t="shared" si="0"/>
        <v>0</v>
      </c>
      <c r="F5" s="37" t="s">
        <v>146</v>
      </c>
      <c r="G5" s="289">
        <v>0</v>
      </c>
      <c r="H5" s="378">
        <v>0</v>
      </c>
      <c r="I5" s="16">
        <v>0</v>
      </c>
      <c r="J5" s="38">
        <f t="shared" si="1"/>
        <v>0</v>
      </c>
      <c r="K5" s="35" t="s">
        <v>31</v>
      </c>
      <c r="L5" s="36" t="s">
        <v>8</v>
      </c>
      <c r="M5" s="36" t="s">
        <v>8</v>
      </c>
      <c r="N5" s="39" t="s">
        <v>8</v>
      </c>
      <c r="O5" s="36" t="s">
        <v>8</v>
      </c>
      <c r="P5" s="36" t="s">
        <v>8</v>
      </c>
      <c r="Q5" s="39" t="s">
        <v>8</v>
      </c>
      <c r="R5" s="36">
        <v>1</v>
      </c>
      <c r="S5" s="59" t="s">
        <v>8</v>
      </c>
      <c r="T5" s="59" t="s">
        <v>8</v>
      </c>
      <c r="U5" s="117" t="s">
        <v>8</v>
      </c>
      <c r="V5" s="59">
        <v>7</v>
      </c>
      <c r="W5" s="59">
        <v>9</v>
      </c>
      <c r="X5" s="117">
        <f>SUM(V5/W5)*100</f>
        <v>77.777777777777786</v>
      </c>
      <c r="AA5" s="260">
        <v>4</v>
      </c>
      <c r="AB5" s="59">
        <v>5</v>
      </c>
      <c r="AC5" s="117">
        <f>SUM(AA5/AB5)*100</f>
        <v>80</v>
      </c>
      <c r="AD5" s="260">
        <v>13</v>
      </c>
      <c r="AE5" s="59">
        <v>25</v>
      </c>
      <c r="AF5" s="117">
        <f>SUM(AD5/AE5)*100</f>
        <v>52</v>
      </c>
    </row>
    <row r="6" spans="1:32" ht="14.95" customHeight="1" thickBot="1" x14ac:dyDescent="0.3">
      <c r="A6" s="35" t="s">
        <v>911</v>
      </c>
      <c r="B6" s="283">
        <v>0</v>
      </c>
      <c r="C6" s="380">
        <v>0</v>
      </c>
      <c r="D6" s="66">
        <v>0</v>
      </c>
      <c r="E6" s="36">
        <f t="shared" si="0"/>
        <v>0</v>
      </c>
      <c r="F6" s="37" t="s">
        <v>911</v>
      </c>
      <c r="G6" s="289">
        <v>0</v>
      </c>
      <c r="H6" s="378">
        <v>0</v>
      </c>
      <c r="I6" s="16">
        <v>0</v>
      </c>
      <c r="J6" s="38">
        <f t="shared" si="1"/>
        <v>0</v>
      </c>
      <c r="K6" s="35" t="s">
        <v>36</v>
      </c>
      <c r="L6" s="36" t="s">
        <v>8</v>
      </c>
      <c r="M6" s="36" t="s">
        <v>8</v>
      </c>
      <c r="N6" s="39" t="s">
        <v>8</v>
      </c>
      <c r="O6" s="36" t="s">
        <v>8</v>
      </c>
      <c r="P6" s="36" t="s">
        <v>8</v>
      </c>
      <c r="Q6" s="39" t="s">
        <v>8</v>
      </c>
      <c r="R6" s="36">
        <v>-1</v>
      </c>
      <c r="S6" s="59">
        <v>3</v>
      </c>
      <c r="T6" s="59">
        <v>4</v>
      </c>
      <c r="U6" s="117">
        <v>75</v>
      </c>
      <c r="V6" s="59" t="s">
        <v>8</v>
      </c>
      <c r="W6" s="59" t="s">
        <v>8</v>
      </c>
      <c r="X6" s="117" t="s">
        <v>8</v>
      </c>
      <c r="AA6" s="260" t="s">
        <v>8</v>
      </c>
      <c r="AB6" s="59" t="s">
        <v>8</v>
      </c>
      <c r="AC6" s="117" t="s">
        <v>8</v>
      </c>
      <c r="AD6" s="185" t="s">
        <v>8</v>
      </c>
      <c r="AE6" s="59" t="s">
        <v>8</v>
      </c>
      <c r="AF6" s="117" t="s">
        <v>8</v>
      </c>
    </row>
    <row r="7" spans="1:32" ht="14.95" customHeight="1" thickBot="1" x14ac:dyDescent="0.3">
      <c r="A7" s="35" t="s">
        <v>44</v>
      </c>
      <c r="B7" s="283">
        <v>1</v>
      </c>
      <c r="C7" s="380">
        <v>0</v>
      </c>
      <c r="D7" s="66">
        <v>0</v>
      </c>
      <c r="E7" s="36">
        <f t="shared" si="0"/>
        <v>1</v>
      </c>
      <c r="F7" s="37" t="s">
        <v>44</v>
      </c>
      <c r="G7" s="289">
        <v>5</v>
      </c>
      <c r="H7" s="378">
        <v>0</v>
      </c>
      <c r="I7" s="16">
        <v>0</v>
      </c>
      <c r="J7" s="38">
        <f t="shared" si="1"/>
        <v>5</v>
      </c>
      <c r="R7" s="7"/>
    </row>
    <row r="8" spans="1:32" ht="14.95" customHeight="1" thickBot="1" x14ac:dyDescent="0.3">
      <c r="A8" s="35" t="s">
        <v>148</v>
      </c>
      <c r="B8" s="283">
        <v>0</v>
      </c>
      <c r="C8" s="380">
        <v>0</v>
      </c>
      <c r="D8" s="66">
        <v>0</v>
      </c>
      <c r="E8" s="36">
        <f t="shared" si="0"/>
        <v>0</v>
      </c>
      <c r="F8" s="37" t="s">
        <v>148</v>
      </c>
      <c r="G8" s="289">
        <v>0</v>
      </c>
      <c r="H8" s="378">
        <v>0</v>
      </c>
      <c r="I8" s="16">
        <v>0</v>
      </c>
      <c r="J8" s="38">
        <f t="shared" si="1"/>
        <v>0</v>
      </c>
      <c r="K8" s="563" t="s">
        <v>13</v>
      </c>
      <c r="L8" s="502">
        <v>2026</v>
      </c>
      <c r="M8" s="503"/>
      <c r="N8" s="504"/>
      <c r="O8" s="516">
        <v>2025</v>
      </c>
      <c r="P8" s="517"/>
      <c r="Q8" s="518"/>
      <c r="R8" s="516">
        <v>2024</v>
      </c>
      <c r="S8" s="517"/>
      <c r="T8" s="518"/>
      <c r="U8" s="516">
        <v>2023</v>
      </c>
      <c r="V8" s="517"/>
      <c r="W8" s="518"/>
      <c r="AA8" s="516">
        <v>2022</v>
      </c>
      <c r="AB8" s="517"/>
      <c r="AC8" s="518"/>
    </row>
    <row r="9" spans="1:32" ht="14.95" customHeight="1" thickBot="1" x14ac:dyDescent="0.3">
      <c r="A9" s="35" t="s">
        <v>147</v>
      </c>
      <c r="B9" s="283">
        <v>0</v>
      </c>
      <c r="C9" s="380">
        <v>0</v>
      </c>
      <c r="D9" s="66">
        <v>0</v>
      </c>
      <c r="E9" s="36">
        <f t="shared" si="0"/>
        <v>0</v>
      </c>
      <c r="F9" s="37" t="s">
        <v>147</v>
      </c>
      <c r="G9" s="289">
        <v>0</v>
      </c>
      <c r="H9" s="378">
        <v>0</v>
      </c>
      <c r="I9" s="16">
        <v>0</v>
      </c>
      <c r="J9" s="38">
        <f t="shared" si="1"/>
        <v>0</v>
      </c>
      <c r="K9" s="564"/>
      <c r="L9" s="505"/>
      <c r="M9" s="506"/>
      <c r="N9" s="507"/>
      <c r="O9" s="519"/>
      <c r="P9" s="520"/>
      <c r="Q9" s="521"/>
      <c r="R9" s="519"/>
      <c r="S9" s="520"/>
      <c r="T9" s="521"/>
      <c r="U9" s="519"/>
      <c r="V9" s="520"/>
      <c r="W9" s="521"/>
      <c r="AA9" s="519"/>
      <c r="AB9" s="520"/>
      <c r="AC9" s="521"/>
    </row>
    <row r="10" spans="1:32" ht="14.95" customHeight="1" thickBot="1" x14ac:dyDescent="0.3">
      <c r="A10" s="35" t="s">
        <v>149</v>
      </c>
      <c r="B10" s="283">
        <v>0</v>
      </c>
      <c r="C10" s="380">
        <v>0</v>
      </c>
      <c r="D10" s="66">
        <v>0</v>
      </c>
      <c r="E10" s="36">
        <f t="shared" si="0"/>
        <v>0</v>
      </c>
      <c r="F10" s="37" t="s">
        <v>149</v>
      </c>
      <c r="G10" s="289">
        <v>0</v>
      </c>
      <c r="H10" s="378">
        <v>0</v>
      </c>
      <c r="I10" s="16">
        <v>0</v>
      </c>
      <c r="J10" s="38">
        <f t="shared" si="1"/>
        <v>0</v>
      </c>
      <c r="K10" s="277"/>
      <c r="L10" s="1" t="s">
        <v>17</v>
      </c>
      <c r="M10" s="1" t="s">
        <v>5</v>
      </c>
      <c r="N10" s="1" t="s">
        <v>6</v>
      </c>
      <c r="O10" s="59" t="s">
        <v>17</v>
      </c>
      <c r="P10" s="59" t="s">
        <v>5</v>
      </c>
      <c r="Q10" s="59" t="s">
        <v>6</v>
      </c>
      <c r="R10" s="59" t="s">
        <v>17</v>
      </c>
      <c r="S10" s="59" t="s">
        <v>5</v>
      </c>
      <c r="T10" s="59" t="s">
        <v>6</v>
      </c>
      <c r="U10" s="59" t="s">
        <v>17</v>
      </c>
      <c r="V10" s="59" t="s">
        <v>5</v>
      </c>
      <c r="W10" s="59" t="s">
        <v>6</v>
      </c>
      <c r="AA10" s="260" t="s">
        <v>17</v>
      </c>
      <c r="AB10" s="59" t="s">
        <v>5</v>
      </c>
      <c r="AC10" s="59" t="s">
        <v>6</v>
      </c>
    </row>
    <row r="11" spans="1:32" ht="14.95" customHeight="1" thickBot="1" x14ac:dyDescent="0.3">
      <c r="A11" s="35" t="s">
        <v>37</v>
      </c>
      <c r="B11" s="283">
        <v>0</v>
      </c>
      <c r="C11" s="380">
        <v>0</v>
      </c>
      <c r="D11" s="66">
        <v>0</v>
      </c>
      <c r="E11" s="36">
        <f t="shared" si="0"/>
        <v>0</v>
      </c>
      <c r="F11" s="37" t="s">
        <v>37</v>
      </c>
      <c r="G11" s="289">
        <v>0</v>
      </c>
      <c r="H11" s="378">
        <v>0</v>
      </c>
      <c r="I11" s="16">
        <v>0</v>
      </c>
      <c r="J11" s="38">
        <f t="shared" si="1"/>
        <v>0</v>
      </c>
      <c r="K11" s="35" t="s">
        <v>30</v>
      </c>
      <c r="L11" s="36">
        <v>5</v>
      </c>
      <c r="M11" s="36">
        <v>6</v>
      </c>
      <c r="N11" s="39">
        <f>SUM(L11/M11)*100</f>
        <v>83.333333333333343</v>
      </c>
      <c r="O11" s="59">
        <v>11</v>
      </c>
      <c r="P11" s="59">
        <v>15</v>
      </c>
      <c r="Q11" s="117">
        <v>73.333333333333329</v>
      </c>
      <c r="R11" s="59">
        <v>6</v>
      </c>
      <c r="S11" s="59">
        <v>11</v>
      </c>
      <c r="T11" s="117">
        <f>SUM(R11/S11)*100</f>
        <v>54.54545454545454</v>
      </c>
      <c r="U11" s="59">
        <v>9</v>
      </c>
      <c r="V11" s="59">
        <v>16</v>
      </c>
      <c r="W11" s="117">
        <f>SUM(U11/V11)*100</f>
        <v>56.25</v>
      </c>
      <c r="AA11" s="260">
        <v>9</v>
      </c>
      <c r="AB11" s="59">
        <v>14</v>
      </c>
      <c r="AC11" s="117">
        <f>SUM(AA11/AB11)*100</f>
        <v>64.285714285714292</v>
      </c>
    </row>
    <row r="12" spans="1:32" ht="14.95" customHeight="1" thickBot="1" x14ac:dyDescent="0.3">
      <c r="A12" s="35" t="s">
        <v>150</v>
      </c>
      <c r="B12" s="283">
        <v>0</v>
      </c>
      <c r="C12" s="380">
        <v>0</v>
      </c>
      <c r="D12" s="66">
        <v>0</v>
      </c>
      <c r="E12" s="36">
        <f t="shared" si="0"/>
        <v>0</v>
      </c>
      <c r="F12" s="37" t="s">
        <v>150</v>
      </c>
      <c r="G12" s="289">
        <v>0</v>
      </c>
      <c r="H12" s="378">
        <v>0</v>
      </c>
      <c r="I12" s="16">
        <v>0</v>
      </c>
      <c r="J12" s="38">
        <f t="shared" si="1"/>
        <v>0</v>
      </c>
    </row>
    <row r="13" spans="1:32" ht="14.95" customHeight="1" thickBot="1" x14ac:dyDescent="0.3">
      <c r="A13" s="35" t="s">
        <v>151</v>
      </c>
      <c r="B13" s="283">
        <v>0</v>
      </c>
      <c r="C13" s="380">
        <v>0</v>
      </c>
      <c r="D13" s="66">
        <v>0</v>
      </c>
      <c r="E13" s="36">
        <f t="shared" si="0"/>
        <v>0</v>
      </c>
      <c r="F13" s="37" t="s">
        <v>151</v>
      </c>
      <c r="G13" s="289">
        <v>0</v>
      </c>
      <c r="H13" s="378">
        <v>0</v>
      </c>
      <c r="I13" s="16">
        <v>0</v>
      </c>
      <c r="J13" s="38">
        <f t="shared" si="1"/>
        <v>0</v>
      </c>
      <c r="K13" s="528" t="s">
        <v>345</v>
      </c>
      <c r="L13" s="516">
        <v>2025</v>
      </c>
      <c r="M13" s="517"/>
      <c r="N13" s="518"/>
      <c r="O13" s="516">
        <v>2022</v>
      </c>
      <c r="P13" s="517"/>
      <c r="Q13" s="518"/>
    </row>
    <row r="14" spans="1:32" ht="14.95" customHeight="1" thickBot="1" x14ac:dyDescent="0.3">
      <c r="A14" s="35" t="s">
        <v>34</v>
      </c>
      <c r="B14" s="283">
        <v>0</v>
      </c>
      <c r="C14" s="380">
        <v>0</v>
      </c>
      <c r="D14" s="66">
        <v>0</v>
      </c>
      <c r="E14" s="36">
        <f t="shared" si="0"/>
        <v>0</v>
      </c>
      <c r="F14" s="37" t="s">
        <v>34</v>
      </c>
      <c r="G14" s="289">
        <v>0</v>
      </c>
      <c r="H14" s="378">
        <v>0</v>
      </c>
      <c r="I14" s="16">
        <v>0</v>
      </c>
      <c r="J14" s="38">
        <f t="shared" si="1"/>
        <v>0</v>
      </c>
      <c r="K14" s="529"/>
      <c r="L14" s="519"/>
      <c r="M14" s="520"/>
      <c r="N14" s="521"/>
      <c r="O14" s="519"/>
      <c r="P14" s="520"/>
      <c r="Q14" s="521"/>
    </row>
    <row r="15" spans="1:32" ht="14.95" customHeight="1" thickBot="1" x14ac:dyDescent="0.3">
      <c r="A15" s="35" t="s">
        <v>35</v>
      </c>
      <c r="B15" s="283">
        <v>0</v>
      </c>
      <c r="C15" s="380">
        <v>0</v>
      </c>
      <c r="D15" s="66">
        <v>0</v>
      </c>
      <c r="E15" s="36">
        <f t="shared" si="0"/>
        <v>0</v>
      </c>
      <c r="F15" s="37" t="s">
        <v>35</v>
      </c>
      <c r="G15" s="289">
        <v>0</v>
      </c>
      <c r="H15" s="378">
        <v>0</v>
      </c>
      <c r="I15" s="16">
        <v>0</v>
      </c>
      <c r="J15" s="38">
        <f t="shared" si="1"/>
        <v>0</v>
      </c>
      <c r="K15" s="300"/>
      <c r="L15" s="59" t="s">
        <v>17</v>
      </c>
      <c r="M15" s="59" t="s">
        <v>5</v>
      </c>
      <c r="N15" s="59" t="s">
        <v>6</v>
      </c>
      <c r="O15" s="59" t="s">
        <v>17</v>
      </c>
      <c r="P15" s="59" t="s">
        <v>5</v>
      </c>
      <c r="Q15" s="59" t="s">
        <v>6</v>
      </c>
      <c r="V15" s="44"/>
      <c r="W15" s="44"/>
      <c r="AA15" s="57"/>
      <c r="AB15" s="94"/>
      <c r="AC15" s="94"/>
    </row>
    <row r="16" spans="1:32" ht="14.95" customHeight="1" thickBot="1" x14ac:dyDescent="0.3">
      <c r="A16" s="35" t="s">
        <v>28</v>
      </c>
      <c r="B16" s="283">
        <v>1</v>
      </c>
      <c r="C16" s="380">
        <v>0</v>
      </c>
      <c r="D16" s="66">
        <v>0</v>
      </c>
      <c r="E16" s="36">
        <f t="shared" si="0"/>
        <v>1</v>
      </c>
      <c r="F16" s="37" t="s">
        <v>28</v>
      </c>
      <c r="G16" s="289">
        <v>5</v>
      </c>
      <c r="H16" s="378">
        <v>0</v>
      </c>
      <c r="I16" s="16">
        <v>0</v>
      </c>
      <c r="J16" s="38">
        <f t="shared" si="1"/>
        <v>5</v>
      </c>
      <c r="K16" s="35" t="s">
        <v>30</v>
      </c>
      <c r="L16" s="59">
        <v>9</v>
      </c>
      <c r="M16" s="59">
        <v>15</v>
      </c>
      <c r="N16" s="117">
        <f>SUM(L16/M16)*100</f>
        <v>60</v>
      </c>
      <c r="O16" s="59">
        <v>0</v>
      </c>
      <c r="P16" s="59">
        <v>6</v>
      </c>
      <c r="Q16" s="117">
        <v>0</v>
      </c>
      <c r="AA16" s="56"/>
      <c r="AB16" s="56"/>
      <c r="AC16" s="56"/>
      <c r="AD16" s="56"/>
      <c r="AE16" s="56"/>
      <c r="AF16" s="56"/>
    </row>
    <row r="17" spans="1:32" ht="14.95" customHeight="1" thickBot="1" x14ac:dyDescent="0.3">
      <c r="A17" s="35" t="s">
        <v>152</v>
      </c>
      <c r="B17" s="283">
        <v>0</v>
      </c>
      <c r="C17" s="380">
        <v>0</v>
      </c>
      <c r="D17" s="66">
        <v>0</v>
      </c>
      <c r="E17" s="36">
        <f t="shared" si="0"/>
        <v>0</v>
      </c>
      <c r="F17" s="37" t="s">
        <v>152</v>
      </c>
      <c r="G17" s="289">
        <v>0</v>
      </c>
      <c r="H17" s="378">
        <v>0</v>
      </c>
      <c r="I17" s="16">
        <v>0</v>
      </c>
      <c r="J17" s="38">
        <f t="shared" si="1"/>
        <v>0</v>
      </c>
      <c r="K17" s="35" t="s">
        <v>36</v>
      </c>
      <c r="L17" s="59">
        <v>0</v>
      </c>
      <c r="M17" s="59">
        <v>1</v>
      </c>
      <c r="N17" s="117">
        <f>SUM(L17/M17)*100</f>
        <v>0</v>
      </c>
      <c r="O17" s="59" t="s">
        <v>8</v>
      </c>
      <c r="P17" s="59" t="s">
        <v>8</v>
      </c>
      <c r="Q17" s="117" t="s">
        <v>8</v>
      </c>
      <c r="AA17" s="56"/>
      <c r="AB17" s="56"/>
      <c r="AC17" s="56"/>
      <c r="AD17" s="56"/>
      <c r="AE17" s="56"/>
      <c r="AF17" s="56"/>
    </row>
    <row r="18" spans="1:32" ht="14.95" customHeight="1" thickBot="1" x14ac:dyDescent="0.3">
      <c r="A18" s="35" t="s">
        <v>498</v>
      </c>
      <c r="B18" s="283">
        <v>0</v>
      </c>
      <c r="C18" s="380">
        <v>0</v>
      </c>
      <c r="D18" s="66">
        <v>0</v>
      </c>
      <c r="E18" s="36">
        <f t="shared" si="0"/>
        <v>0</v>
      </c>
      <c r="F18" s="37" t="s">
        <v>498</v>
      </c>
      <c r="G18" s="289">
        <v>0</v>
      </c>
      <c r="H18" s="378">
        <v>0</v>
      </c>
      <c r="I18" s="16">
        <v>0</v>
      </c>
      <c r="J18" s="38">
        <f t="shared" si="1"/>
        <v>0</v>
      </c>
      <c r="X18" s="56"/>
      <c r="Y18" s="56"/>
      <c r="Z18" s="56"/>
      <c r="AA18" s="56"/>
      <c r="AB18" s="56"/>
      <c r="AC18" s="56"/>
      <c r="AD18" s="56"/>
      <c r="AE18" s="56"/>
      <c r="AF18" s="56"/>
    </row>
    <row r="19" spans="1:32" ht="14.95" customHeight="1" thickBot="1" x14ac:dyDescent="0.3">
      <c r="A19" s="35" t="s">
        <v>153</v>
      </c>
      <c r="B19" s="283">
        <v>0</v>
      </c>
      <c r="C19" s="380">
        <v>0</v>
      </c>
      <c r="D19" s="66">
        <v>0</v>
      </c>
      <c r="E19" s="36">
        <f t="shared" si="0"/>
        <v>0</v>
      </c>
      <c r="F19" s="37" t="s">
        <v>153</v>
      </c>
      <c r="G19" s="289">
        <v>0</v>
      </c>
      <c r="H19" s="378">
        <v>0</v>
      </c>
      <c r="I19" s="16">
        <v>0</v>
      </c>
      <c r="J19" s="38">
        <f t="shared" si="1"/>
        <v>0</v>
      </c>
      <c r="K19" s="546" t="s">
        <v>500</v>
      </c>
      <c r="L19" s="530">
        <v>2026</v>
      </c>
      <c r="M19" s="531"/>
      <c r="N19" s="532"/>
      <c r="O19" s="516">
        <v>2024</v>
      </c>
      <c r="P19" s="517"/>
      <c r="Q19" s="518"/>
      <c r="R19" s="516">
        <v>2023</v>
      </c>
      <c r="S19" s="517"/>
      <c r="T19" s="518"/>
      <c r="X19" s="56"/>
      <c r="Y19" s="56"/>
      <c r="Z19" s="56"/>
      <c r="AA19" s="56"/>
      <c r="AB19" s="56"/>
      <c r="AC19" s="56"/>
    </row>
    <row r="20" spans="1:32" ht="14.95" customHeight="1" thickBot="1" x14ac:dyDescent="0.3">
      <c r="A20" s="35" t="s">
        <v>154</v>
      </c>
      <c r="B20" s="283">
        <v>0</v>
      </c>
      <c r="C20" s="380">
        <v>0</v>
      </c>
      <c r="D20" s="66">
        <v>0</v>
      </c>
      <c r="E20" s="36">
        <f t="shared" si="0"/>
        <v>0</v>
      </c>
      <c r="F20" s="37" t="s">
        <v>154</v>
      </c>
      <c r="G20" s="289">
        <v>0</v>
      </c>
      <c r="H20" s="378">
        <v>0</v>
      </c>
      <c r="I20" s="16">
        <v>0</v>
      </c>
      <c r="J20" s="38">
        <f t="shared" si="1"/>
        <v>0</v>
      </c>
      <c r="K20" s="547"/>
      <c r="L20" s="533"/>
      <c r="M20" s="534"/>
      <c r="N20" s="535"/>
      <c r="O20" s="519"/>
      <c r="P20" s="520"/>
      <c r="Q20" s="521"/>
      <c r="R20" s="519"/>
      <c r="S20" s="520"/>
      <c r="T20" s="521"/>
      <c r="X20" s="56"/>
      <c r="Y20" s="56"/>
      <c r="Z20" s="56"/>
      <c r="AA20" s="56"/>
      <c r="AB20" s="56"/>
      <c r="AC20" s="56"/>
    </row>
    <row r="21" spans="1:32" ht="14.95" customHeight="1" thickBot="1" x14ac:dyDescent="0.3">
      <c r="A21" s="35" t="s">
        <v>155</v>
      </c>
      <c r="B21" s="283">
        <v>0</v>
      </c>
      <c r="C21" s="380">
        <v>0</v>
      </c>
      <c r="D21" s="66">
        <v>0</v>
      </c>
      <c r="E21" s="36">
        <f t="shared" si="0"/>
        <v>0</v>
      </c>
      <c r="F21" s="37" t="s">
        <v>155</v>
      </c>
      <c r="G21" s="289">
        <v>0</v>
      </c>
      <c r="H21" s="378">
        <v>0</v>
      </c>
      <c r="I21" s="16">
        <v>0</v>
      </c>
      <c r="J21" s="38">
        <f t="shared" si="1"/>
        <v>0</v>
      </c>
      <c r="K21" s="220"/>
      <c r="L21" s="29" t="s">
        <v>17</v>
      </c>
      <c r="M21" s="29" t="s">
        <v>5</v>
      </c>
      <c r="N21" s="29" t="s">
        <v>6</v>
      </c>
      <c r="O21" s="59" t="s">
        <v>17</v>
      </c>
      <c r="P21" s="59" t="s">
        <v>5</v>
      </c>
      <c r="Q21" s="59" t="s">
        <v>6</v>
      </c>
      <c r="R21" s="59" t="s">
        <v>17</v>
      </c>
      <c r="S21" s="59" t="s">
        <v>5</v>
      </c>
      <c r="T21" s="59" t="s">
        <v>6</v>
      </c>
    </row>
    <row r="22" spans="1:32" ht="14.95" customHeight="1" thickBot="1" x14ac:dyDescent="0.3">
      <c r="A22" s="35" t="s">
        <v>421</v>
      </c>
      <c r="B22" s="283">
        <v>0</v>
      </c>
      <c r="C22" s="380">
        <v>0</v>
      </c>
      <c r="D22" s="66">
        <v>0</v>
      </c>
      <c r="E22" s="36">
        <f t="shared" si="0"/>
        <v>0</v>
      </c>
      <c r="F22" s="37" t="s">
        <v>421</v>
      </c>
      <c r="G22" s="289">
        <v>0</v>
      </c>
      <c r="H22" s="378">
        <v>0</v>
      </c>
      <c r="I22" s="16">
        <v>0</v>
      </c>
      <c r="J22" s="38">
        <f t="shared" si="1"/>
        <v>0</v>
      </c>
      <c r="K22" s="35" t="s">
        <v>30</v>
      </c>
      <c r="L22" s="36" t="s">
        <v>8</v>
      </c>
      <c r="M22" s="36" t="s">
        <v>8</v>
      </c>
      <c r="N22" s="39" t="s">
        <v>8</v>
      </c>
      <c r="O22" s="59">
        <v>4</v>
      </c>
      <c r="P22" s="59">
        <v>9</v>
      </c>
      <c r="Q22" s="117">
        <f>SUM(O22/P22)*100</f>
        <v>44.444444444444443</v>
      </c>
      <c r="R22" s="59">
        <v>4</v>
      </c>
      <c r="S22" s="59">
        <v>9</v>
      </c>
      <c r="T22" s="117">
        <f t="shared" ref="T22:T23" si="2">SUM(R22/S22)*100</f>
        <v>44.444444444444443</v>
      </c>
    </row>
    <row r="23" spans="1:32" ht="14.95" customHeight="1" thickBot="1" x14ac:dyDescent="0.3">
      <c r="A23" s="35" t="s">
        <v>759</v>
      </c>
      <c r="B23" s="283">
        <v>0</v>
      </c>
      <c r="C23" s="380">
        <v>0</v>
      </c>
      <c r="D23" s="66">
        <v>0</v>
      </c>
      <c r="E23" s="36">
        <f t="shared" si="0"/>
        <v>0</v>
      </c>
      <c r="F23" s="37" t="s">
        <v>759</v>
      </c>
      <c r="G23" s="289">
        <v>0</v>
      </c>
      <c r="H23" s="378">
        <v>0</v>
      </c>
      <c r="I23" s="16">
        <v>0</v>
      </c>
      <c r="J23" s="38">
        <f t="shared" si="1"/>
        <v>0</v>
      </c>
      <c r="K23" s="35" t="s">
        <v>31</v>
      </c>
      <c r="L23" s="36" t="s">
        <v>8</v>
      </c>
      <c r="M23" s="36" t="s">
        <v>8</v>
      </c>
      <c r="N23" s="39" t="s">
        <v>8</v>
      </c>
      <c r="O23" s="59">
        <v>1</v>
      </c>
      <c r="P23" s="59">
        <v>1</v>
      </c>
      <c r="Q23" s="117">
        <f>SUM(O23/P23)*100</f>
        <v>100</v>
      </c>
      <c r="R23" s="59">
        <v>4</v>
      </c>
      <c r="S23" s="59">
        <v>5</v>
      </c>
      <c r="T23" s="117">
        <f t="shared" si="2"/>
        <v>80</v>
      </c>
    </row>
    <row r="24" spans="1:32" ht="14.95" customHeight="1" thickBot="1" x14ac:dyDescent="0.3">
      <c r="A24" s="35" t="s">
        <v>156</v>
      </c>
      <c r="B24" s="283">
        <v>0</v>
      </c>
      <c r="C24" s="380">
        <v>0</v>
      </c>
      <c r="D24" s="66">
        <v>0</v>
      </c>
      <c r="E24" s="36">
        <f t="shared" si="0"/>
        <v>0</v>
      </c>
      <c r="F24" s="37" t="s">
        <v>156</v>
      </c>
      <c r="G24" s="289">
        <v>0</v>
      </c>
      <c r="H24" s="378">
        <v>0</v>
      </c>
      <c r="I24" s="16">
        <v>0</v>
      </c>
      <c r="J24" s="38">
        <f t="shared" si="1"/>
        <v>0</v>
      </c>
    </row>
    <row r="25" spans="1:32" ht="14.95" customHeight="1" thickBot="1" x14ac:dyDescent="0.3">
      <c r="A25" s="35" t="s">
        <v>157</v>
      </c>
      <c r="B25" s="283">
        <v>0</v>
      </c>
      <c r="C25" s="380">
        <v>0</v>
      </c>
      <c r="D25" s="66">
        <v>0</v>
      </c>
      <c r="E25" s="36">
        <f t="shared" si="0"/>
        <v>0</v>
      </c>
      <c r="F25" s="37" t="s">
        <v>157</v>
      </c>
      <c r="G25" s="289">
        <v>0</v>
      </c>
      <c r="H25" s="378">
        <v>0</v>
      </c>
      <c r="I25" s="16">
        <v>0</v>
      </c>
      <c r="J25" s="38">
        <f t="shared" si="1"/>
        <v>0</v>
      </c>
    </row>
    <row r="26" spans="1:32" ht="14.95" customHeight="1" thickBot="1" x14ac:dyDescent="0.3">
      <c r="A26" s="35" t="s">
        <v>158</v>
      </c>
      <c r="B26" s="283">
        <v>0</v>
      </c>
      <c r="C26" s="380">
        <v>0</v>
      </c>
      <c r="D26" s="66">
        <v>0</v>
      </c>
      <c r="E26" s="36">
        <f t="shared" si="0"/>
        <v>0</v>
      </c>
      <c r="F26" s="37" t="s">
        <v>158</v>
      </c>
      <c r="G26" s="289">
        <v>0</v>
      </c>
      <c r="H26" s="378">
        <v>0</v>
      </c>
      <c r="I26" s="16">
        <v>0</v>
      </c>
      <c r="J26" s="38">
        <f t="shared" si="1"/>
        <v>0</v>
      </c>
    </row>
    <row r="27" spans="1:32" ht="14.95" customHeight="1" thickBot="1" x14ac:dyDescent="0.3">
      <c r="A27" s="35" t="s">
        <v>30</v>
      </c>
      <c r="B27" s="283">
        <v>0</v>
      </c>
      <c r="C27" s="380">
        <v>0</v>
      </c>
      <c r="D27" s="66">
        <v>0</v>
      </c>
      <c r="E27" s="36">
        <f t="shared" si="0"/>
        <v>0</v>
      </c>
      <c r="F27" s="37" t="s">
        <v>30</v>
      </c>
      <c r="G27" s="289">
        <v>11</v>
      </c>
      <c r="H27" s="378">
        <v>0</v>
      </c>
      <c r="I27" s="16">
        <v>0</v>
      </c>
      <c r="J27" s="38">
        <f t="shared" si="1"/>
        <v>11</v>
      </c>
    </row>
    <row r="28" spans="1:32" ht="14.95" customHeight="1" thickBot="1" x14ac:dyDescent="0.3">
      <c r="A28" s="35" t="s">
        <v>159</v>
      </c>
      <c r="B28" s="283">
        <v>0</v>
      </c>
      <c r="C28" s="380">
        <v>0</v>
      </c>
      <c r="D28" s="66">
        <v>0</v>
      </c>
      <c r="E28" s="36">
        <f t="shared" si="0"/>
        <v>0</v>
      </c>
      <c r="F28" s="37" t="s">
        <v>159</v>
      </c>
      <c r="G28" s="289">
        <v>0</v>
      </c>
      <c r="H28" s="378">
        <v>0</v>
      </c>
      <c r="I28" s="16">
        <v>0</v>
      </c>
      <c r="J28" s="38">
        <f t="shared" si="1"/>
        <v>0</v>
      </c>
    </row>
    <row r="29" spans="1:32" ht="14.95" customHeight="1" thickBot="1" x14ac:dyDescent="0.3">
      <c r="A29" s="35" t="s">
        <v>160</v>
      </c>
      <c r="B29" s="283">
        <v>0</v>
      </c>
      <c r="C29" s="380">
        <v>0</v>
      </c>
      <c r="D29" s="66">
        <v>0</v>
      </c>
      <c r="E29" s="36">
        <f t="shared" si="0"/>
        <v>0</v>
      </c>
      <c r="F29" s="37" t="s">
        <v>160</v>
      </c>
      <c r="G29" s="289">
        <v>0</v>
      </c>
      <c r="H29" s="378">
        <v>0</v>
      </c>
      <c r="I29" s="16">
        <v>0</v>
      </c>
      <c r="J29" s="38">
        <f t="shared" si="1"/>
        <v>0</v>
      </c>
    </row>
    <row r="30" spans="1:32" ht="14.95" customHeight="1" thickBot="1" x14ac:dyDescent="0.3">
      <c r="A30" s="35" t="s">
        <v>208</v>
      </c>
      <c r="B30" s="283">
        <v>0</v>
      </c>
      <c r="C30" s="380">
        <v>0</v>
      </c>
      <c r="D30" s="66">
        <v>0</v>
      </c>
      <c r="E30" s="36">
        <f t="shared" si="0"/>
        <v>0</v>
      </c>
      <c r="F30" s="37" t="s">
        <v>208</v>
      </c>
      <c r="G30" s="289">
        <v>0</v>
      </c>
      <c r="H30" s="378">
        <v>0</v>
      </c>
      <c r="I30" s="16">
        <v>0</v>
      </c>
      <c r="J30" s="38">
        <f t="shared" si="1"/>
        <v>0</v>
      </c>
    </row>
    <row r="31" spans="1:32" ht="14.95" customHeight="1" thickBot="1" x14ac:dyDescent="0.3">
      <c r="A31" s="35" t="s">
        <v>161</v>
      </c>
      <c r="B31" s="283">
        <v>0</v>
      </c>
      <c r="C31" s="380">
        <v>0</v>
      </c>
      <c r="D31" s="66">
        <v>0</v>
      </c>
      <c r="E31" s="36">
        <f t="shared" si="0"/>
        <v>0</v>
      </c>
      <c r="F31" s="37" t="s">
        <v>161</v>
      </c>
      <c r="G31" s="289">
        <v>0</v>
      </c>
      <c r="H31" s="378">
        <v>0</v>
      </c>
      <c r="I31" s="16">
        <v>0</v>
      </c>
      <c r="J31" s="38">
        <f t="shared" si="1"/>
        <v>0</v>
      </c>
    </row>
    <row r="32" spans="1:32" ht="14.95" customHeight="1" thickBot="1" x14ac:dyDescent="0.3">
      <c r="A32" s="35" t="s">
        <v>39</v>
      </c>
      <c r="B32" s="283">
        <v>1</v>
      </c>
      <c r="C32" s="380">
        <v>0</v>
      </c>
      <c r="D32" s="66">
        <v>0</v>
      </c>
      <c r="E32" s="36">
        <f t="shared" si="0"/>
        <v>1</v>
      </c>
      <c r="F32" s="37" t="s">
        <v>39</v>
      </c>
      <c r="G32" s="289">
        <v>5</v>
      </c>
      <c r="H32" s="378">
        <v>0</v>
      </c>
      <c r="I32" s="16">
        <v>0</v>
      </c>
      <c r="J32" s="38">
        <f t="shared" si="1"/>
        <v>5</v>
      </c>
    </row>
    <row r="33" spans="1:10" ht="14.95" customHeight="1" thickBot="1" x14ac:dyDescent="0.3">
      <c r="A33" s="35" t="s">
        <v>649</v>
      </c>
      <c r="B33" s="283">
        <v>1</v>
      </c>
      <c r="C33" s="380">
        <v>0</v>
      </c>
      <c r="D33" s="66">
        <v>0</v>
      </c>
      <c r="E33" s="36">
        <f t="shared" si="0"/>
        <v>1</v>
      </c>
      <c r="F33" s="37" t="s">
        <v>649</v>
      </c>
      <c r="G33" s="289">
        <v>5</v>
      </c>
      <c r="H33" s="378">
        <v>0</v>
      </c>
      <c r="I33" s="16">
        <v>0</v>
      </c>
      <c r="J33" s="38">
        <f t="shared" si="1"/>
        <v>5</v>
      </c>
    </row>
    <row r="34" spans="1:10" ht="14.95" customHeight="1" thickBot="1" x14ac:dyDescent="0.3">
      <c r="A34" s="35" t="s">
        <v>33</v>
      </c>
      <c r="B34" s="283">
        <v>0</v>
      </c>
      <c r="C34" s="380">
        <v>0</v>
      </c>
      <c r="D34" s="66">
        <v>0</v>
      </c>
      <c r="E34" s="36">
        <f t="shared" si="0"/>
        <v>0</v>
      </c>
      <c r="F34" s="37" t="s">
        <v>33</v>
      </c>
      <c r="G34" s="289">
        <v>0</v>
      </c>
      <c r="H34" s="378">
        <v>0</v>
      </c>
      <c r="I34" s="16">
        <v>0</v>
      </c>
      <c r="J34" s="38">
        <f t="shared" si="1"/>
        <v>0</v>
      </c>
    </row>
    <row r="35" spans="1:10" ht="14.95" customHeight="1" thickBot="1" x14ac:dyDescent="0.3">
      <c r="A35" s="35" t="s">
        <v>162</v>
      </c>
      <c r="B35" s="283">
        <v>0</v>
      </c>
      <c r="C35" s="380">
        <v>0</v>
      </c>
      <c r="D35" s="66">
        <v>0</v>
      </c>
      <c r="E35" s="36">
        <f t="shared" si="0"/>
        <v>0</v>
      </c>
      <c r="F35" s="37" t="s">
        <v>162</v>
      </c>
      <c r="G35" s="289">
        <v>0</v>
      </c>
      <c r="H35" s="378">
        <v>0</v>
      </c>
      <c r="I35" s="16">
        <v>0</v>
      </c>
      <c r="J35" s="38">
        <f t="shared" si="1"/>
        <v>0</v>
      </c>
    </row>
    <row r="36" spans="1:10" ht="14.95" customHeight="1" thickBot="1" x14ac:dyDescent="0.3">
      <c r="A36" s="35" t="s">
        <v>31</v>
      </c>
      <c r="B36" s="283">
        <v>0</v>
      </c>
      <c r="C36" s="380">
        <v>0</v>
      </c>
      <c r="D36" s="66">
        <v>0</v>
      </c>
      <c r="E36" s="36">
        <f t="shared" si="0"/>
        <v>0</v>
      </c>
      <c r="F36" s="37" t="s">
        <v>31</v>
      </c>
      <c r="G36" s="289">
        <v>0</v>
      </c>
      <c r="H36" s="378">
        <v>0</v>
      </c>
      <c r="I36" s="16">
        <v>0</v>
      </c>
      <c r="J36" s="38">
        <f t="shared" si="1"/>
        <v>0</v>
      </c>
    </row>
    <row r="37" spans="1:10" ht="14.95" customHeight="1" thickBot="1" x14ac:dyDescent="0.3">
      <c r="A37" s="35" t="s">
        <v>687</v>
      </c>
      <c r="B37" s="283">
        <v>0</v>
      </c>
      <c r="C37" s="380">
        <v>0</v>
      </c>
      <c r="D37" s="66">
        <v>0</v>
      </c>
      <c r="E37" s="36">
        <f t="shared" si="0"/>
        <v>0</v>
      </c>
      <c r="F37" s="37" t="s">
        <v>687</v>
      </c>
      <c r="G37" s="289">
        <v>0</v>
      </c>
      <c r="H37" s="378">
        <v>0</v>
      </c>
      <c r="I37" s="16">
        <v>0</v>
      </c>
      <c r="J37" s="38">
        <f t="shared" si="1"/>
        <v>0</v>
      </c>
    </row>
    <row r="38" spans="1:10" ht="14.95" thickBot="1" x14ac:dyDescent="0.3">
      <c r="A38" s="35" t="s">
        <v>36</v>
      </c>
      <c r="B38" s="283">
        <v>0</v>
      </c>
      <c r="C38" s="380">
        <v>0</v>
      </c>
      <c r="D38" s="66">
        <v>0</v>
      </c>
      <c r="E38" s="36">
        <f t="shared" si="0"/>
        <v>0</v>
      </c>
      <c r="F38" s="37" t="s">
        <v>36</v>
      </c>
      <c r="G38" s="289">
        <v>0</v>
      </c>
      <c r="H38" s="378">
        <v>0</v>
      </c>
      <c r="I38" s="16">
        <v>0</v>
      </c>
      <c r="J38" s="38">
        <f t="shared" si="1"/>
        <v>0</v>
      </c>
    </row>
    <row r="39" spans="1:10" ht="14.95" thickBot="1" x14ac:dyDescent="0.3">
      <c r="A39" s="35" t="s">
        <v>163</v>
      </c>
      <c r="B39" s="283">
        <v>0</v>
      </c>
      <c r="C39" s="380">
        <v>0</v>
      </c>
      <c r="D39" s="66">
        <v>0</v>
      </c>
      <c r="E39" s="36">
        <f t="shared" si="0"/>
        <v>0</v>
      </c>
      <c r="F39" s="37" t="s">
        <v>163</v>
      </c>
      <c r="G39" s="289">
        <v>0</v>
      </c>
      <c r="H39" s="378">
        <v>0</v>
      </c>
      <c r="I39" s="16">
        <v>0</v>
      </c>
      <c r="J39" s="38">
        <f t="shared" si="1"/>
        <v>0</v>
      </c>
    </row>
    <row r="40" spans="1:10" ht="14.95" customHeight="1" thickBot="1" x14ac:dyDescent="0.3">
      <c r="A40" s="35" t="s">
        <v>38</v>
      </c>
      <c r="B40" s="283">
        <v>0</v>
      </c>
      <c r="C40" s="380">
        <v>0</v>
      </c>
      <c r="D40" s="66">
        <v>0</v>
      </c>
      <c r="E40" s="36">
        <f t="shared" si="0"/>
        <v>0</v>
      </c>
      <c r="F40" s="37" t="s">
        <v>38</v>
      </c>
      <c r="G40" s="289">
        <v>0</v>
      </c>
      <c r="H40" s="378">
        <v>0</v>
      </c>
      <c r="I40" s="16">
        <v>0</v>
      </c>
      <c r="J40" s="38">
        <f t="shared" si="1"/>
        <v>0</v>
      </c>
    </row>
    <row r="41" spans="1:10" ht="14.95" thickBot="1" x14ac:dyDescent="0.3">
      <c r="A41" s="35" t="s">
        <v>164</v>
      </c>
      <c r="B41" s="283">
        <v>0</v>
      </c>
      <c r="C41" s="380">
        <v>0</v>
      </c>
      <c r="D41" s="66">
        <v>0</v>
      </c>
      <c r="E41" s="36">
        <f t="shared" si="0"/>
        <v>0</v>
      </c>
      <c r="F41" s="37" t="s">
        <v>164</v>
      </c>
      <c r="G41" s="289">
        <v>0</v>
      </c>
      <c r="H41" s="378">
        <v>0</v>
      </c>
      <c r="I41" s="16">
        <v>0</v>
      </c>
      <c r="J41" s="38">
        <f t="shared" si="1"/>
        <v>0</v>
      </c>
    </row>
    <row r="42" spans="1:10" ht="14.95" thickBot="1" x14ac:dyDescent="0.3">
      <c r="A42" s="35" t="s">
        <v>32</v>
      </c>
      <c r="B42" s="283">
        <v>0</v>
      </c>
      <c r="C42" s="380">
        <v>0</v>
      </c>
      <c r="D42" s="66">
        <v>0</v>
      </c>
      <c r="E42" s="36">
        <f t="shared" si="0"/>
        <v>0</v>
      </c>
      <c r="F42" s="37" t="s">
        <v>32</v>
      </c>
      <c r="G42" s="289">
        <v>0</v>
      </c>
      <c r="H42" s="378">
        <v>0</v>
      </c>
      <c r="I42" s="16">
        <v>0</v>
      </c>
      <c r="J42" s="38">
        <f t="shared" si="1"/>
        <v>0</v>
      </c>
    </row>
    <row r="43" spans="1:10" ht="14.95" thickBot="1" x14ac:dyDescent="0.3">
      <c r="A43" s="35" t="s">
        <v>165</v>
      </c>
      <c r="B43" s="283">
        <v>0</v>
      </c>
      <c r="C43" s="380">
        <v>0</v>
      </c>
      <c r="D43" s="66">
        <v>0</v>
      </c>
      <c r="E43" s="36">
        <f t="shared" si="0"/>
        <v>0</v>
      </c>
      <c r="F43" s="37" t="s">
        <v>165</v>
      </c>
      <c r="G43" s="289">
        <v>0</v>
      </c>
      <c r="H43" s="378">
        <v>0</v>
      </c>
      <c r="I43" s="16">
        <v>0</v>
      </c>
      <c r="J43" s="38">
        <f t="shared" si="1"/>
        <v>0</v>
      </c>
    </row>
    <row r="44" spans="1:10" ht="14.95" thickBot="1" x14ac:dyDescent="0.3">
      <c r="A44" s="35" t="s">
        <v>3</v>
      </c>
      <c r="B44" s="283">
        <f>SUM(B3:B43)</f>
        <v>4</v>
      </c>
      <c r="C44" s="380">
        <f>SUM(C3:C43)</f>
        <v>0</v>
      </c>
      <c r="D44" s="86">
        <f>SUM(D3:D43)</f>
        <v>0</v>
      </c>
      <c r="E44" s="36">
        <f t="shared" si="0"/>
        <v>4</v>
      </c>
      <c r="F44" s="37" t="s">
        <v>3</v>
      </c>
      <c r="G44" s="289">
        <f>SUM(G3:G43)</f>
        <v>31</v>
      </c>
      <c r="H44" s="378">
        <f>SUM(H3:H43)</f>
        <v>0</v>
      </c>
      <c r="I44" s="87">
        <f>SUM(I3:I43)</f>
        <v>0</v>
      </c>
      <c r="J44" s="38">
        <f t="shared" si="1"/>
        <v>31</v>
      </c>
    </row>
    <row r="45" spans="1:10" x14ac:dyDescent="0.25">
      <c r="B45" s="52"/>
      <c r="C45" s="52"/>
      <c r="F45" s="7"/>
    </row>
    <row r="46" spans="1:10" ht="14.95" customHeight="1" thickBot="1" x14ac:dyDescent="0.3">
      <c r="A46" t="s">
        <v>7</v>
      </c>
      <c r="B46" s="52"/>
      <c r="C46" s="52"/>
      <c r="F46" s="6"/>
      <c r="G46" s="6"/>
      <c r="H46" s="6"/>
      <c r="I46" s="6"/>
      <c r="J46" s="6"/>
    </row>
    <row r="47" spans="1:10" ht="14.95" customHeight="1" thickBot="1" x14ac:dyDescent="0.3">
      <c r="A47" s="85" t="s">
        <v>0</v>
      </c>
      <c r="B47" s="282" t="s">
        <v>14</v>
      </c>
      <c r="C47" s="379" t="s">
        <v>500</v>
      </c>
      <c r="D47" s="76" t="s">
        <v>11</v>
      </c>
      <c r="E47" s="77" t="s">
        <v>1</v>
      </c>
      <c r="F47" s="83" t="s">
        <v>2</v>
      </c>
      <c r="G47" s="288" t="s">
        <v>14</v>
      </c>
      <c r="H47" s="377" t="s">
        <v>500</v>
      </c>
      <c r="I47" s="81" t="s">
        <v>11</v>
      </c>
      <c r="J47" s="84" t="s">
        <v>1</v>
      </c>
    </row>
    <row r="48" spans="1:10" ht="14.95" thickBot="1" x14ac:dyDescent="0.3">
      <c r="A48" s="35" t="s">
        <v>44</v>
      </c>
      <c r="B48" s="283">
        <v>1</v>
      </c>
      <c r="C48" s="380">
        <v>0</v>
      </c>
      <c r="D48" s="66">
        <v>0</v>
      </c>
      <c r="E48" s="36">
        <f t="shared" ref="E48:E88" si="3">SUM(B48:D48)</f>
        <v>1</v>
      </c>
      <c r="F48" s="37" t="s">
        <v>30</v>
      </c>
      <c r="G48" s="289">
        <v>11</v>
      </c>
      <c r="H48" s="378">
        <v>0</v>
      </c>
      <c r="I48" s="16">
        <v>0</v>
      </c>
      <c r="J48" s="38">
        <f t="shared" ref="J48:J88" si="4">SUM(G48:I48)</f>
        <v>11</v>
      </c>
    </row>
    <row r="49" spans="1:10" ht="14.95" thickBot="1" x14ac:dyDescent="0.3">
      <c r="A49" s="35" t="s">
        <v>28</v>
      </c>
      <c r="B49" s="283">
        <v>1</v>
      </c>
      <c r="C49" s="380">
        <v>0</v>
      </c>
      <c r="D49" s="66">
        <v>0</v>
      </c>
      <c r="E49" s="36">
        <f t="shared" si="3"/>
        <v>1</v>
      </c>
      <c r="F49" s="37" t="s">
        <v>44</v>
      </c>
      <c r="G49" s="289">
        <v>5</v>
      </c>
      <c r="H49" s="378">
        <v>0</v>
      </c>
      <c r="I49" s="16">
        <v>0</v>
      </c>
      <c r="J49" s="38">
        <f t="shared" si="4"/>
        <v>5</v>
      </c>
    </row>
    <row r="50" spans="1:10" ht="14.95" thickBot="1" x14ac:dyDescent="0.3">
      <c r="A50" s="35" t="s">
        <v>39</v>
      </c>
      <c r="B50" s="283">
        <v>1</v>
      </c>
      <c r="C50" s="380">
        <v>0</v>
      </c>
      <c r="D50" s="66">
        <v>0</v>
      </c>
      <c r="E50" s="36">
        <f t="shared" si="3"/>
        <v>1</v>
      </c>
      <c r="F50" s="37" t="s">
        <v>28</v>
      </c>
      <c r="G50" s="289">
        <v>5</v>
      </c>
      <c r="H50" s="378">
        <v>0</v>
      </c>
      <c r="I50" s="16">
        <v>0</v>
      </c>
      <c r="J50" s="38">
        <f t="shared" si="4"/>
        <v>5</v>
      </c>
    </row>
    <row r="51" spans="1:10" ht="14.95" thickBot="1" x14ac:dyDescent="0.3">
      <c r="A51" s="35" t="s">
        <v>649</v>
      </c>
      <c r="B51" s="283">
        <v>1</v>
      </c>
      <c r="C51" s="380">
        <v>0</v>
      </c>
      <c r="D51" s="66">
        <v>0</v>
      </c>
      <c r="E51" s="36">
        <f t="shared" si="3"/>
        <v>1</v>
      </c>
      <c r="F51" s="37" t="s">
        <v>39</v>
      </c>
      <c r="G51" s="289">
        <v>5</v>
      </c>
      <c r="H51" s="378">
        <v>0</v>
      </c>
      <c r="I51" s="16">
        <v>0</v>
      </c>
      <c r="J51" s="38">
        <f t="shared" si="4"/>
        <v>5</v>
      </c>
    </row>
    <row r="52" spans="1:10" ht="14.95" thickBot="1" x14ac:dyDescent="0.3">
      <c r="A52" s="35" t="s">
        <v>144</v>
      </c>
      <c r="B52" s="283">
        <v>0</v>
      </c>
      <c r="C52" s="380">
        <v>0</v>
      </c>
      <c r="D52" s="66">
        <v>0</v>
      </c>
      <c r="E52" s="36">
        <f t="shared" si="3"/>
        <v>0</v>
      </c>
      <c r="F52" s="37" t="s">
        <v>649</v>
      </c>
      <c r="G52" s="289">
        <v>5</v>
      </c>
      <c r="H52" s="378">
        <v>0</v>
      </c>
      <c r="I52" s="16">
        <v>0</v>
      </c>
      <c r="J52" s="38">
        <f t="shared" si="4"/>
        <v>5</v>
      </c>
    </row>
    <row r="53" spans="1:10" ht="14.95" thickBot="1" x14ac:dyDescent="0.3">
      <c r="A53" s="35" t="s">
        <v>145</v>
      </c>
      <c r="B53" s="283">
        <v>0</v>
      </c>
      <c r="C53" s="380">
        <v>0</v>
      </c>
      <c r="D53" s="66">
        <v>0</v>
      </c>
      <c r="E53" s="36">
        <f t="shared" si="3"/>
        <v>0</v>
      </c>
      <c r="F53" s="37" t="s">
        <v>144</v>
      </c>
      <c r="G53" s="289">
        <v>0</v>
      </c>
      <c r="H53" s="378">
        <v>0</v>
      </c>
      <c r="I53" s="16">
        <v>0</v>
      </c>
      <c r="J53" s="38">
        <f t="shared" si="4"/>
        <v>0</v>
      </c>
    </row>
    <row r="54" spans="1:10" ht="14.95" thickBot="1" x14ac:dyDescent="0.3">
      <c r="A54" s="35" t="s">
        <v>146</v>
      </c>
      <c r="B54" s="283">
        <v>0</v>
      </c>
      <c r="C54" s="380">
        <v>0</v>
      </c>
      <c r="D54" s="66">
        <v>0</v>
      </c>
      <c r="E54" s="36">
        <f t="shared" si="3"/>
        <v>0</v>
      </c>
      <c r="F54" s="37" t="s">
        <v>145</v>
      </c>
      <c r="G54" s="289">
        <v>0</v>
      </c>
      <c r="H54" s="378">
        <v>0</v>
      </c>
      <c r="I54" s="16">
        <v>0</v>
      </c>
      <c r="J54" s="38">
        <f t="shared" si="4"/>
        <v>0</v>
      </c>
    </row>
    <row r="55" spans="1:10" ht="14.95" thickBot="1" x14ac:dyDescent="0.3">
      <c r="A55" s="35" t="s">
        <v>911</v>
      </c>
      <c r="B55" s="283">
        <v>0</v>
      </c>
      <c r="C55" s="380">
        <v>0</v>
      </c>
      <c r="D55" s="66">
        <v>0</v>
      </c>
      <c r="E55" s="36">
        <f t="shared" si="3"/>
        <v>0</v>
      </c>
      <c r="F55" s="37" t="s">
        <v>146</v>
      </c>
      <c r="G55" s="289">
        <v>0</v>
      </c>
      <c r="H55" s="378">
        <v>0</v>
      </c>
      <c r="I55" s="16">
        <v>0</v>
      </c>
      <c r="J55" s="38">
        <f t="shared" si="4"/>
        <v>0</v>
      </c>
    </row>
    <row r="56" spans="1:10" ht="14.95" thickBot="1" x14ac:dyDescent="0.3">
      <c r="A56" s="35" t="s">
        <v>148</v>
      </c>
      <c r="B56" s="283">
        <v>0</v>
      </c>
      <c r="C56" s="380">
        <v>0</v>
      </c>
      <c r="D56" s="66">
        <v>0</v>
      </c>
      <c r="E56" s="36">
        <f t="shared" si="3"/>
        <v>0</v>
      </c>
      <c r="F56" s="37" t="s">
        <v>911</v>
      </c>
      <c r="G56" s="289">
        <v>0</v>
      </c>
      <c r="H56" s="378">
        <v>0</v>
      </c>
      <c r="I56" s="16">
        <v>0</v>
      </c>
      <c r="J56" s="38">
        <f t="shared" si="4"/>
        <v>0</v>
      </c>
    </row>
    <row r="57" spans="1:10" ht="14.95" thickBot="1" x14ac:dyDescent="0.3">
      <c r="A57" s="35" t="s">
        <v>147</v>
      </c>
      <c r="B57" s="283">
        <v>0</v>
      </c>
      <c r="C57" s="380">
        <v>0</v>
      </c>
      <c r="D57" s="66">
        <v>0</v>
      </c>
      <c r="E57" s="36">
        <f t="shared" si="3"/>
        <v>0</v>
      </c>
      <c r="F57" s="37" t="s">
        <v>148</v>
      </c>
      <c r="G57" s="289">
        <v>0</v>
      </c>
      <c r="H57" s="378">
        <v>0</v>
      </c>
      <c r="I57" s="16">
        <v>0</v>
      </c>
      <c r="J57" s="38">
        <f t="shared" si="4"/>
        <v>0</v>
      </c>
    </row>
    <row r="58" spans="1:10" ht="14.95" thickBot="1" x14ac:dyDescent="0.3">
      <c r="A58" s="35" t="s">
        <v>149</v>
      </c>
      <c r="B58" s="283">
        <v>0</v>
      </c>
      <c r="C58" s="380">
        <v>0</v>
      </c>
      <c r="D58" s="66">
        <v>0</v>
      </c>
      <c r="E58" s="36">
        <f t="shared" si="3"/>
        <v>0</v>
      </c>
      <c r="F58" s="37" t="s">
        <v>147</v>
      </c>
      <c r="G58" s="289">
        <v>0</v>
      </c>
      <c r="H58" s="378">
        <v>0</v>
      </c>
      <c r="I58" s="16">
        <v>0</v>
      </c>
      <c r="J58" s="38">
        <f t="shared" si="4"/>
        <v>0</v>
      </c>
    </row>
    <row r="59" spans="1:10" ht="14.95" thickBot="1" x14ac:dyDescent="0.3">
      <c r="A59" s="35" t="s">
        <v>37</v>
      </c>
      <c r="B59" s="283">
        <v>0</v>
      </c>
      <c r="C59" s="380">
        <v>0</v>
      </c>
      <c r="D59" s="66">
        <v>0</v>
      </c>
      <c r="E59" s="36">
        <f t="shared" si="3"/>
        <v>0</v>
      </c>
      <c r="F59" s="37" t="s">
        <v>149</v>
      </c>
      <c r="G59" s="289">
        <v>0</v>
      </c>
      <c r="H59" s="378">
        <v>0</v>
      </c>
      <c r="I59" s="16">
        <v>0</v>
      </c>
      <c r="J59" s="38">
        <f t="shared" si="4"/>
        <v>0</v>
      </c>
    </row>
    <row r="60" spans="1:10" ht="14.95" thickBot="1" x14ac:dyDescent="0.3">
      <c r="A60" s="35" t="s">
        <v>150</v>
      </c>
      <c r="B60" s="283">
        <v>0</v>
      </c>
      <c r="C60" s="380">
        <v>0</v>
      </c>
      <c r="D60" s="66">
        <v>0</v>
      </c>
      <c r="E60" s="36">
        <f t="shared" si="3"/>
        <v>0</v>
      </c>
      <c r="F60" s="37" t="s">
        <v>37</v>
      </c>
      <c r="G60" s="289">
        <v>0</v>
      </c>
      <c r="H60" s="378">
        <v>0</v>
      </c>
      <c r="I60" s="16">
        <v>0</v>
      </c>
      <c r="J60" s="38">
        <f t="shared" si="4"/>
        <v>0</v>
      </c>
    </row>
    <row r="61" spans="1:10" ht="14.95" thickBot="1" x14ac:dyDescent="0.3">
      <c r="A61" s="35" t="s">
        <v>151</v>
      </c>
      <c r="B61" s="283">
        <v>0</v>
      </c>
      <c r="C61" s="380">
        <v>0</v>
      </c>
      <c r="D61" s="66">
        <v>0</v>
      </c>
      <c r="E61" s="36">
        <f t="shared" si="3"/>
        <v>0</v>
      </c>
      <c r="F61" s="37" t="s">
        <v>150</v>
      </c>
      <c r="G61" s="289">
        <v>0</v>
      </c>
      <c r="H61" s="378">
        <v>0</v>
      </c>
      <c r="I61" s="16">
        <v>0</v>
      </c>
      <c r="J61" s="38">
        <f t="shared" si="4"/>
        <v>0</v>
      </c>
    </row>
    <row r="62" spans="1:10" ht="14.95" thickBot="1" x14ac:dyDescent="0.3">
      <c r="A62" s="35" t="s">
        <v>34</v>
      </c>
      <c r="B62" s="283">
        <v>0</v>
      </c>
      <c r="C62" s="380">
        <v>0</v>
      </c>
      <c r="D62" s="66">
        <v>0</v>
      </c>
      <c r="E62" s="36">
        <f t="shared" si="3"/>
        <v>0</v>
      </c>
      <c r="F62" s="37" t="s">
        <v>151</v>
      </c>
      <c r="G62" s="289">
        <v>0</v>
      </c>
      <c r="H62" s="378">
        <v>0</v>
      </c>
      <c r="I62" s="16">
        <v>0</v>
      </c>
      <c r="J62" s="38">
        <f t="shared" si="4"/>
        <v>0</v>
      </c>
    </row>
    <row r="63" spans="1:10" ht="14.95" thickBot="1" x14ac:dyDescent="0.3">
      <c r="A63" s="35" t="s">
        <v>35</v>
      </c>
      <c r="B63" s="283">
        <v>0</v>
      </c>
      <c r="C63" s="380">
        <v>0</v>
      </c>
      <c r="D63" s="66">
        <v>0</v>
      </c>
      <c r="E63" s="36">
        <f t="shared" si="3"/>
        <v>0</v>
      </c>
      <c r="F63" s="37" t="s">
        <v>34</v>
      </c>
      <c r="G63" s="289">
        <v>0</v>
      </c>
      <c r="H63" s="378">
        <v>0</v>
      </c>
      <c r="I63" s="16">
        <v>0</v>
      </c>
      <c r="J63" s="38">
        <f t="shared" si="4"/>
        <v>0</v>
      </c>
    </row>
    <row r="64" spans="1:10" ht="14.95" thickBot="1" x14ac:dyDescent="0.3">
      <c r="A64" s="35" t="s">
        <v>152</v>
      </c>
      <c r="B64" s="283">
        <v>0</v>
      </c>
      <c r="C64" s="380">
        <v>0</v>
      </c>
      <c r="D64" s="66">
        <v>0</v>
      </c>
      <c r="E64" s="36">
        <f t="shared" si="3"/>
        <v>0</v>
      </c>
      <c r="F64" s="37" t="s">
        <v>35</v>
      </c>
      <c r="G64" s="289">
        <v>0</v>
      </c>
      <c r="H64" s="378">
        <v>0</v>
      </c>
      <c r="I64" s="16">
        <v>0</v>
      </c>
      <c r="J64" s="38">
        <f t="shared" si="4"/>
        <v>0</v>
      </c>
    </row>
    <row r="65" spans="1:10" ht="14.95" thickBot="1" x14ac:dyDescent="0.3">
      <c r="A65" s="35" t="s">
        <v>498</v>
      </c>
      <c r="B65" s="283">
        <v>0</v>
      </c>
      <c r="C65" s="380">
        <v>0</v>
      </c>
      <c r="D65" s="66">
        <v>0</v>
      </c>
      <c r="E65" s="36">
        <f t="shared" si="3"/>
        <v>0</v>
      </c>
      <c r="F65" s="37" t="s">
        <v>152</v>
      </c>
      <c r="G65" s="289">
        <v>0</v>
      </c>
      <c r="H65" s="378">
        <v>0</v>
      </c>
      <c r="I65" s="16">
        <v>0</v>
      </c>
      <c r="J65" s="38">
        <f t="shared" si="4"/>
        <v>0</v>
      </c>
    </row>
    <row r="66" spans="1:10" ht="14.95" thickBot="1" x14ac:dyDescent="0.3">
      <c r="A66" s="35" t="s">
        <v>153</v>
      </c>
      <c r="B66" s="283">
        <v>0</v>
      </c>
      <c r="C66" s="380">
        <v>0</v>
      </c>
      <c r="D66" s="66">
        <v>0</v>
      </c>
      <c r="E66" s="36">
        <f t="shared" si="3"/>
        <v>0</v>
      </c>
      <c r="F66" s="37" t="s">
        <v>498</v>
      </c>
      <c r="G66" s="289">
        <v>0</v>
      </c>
      <c r="H66" s="378">
        <v>0</v>
      </c>
      <c r="I66" s="16">
        <v>0</v>
      </c>
      <c r="J66" s="38">
        <f t="shared" si="4"/>
        <v>0</v>
      </c>
    </row>
    <row r="67" spans="1:10" ht="14.95" thickBot="1" x14ac:dyDescent="0.3">
      <c r="A67" s="35" t="s">
        <v>154</v>
      </c>
      <c r="B67" s="283">
        <v>0</v>
      </c>
      <c r="C67" s="380">
        <v>0</v>
      </c>
      <c r="D67" s="66">
        <v>0</v>
      </c>
      <c r="E67" s="36">
        <f t="shared" si="3"/>
        <v>0</v>
      </c>
      <c r="F67" s="37" t="s">
        <v>153</v>
      </c>
      <c r="G67" s="289">
        <v>0</v>
      </c>
      <c r="H67" s="378">
        <v>0</v>
      </c>
      <c r="I67" s="16">
        <v>0</v>
      </c>
      <c r="J67" s="38">
        <f t="shared" si="4"/>
        <v>0</v>
      </c>
    </row>
    <row r="68" spans="1:10" ht="14.95" thickBot="1" x14ac:dyDescent="0.3">
      <c r="A68" s="35" t="s">
        <v>155</v>
      </c>
      <c r="B68" s="283">
        <v>0</v>
      </c>
      <c r="C68" s="380">
        <v>0</v>
      </c>
      <c r="D68" s="66">
        <v>0</v>
      </c>
      <c r="E68" s="36">
        <f t="shared" si="3"/>
        <v>0</v>
      </c>
      <c r="F68" s="37" t="s">
        <v>154</v>
      </c>
      <c r="G68" s="289">
        <v>0</v>
      </c>
      <c r="H68" s="378">
        <v>0</v>
      </c>
      <c r="I68" s="16">
        <v>0</v>
      </c>
      <c r="J68" s="38">
        <f t="shared" si="4"/>
        <v>0</v>
      </c>
    </row>
    <row r="69" spans="1:10" ht="14.95" thickBot="1" x14ac:dyDescent="0.3">
      <c r="A69" s="35" t="s">
        <v>421</v>
      </c>
      <c r="B69" s="283">
        <v>0</v>
      </c>
      <c r="C69" s="380">
        <v>0</v>
      </c>
      <c r="D69" s="66">
        <v>0</v>
      </c>
      <c r="E69" s="36">
        <f t="shared" si="3"/>
        <v>0</v>
      </c>
      <c r="F69" s="37" t="s">
        <v>155</v>
      </c>
      <c r="G69" s="289">
        <v>0</v>
      </c>
      <c r="H69" s="378">
        <v>0</v>
      </c>
      <c r="I69" s="16">
        <v>0</v>
      </c>
      <c r="J69" s="38">
        <f t="shared" si="4"/>
        <v>0</v>
      </c>
    </row>
    <row r="70" spans="1:10" ht="14.95" thickBot="1" x14ac:dyDescent="0.3">
      <c r="A70" s="35" t="s">
        <v>759</v>
      </c>
      <c r="B70" s="283">
        <v>0</v>
      </c>
      <c r="C70" s="380">
        <v>0</v>
      </c>
      <c r="D70" s="66">
        <v>0</v>
      </c>
      <c r="E70" s="36">
        <f t="shared" si="3"/>
        <v>0</v>
      </c>
      <c r="F70" s="37" t="s">
        <v>421</v>
      </c>
      <c r="G70" s="289">
        <v>0</v>
      </c>
      <c r="H70" s="378">
        <v>0</v>
      </c>
      <c r="I70" s="16">
        <v>0</v>
      </c>
      <c r="J70" s="38">
        <f t="shared" si="4"/>
        <v>0</v>
      </c>
    </row>
    <row r="71" spans="1:10" ht="14.95" thickBot="1" x14ac:dyDescent="0.3">
      <c r="A71" s="35" t="s">
        <v>156</v>
      </c>
      <c r="B71" s="283">
        <v>0</v>
      </c>
      <c r="C71" s="380">
        <v>0</v>
      </c>
      <c r="D71" s="66">
        <v>0</v>
      </c>
      <c r="E71" s="36">
        <f t="shared" si="3"/>
        <v>0</v>
      </c>
      <c r="F71" s="37" t="s">
        <v>759</v>
      </c>
      <c r="G71" s="289">
        <v>0</v>
      </c>
      <c r="H71" s="378">
        <v>0</v>
      </c>
      <c r="I71" s="16">
        <v>0</v>
      </c>
      <c r="J71" s="38">
        <f t="shared" si="4"/>
        <v>0</v>
      </c>
    </row>
    <row r="72" spans="1:10" ht="14.95" thickBot="1" x14ac:dyDescent="0.3">
      <c r="A72" s="35" t="s">
        <v>157</v>
      </c>
      <c r="B72" s="283">
        <v>0</v>
      </c>
      <c r="C72" s="380">
        <v>0</v>
      </c>
      <c r="D72" s="66">
        <v>0</v>
      </c>
      <c r="E72" s="36">
        <f t="shared" si="3"/>
        <v>0</v>
      </c>
      <c r="F72" s="37" t="s">
        <v>156</v>
      </c>
      <c r="G72" s="289">
        <v>0</v>
      </c>
      <c r="H72" s="378">
        <v>0</v>
      </c>
      <c r="I72" s="16">
        <v>0</v>
      </c>
      <c r="J72" s="38">
        <f t="shared" si="4"/>
        <v>0</v>
      </c>
    </row>
    <row r="73" spans="1:10" ht="14.95" thickBot="1" x14ac:dyDescent="0.3">
      <c r="A73" s="35" t="s">
        <v>158</v>
      </c>
      <c r="B73" s="283">
        <v>0</v>
      </c>
      <c r="C73" s="380">
        <v>0</v>
      </c>
      <c r="D73" s="66">
        <v>0</v>
      </c>
      <c r="E73" s="36">
        <f t="shared" si="3"/>
        <v>0</v>
      </c>
      <c r="F73" s="37" t="s">
        <v>157</v>
      </c>
      <c r="G73" s="289">
        <v>0</v>
      </c>
      <c r="H73" s="378">
        <v>0</v>
      </c>
      <c r="I73" s="16">
        <v>0</v>
      </c>
      <c r="J73" s="38">
        <f t="shared" si="4"/>
        <v>0</v>
      </c>
    </row>
    <row r="74" spans="1:10" ht="14.95" thickBot="1" x14ac:dyDescent="0.3">
      <c r="A74" s="35" t="s">
        <v>30</v>
      </c>
      <c r="B74" s="283">
        <v>0</v>
      </c>
      <c r="C74" s="380">
        <v>0</v>
      </c>
      <c r="D74" s="66">
        <v>0</v>
      </c>
      <c r="E74" s="36">
        <f t="shared" si="3"/>
        <v>0</v>
      </c>
      <c r="F74" s="37" t="s">
        <v>158</v>
      </c>
      <c r="G74" s="289">
        <v>0</v>
      </c>
      <c r="H74" s="378">
        <v>0</v>
      </c>
      <c r="I74" s="16">
        <v>0</v>
      </c>
      <c r="J74" s="38">
        <f t="shared" si="4"/>
        <v>0</v>
      </c>
    </row>
    <row r="75" spans="1:10" ht="14.95" thickBot="1" x14ac:dyDescent="0.3">
      <c r="A75" s="35" t="s">
        <v>159</v>
      </c>
      <c r="B75" s="283">
        <v>0</v>
      </c>
      <c r="C75" s="380">
        <v>0</v>
      </c>
      <c r="D75" s="66">
        <v>0</v>
      </c>
      <c r="E75" s="36">
        <f t="shared" si="3"/>
        <v>0</v>
      </c>
      <c r="F75" s="37" t="s">
        <v>159</v>
      </c>
      <c r="G75" s="289">
        <v>0</v>
      </c>
      <c r="H75" s="378">
        <v>0</v>
      </c>
      <c r="I75" s="16">
        <v>0</v>
      </c>
      <c r="J75" s="38">
        <f t="shared" si="4"/>
        <v>0</v>
      </c>
    </row>
    <row r="76" spans="1:10" ht="14.95" thickBot="1" x14ac:dyDescent="0.3">
      <c r="A76" s="35" t="s">
        <v>160</v>
      </c>
      <c r="B76" s="283">
        <v>0</v>
      </c>
      <c r="C76" s="380">
        <v>0</v>
      </c>
      <c r="D76" s="66">
        <v>0</v>
      </c>
      <c r="E76" s="36">
        <f t="shared" si="3"/>
        <v>0</v>
      </c>
      <c r="F76" s="37" t="s">
        <v>160</v>
      </c>
      <c r="G76" s="289">
        <v>0</v>
      </c>
      <c r="H76" s="378">
        <v>0</v>
      </c>
      <c r="I76" s="16">
        <v>0</v>
      </c>
      <c r="J76" s="38">
        <f t="shared" si="4"/>
        <v>0</v>
      </c>
    </row>
    <row r="77" spans="1:10" ht="14.95" thickBot="1" x14ac:dyDescent="0.3">
      <c r="A77" s="35" t="s">
        <v>208</v>
      </c>
      <c r="B77" s="283">
        <v>0</v>
      </c>
      <c r="C77" s="380">
        <v>0</v>
      </c>
      <c r="D77" s="66">
        <v>0</v>
      </c>
      <c r="E77" s="36">
        <f t="shared" si="3"/>
        <v>0</v>
      </c>
      <c r="F77" s="37" t="s">
        <v>208</v>
      </c>
      <c r="G77" s="289">
        <v>0</v>
      </c>
      <c r="H77" s="378">
        <v>0</v>
      </c>
      <c r="I77" s="16">
        <v>0</v>
      </c>
      <c r="J77" s="38">
        <f t="shared" si="4"/>
        <v>0</v>
      </c>
    </row>
    <row r="78" spans="1:10" ht="14.95" thickBot="1" x14ac:dyDescent="0.3">
      <c r="A78" s="35" t="s">
        <v>161</v>
      </c>
      <c r="B78" s="283">
        <v>0</v>
      </c>
      <c r="C78" s="380">
        <v>0</v>
      </c>
      <c r="D78" s="66">
        <v>0</v>
      </c>
      <c r="E78" s="36">
        <f t="shared" si="3"/>
        <v>0</v>
      </c>
      <c r="F78" s="37" t="s">
        <v>161</v>
      </c>
      <c r="G78" s="289">
        <v>0</v>
      </c>
      <c r="H78" s="378">
        <v>0</v>
      </c>
      <c r="I78" s="16">
        <v>0</v>
      </c>
      <c r="J78" s="38">
        <f t="shared" si="4"/>
        <v>0</v>
      </c>
    </row>
    <row r="79" spans="1:10" ht="14.95" thickBot="1" x14ac:dyDescent="0.3">
      <c r="A79" s="35" t="s">
        <v>33</v>
      </c>
      <c r="B79" s="283">
        <v>0</v>
      </c>
      <c r="C79" s="380">
        <v>0</v>
      </c>
      <c r="D79" s="66">
        <v>0</v>
      </c>
      <c r="E79" s="36">
        <f t="shared" si="3"/>
        <v>0</v>
      </c>
      <c r="F79" s="37" t="s">
        <v>33</v>
      </c>
      <c r="G79" s="289">
        <v>0</v>
      </c>
      <c r="H79" s="378">
        <v>0</v>
      </c>
      <c r="I79" s="16">
        <v>0</v>
      </c>
      <c r="J79" s="38">
        <f t="shared" si="4"/>
        <v>0</v>
      </c>
    </row>
    <row r="80" spans="1:10" ht="14.95" thickBot="1" x14ac:dyDescent="0.3">
      <c r="A80" s="35" t="s">
        <v>162</v>
      </c>
      <c r="B80" s="283">
        <v>0</v>
      </c>
      <c r="C80" s="380">
        <v>0</v>
      </c>
      <c r="D80" s="66">
        <v>0</v>
      </c>
      <c r="E80" s="36">
        <f t="shared" si="3"/>
        <v>0</v>
      </c>
      <c r="F80" s="37" t="s">
        <v>162</v>
      </c>
      <c r="G80" s="289">
        <v>0</v>
      </c>
      <c r="H80" s="378">
        <v>0</v>
      </c>
      <c r="I80" s="16">
        <v>0</v>
      </c>
      <c r="J80" s="38">
        <f t="shared" si="4"/>
        <v>0</v>
      </c>
    </row>
    <row r="81" spans="1:10" ht="14.95" thickBot="1" x14ac:dyDescent="0.3">
      <c r="A81" s="35" t="s">
        <v>31</v>
      </c>
      <c r="B81" s="283">
        <v>0</v>
      </c>
      <c r="C81" s="380">
        <v>0</v>
      </c>
      <c r="D81" s="66">
        <v>0</v>
      </c>
      <c r="E81" s="36">
        <f t="shared" si="3"/>
        <v>0</v>
      </c>
      <c r="F81" s="37" t="s">
        <v>31</v>
      </c>
      <c r="G81" s="289">
        <v>0</v>
      </c>
      <c r="H81" s="378">
        <v>0</v>
      </c>
      <c r="I81" s="16">
        <v>0</v>
      </c>
      <c r="J81" s="38">
        <f t="shared" si="4"/>
        <v>0</v>
      </c>
    </row>
    <row r="82" spans="1:10" ht="14.95" thickBot="1" x14ac:dyDescent="0.3">
      <c r="A82" s="35" t="s">
        <v>687</v>
      </c>
      <c r="B82" s="283">
        <v>0</v>
      </c>
      <c r="C82" s="380">
        <v>0</v>
      </c>
      <c r="D82" s="66">
        <v>0</v>
      </c>
      <c r="E82" s="36">
        <f t="shared" si="3"/>
        <v>0</v>
      </c>
      <c r="F82" s="37" t="s">
        <v>687</v>
      </c>
      <c r="G82" s="289">
        <v>0</v>
      </c>
      <c r="H82" s="378">
        <v>0</v>
      </c>
      <c r="I82" s="16">
        <v>0</v>
      </c>
      <c r="J82" s="38">
        <f t="shared" si="4"/>
        <v>0</v>
      </c>
    </row>
    <row r="83" spans="1:10" ht="14.95" thickBot="1" x14ac:dyDescent="0.3">
      <c r="A83" s="35" t="s">
        <v>36</v>
      </c>
      <c r="B83" s="283">
        <v>0</v>
      </c>
      <c r="C83" s="380">
        <v>0</v>
      </c>
      <c r="D83" s="66">
        <v>0</v>
      </c>
      <c r="E83" s="36">
        <f t="shared" si="3"/>
        <v>0</v>
      </c>
      <c r="F83" s="37" t="s">
        <v>36</v>
      </c>
      <c r="G83" s="289">
        <v>0</v>
      </c>
      <c r="H83" s="378">
        <v>0</v>
      </c>
      <c r="I83" s="16">
        <v>0</v>
      </c>
      <c r="J83" s="38">
        <f t="shared" si="4"/>
        <v>0</v>
      </c>
    </row>
    <row r="84" spans="1:10" ht="14.95" thickBot="1" x14ac:dyDescent="0.3">
      <c r="A84" s="35" t="s">
        <v>163</v>
      </c>
      <c r="B84" s="283">
        <v>0</v>
      </c>
      <c r="C84" s="380">
        <v>0</v>
      </c>
      <c r="D84" s="66">
        <v>0</v>
      </c>
      <c r="E84" s="36">
        <f t="shared" si="3"/>
        <v>0</v>
      </c>
      <c r="F84" s="37" t="s">
        <v>163</v>
      </c>
      <c r="G84" s="289">
        <v>0</v>
      </c>
      <c r="H84" s="378">
        <v>0</v>
      </c>
      <c r="I84" s="16">
        <v>0</v>
      </c>
      <c r="J84" s="38">
        <f t="shared" si="4"/>
        <v>0</v>
      </c>
    </row>
    <row r="85" spans="1:10" ht="14.95" thickBot="1" x14ac:dyDescent="0.3">
      <c r="A85" s="35" t="s">
        <v>38</v>
      </c>
      <c r="B85" s="283">
        <v>0</v>
      </c>
      <c r="C85" s="380">
        <v>0</v>
      </c>
      <c r="D85" s="66">
        <v>0</v>
      </c>
      <c r="E85" s="36">
        <f t="shared" si="3"/>
        <v>0</v>
      </c>
      <c r="F85" s="37" t="s">
        <v>38</v>
      </c>
      <c r="G85" s="289">
        <v>0</v>
      </c>
      <c r="H85" s="378">
        <v>0</v>
      </c>
      <c r="I85" s="16">
        <v>0</v>
      </c>
      <c r="J85" s="38">
        <f t="shared" si="4"/>
        <v>0</v>
      </c>
    </row>
    <row r="86" spans="1:10" ht="14.95" thickBot="1" x14ac:dyDescent="0.3">
      <c r="A86" s="35" t="s">
        <v>164</v>
      </c>
      <c r="B86" s="283">
        <v>0</v>
      </c>
      <c r="C86" s="380">
        <v>0</v>
      </c>
      <c r="D86" s="66">
        <v>0</v>
      </c>
      <c r="E86" s="36">
        <f t="shared" si="3"/>
        <v>0</v>
      </c>
      <c r="F86" s="37" t="s">
        <v>164</v>
      </c>
      <c r="G86" s="289">
        <v>0</v>
      </c>
      <c r="H86" s="378">
        <v>0</v>
      </c>
      <c r="I86" s="16">
        <v>0</v>
      </c>
      <c r="J86" s="38">
        <f t="shared" si="4"/>
        <v>0</v>
      </c>
    </row>
    <row r="87" spans="1:10" ht="14.95" thickBot="1" x14ac:dyDescent="0.3">
      <c r="A87" s="35" t="s">
        <v>32</v>
      </c>
      <c r="B87" s="283">
        <v>0</v>
      </c>
      <c r="C87" s="380">
        <v>0</v>
      </c>
      <c r="D87" s="66">
        <v>0</v>
      </c>
      <c r="E87" s="36">
        <f t="shared" si="3"/>
        <v>0</v>
      </c>
      <c r="F87" s="37" t="s">
        <v>32</v>
      </c>
      <c r="G87" s="289">
        <v>0</v>
      </c>
      <c r="H87" s="378">
        <v>0</v>
      </c>
      <c r="I87" s="16">
        <v>0</v>
      </c>
      <c r="J87" s="38">
        <f t="shared" si="4"/>
        <v>0</v>
      </c>
    </row>
    <row r="88" spans="1:10" ht="14.95" thickBot="1" x14ac:dyDescent="0.3">
      <c r="A88" s="35" t="s">
        <v>165</v>
      </c>
      <c r="B88" s="283">
        <v>0</v>
      </c>
      <c r="C88" s="380">
        <v>0</v>
      </c>
      <c r="D88" s="66">
        <v>0</v>
      </c>
      <c r="E88" s="36">
        <f t="shared" si="3"/>
        <v>0</v>
      </c>
      <c r="F88" s="37" t="s">
        <v>165</v>
      </c>
      <c r="G88" s="289">
        <v>0</v>
      </c>
      <c r="H88" s="378">
        <v>0</v>
      </c>
      <c r="I88" s="16">
        <v>0</v>
      </c>
      <c r="J88" s="38">
        <f t="shared" si="4"/>
        <v>0</v>
      </c>
    </row>
    <row r="89" spans="1:10" ht="14.95" thickBot="1" x14ac:dyDescent="0.3">
      <c r="A89" s="35" t="s">
        <v>3</v>
      </c>
      <c r="B89" s="283">
        <f>SUM(B48:B88)</f>
        <v>4</v>
      </c>
      <c r="C89" s="380">
        <f>SUM(C48:C88)</f>
        <v>0</v>
      </c>
      <c r="D89" s="86">
        <f>SUM(D48:D88)</f>
        <v>0</v>
      </c>
      <c r="E89" s="36">
        <f t="shared" ref="E89" si="5">SUM(B89:D89)</f>
        <v>4</v>
      </c>
      <c r="F89" s="37" t="s">
        <v>3</v>
      </c>
      <c r="G89" s="289">
        <f>SUM(G48:G88)</f>
        <v>31</v>
      </c>
      <c r="H89" s="378">
        <f>SUM(H48:H88)</f>
        <v>0</v>
      </c>
      <c r="I89" s="87">
        <f>SUM(I48:I88)</f>
        <v>0</v>
      </c>
      <c r="J89" s="38">
        <f t="shared" ref="J89" si="6">SUM(G89:I89)</f>
        <v>31</v>
      </c>
    </row>
    <row r="90" spans="1:10" ht="16.3" x14ac:dyDescent="0.3">
      <c r="A90" s="524" t="s">
        <v>10</v>
      </c>
      <c r="B90" s="525"/>
      <c r="C90" s="525"/>
      <c r="D90" s="525"/>
      <c r="E90" s="525"/>
    </row>
  </sheetData>
  <sortState xmlns:xlrd2="http://schemas.microsoft.com/office/spreadsheetml/2017/richdata2" ref="F48:J88">
    <sortCondition descending="1" ref="J48:J88"/>
  </sortState>
  <mergeCells count="23">
    <mergeCell ref="A90:E90"/>
    <mergeCell ref="A1:J1"/>
    <mergeCell ref="K1:K2"/>
    <mergeCell ref="L1:N2"/>
    <mergeCell ref="K13:K14"/>
    <mergeCell ref="K19:K20"/>
    <mergeCell ref="L19:N20"/>
    <mergeCell ref="K8:K9"/>
    <mergeCell ref="L8:N9"/>
    <mergeCell ref="L13:N14"/>
    <mergeCell ref="S1:U2"/>
    <mergeCell ref="R8:T9"/>
    <mergeCell ref="O19:Q20"/>
    <mergeCell ref="AD1:AF2"/>
    <mergeCell ref="O8:Q9"/>
    <mergeCell ref="V1:X2"/>
    <mergeCell ref="U8:W9"/>
    <mergeCell ref="O1:Q2"/>
    <mergeCell ref="R1:R2"/>
    <mergeCell ref="O13:Q14"/>
    <mergeCell ref="AA1:AC2"/>
    <mergeCell ref="AA8:AC9"/>
    <mergeCell ref="R19:T2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ACC9-87BB-4B2D-8725-A2ED2E41EA23}">
  <dimension ref="A1:AC94"/>
  <sheetViews>
    <sheetView workbookViewId="0">
      <selection activeCell="D10" sqref="D10"/>
    </sheetView>
  </sheetViews>
  <sheetFormatPr defaultRowHeight="14.3" x14ac:dyDescent="0.25"/>
  <cols>
    <col min="1" max="1" width="16.75" customWidth="1"/>
    <col min="2" max="2" width="5" bestFit="1" customWidth="1"/>
    <col min="3" max="3" width="4.875" customWidth="1"/>
    <col min="4" max="5" width="4.5" customWidth="1"/>
    <col min="6" max="6" width="16.75" customWidth="1"/>
    <col min="7" max="7" width="5" bestFit="1" customWidth="1"/>
    <col min="8" max="8" width="4.875" customWidth="1"/>
    <col min="9" max="10" width="4.5" customWidth="1"/>
    <col min="11" max="11" width="16.75" customWidth="1"/>
    <col min="12" max="18" width="5.75" customWidth="1"/>
    <col min="19" max="21" width="5.5" customWidth="1"/>
    <col min="22" max="24" width="5.625" customWidth="1"/>
    <col min="27" max="29" width="5.625" customWidth="1"/>
  </cols>
  <sheetData>
    <row r="1" spans="1:29" ht="14.95" customHeight="1" thickBot="1" x14ac:dyDescent="0.3">
      <c r="A1" s="617" t="s">
        <v>1005</v>
      </c>
      <c r="B1" s="618"/>
      <c r="C1" s="618"/>
      <c r="D1" s="618"/>
      <c r="E1" s="618"/>
      <c r="F1" s="618"/>
      <c r="G1" s="618"/>
      <c r="H1" s="618"/>
      <c r="I1" s="618"/>
      <c r="J1" s="619"/>
      <c r="K1" s="614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  <c r="S1" s="516">
        <v>2024</v>
      </c>
      <c r="T1" s="517"/>
      <c r="U1" s="518"/>
      <c r="V1" s="516">
        <v>2023</v>
      </c>
      <c r="W1" s="517"/>
      <c r="X1" s="518"/>
      <c r="AA1" s="516">
        <v>2022</v>
      </c>
      <c r="AB1" s="517"/>
      <c r="AC1" s="518"/>
    </row>
    <row r="2" spans="1:29" ht="14.95" customHeight="1" thickBot="1" x14ac:dyDescent="0.3">
      <c r="A2" s="157" t="s">
        <v>0</v>
      </c>
      <c r="B2" s="170" t="s">
        <v>435</v>
      </c>
      <c r="C2" s="320" t="s">
        <v>720</v>
      </c>
      <c r="D2" s="161" t="s">
        <v>11</v>
      </c>
      <c r="E2" s="159" t="s">
        <v>1</v>
      </c>
      <c r="F2" s="69" t="s">
        <v>2</v>
      </c>
      <c r="G2" s="172" t="s">
        <v>435</v>
      </c>
      <c r="H2" s="306" t="s">
        <v>720</v>
      </c>
      <c r="I2" s="103" t="s">
        <v>11</v>
      </c>
      <c r="J2" s="70" t="s">
        <v>1</v>
      </c>
      <c r="K2" s="615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AA2" s="519"/>
      <c r="AB2" s="520"/>
      <c r="AC2" s="521"/>
    </row>
    <row r="3" spans="1:29" ht="14.95" customHeight="1" thickBot="1" x14ac:dyDescent="0.3">
      <c r="A3" s="158" t="s">
        <v>368</v>
      </c>
      <c r="B3" s="171">
        <v>0</v>
      </c>
      <c r="C3" s="321">
        <v>0</v>
      </c>
      <c r="D3" s="162">
        <v>0</v>
      </c>
      <c r="E3" s="160">
        <f t="shared" ref="E3:E46" si="0">SUM(B3:D3)</f>
        <v>0</v>
      </c>
      <c r="F3" s="13" t="s">
        <v>368</v>
      </c>
      <c r="G3" s="173">
        <v>0</v>
      </c>
      <c r="H3" s="307">
        <v>0</v>
      </c>
      <c r="I3" s="104">
        <v>0</v>
      </c>
      <c r="J3" s="15">
        <f t="shared" ref="J3:J46" si="1">SUM(G3:I3)</f>
        <v>0</v>
      </c>
      <c r="K3" s="163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0" t="s">
        <v>17</v>
      </c>
      <c r="AB3" s="59" t="s">
        <v>5</v>
      </c>
      <c r="AC3" s="59" t="s">
        <v>6</v>
      </c>
    </row>
    <row r="4" spans="1:29" ht="14.95" customHeight="1" thickBot="1" x14ac:dyDescent="0.3">
      <c r="A4" s="158" t="s">
        <v>805</v>
      </c>
      <c r="B4" s="171">
        <v>0</v>
      </c>
      <c r="C4" s="321">
        <v>0</v>
      </c>
      <c r="D4" s="162">
        <v>0</v>
      </c>
      <c r="E4" s="160">
        <f t="shared" si="0"/>
        <v>0</v>
      </c>
      <c r="F4" s="13" t="s">
        <v>805</v>
      </c>
      <c r="G4" s="173">
        <v>0</v>
      </c>
      <c r="H4" s="307">
        <v>0</v>
      </c>
      <c r="I4" s="104">
        <v>0</v>
      </c>
      <c r="J4" s="15">
        <f t="shared" si="1"/>
        <v>0</v>
      </c>
      <c r="K4" s="205" t="s">
        <v>370</v>
      </c>
      <c r="L4" s="160">
        <v>6</v>
      </c>
      <c r="M4" s="160">
        <v>13</v>
      </c>
      <c r="N4" s="164">
        <f>SUM(L4/M4)*100</f>
        <v>46.153846153846153</v>
      </c>
      <c r="O4" s="160" t="s">
        <v>8</v>
      </c>
      <c r="P4" s="160" t="s">
        <v>8</v>
      </c>
      <c r="Q4" s="164" t="s">
        <v>8</v>
      </c>
      <c r="R4" s="160">
        <v>-3</v>
      </c>
      <c r="S4" s="59">
        <v>14</v>
      </c>
      <c r="T4" s="59">
        <v>33</v>
      </c>
      <c r="U4" s="117">
        <v>42.424242424242422</v>
      </c>
      <c r="V4" s="59">
        <v>3</v>
      </c>
      <c r="W4" s="59">
        <v>7</v>
      </c>
      <c r="X4" s="117">
        <f>SUM(V4/W4)*100</f>
        <v>42.857142857142854</v>
      </c>
      <c r="AA4" s="260" t="s">
        <v>8</v>
      </c>
      <c r="AB4" s="59" t="s">
        <v>8</v>
      </c>
      <c r="AC4" s="59" t="s">
        <v>8</v>
      </c>
    </row>
    <row r="5" spans="1:29" ht="14.95" customHeight="1" thickBot="1" x14ac:dyDescent="0.3">
      <c r="A5" s="158" t="s">
        <v>262</v>
      </c>
      <c r="B5" s="171">
        <v>0</v>
      </c>
      <c r="C5" s="321">
        <v>0</v>
      </c>
      <c r="D5" s="162">
        <v>0</v>
      </c>
      <c r="E5" s="160">
        <f t="shared" si="0"/>
        <v>0</v>
      </c>
      <c r="F5" s="14" t="s">
        <v>262</v>
      </c>
      <c r="G5" s="173">
        <v>0</v>
      </c>
      <c r="H5" s="307">
        <v>0</v>
      </c>
      <c r="I5" s="104">
        <v>0</v>
      </c>
      <c r="J5" s="15">
        <f t="shared" si="1"/>
        <v>0</v>
      </c>
      <c r="K5" s="158" t="s">
        <v>492</v>
      </c>
      <c r="L5" s="160">
        <v>14</v>
      </c>
      <c r="M5" s="160">
        <v>21</v>
      </c>
      <c r="N5" s="164">
        <f>SUM(L5/M5)*100</f>
        <v>66.666666666666657</v>
      </c>
      <c r="O5" s="160">
        <v>1</v>
      </c>
      <c r="P5" s="160">
        <v>3</v>
      </c>
      <c r="Q5" s="164">
        <f t="shared" ref="Q5" si="2">SUM(O5/P5)*100</f>
        <v>33.333333333333329</v>
      </c>
      <c r="R5" s="202">
        <v>1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AA5" s="260" t="s">
        <v>8</v>
      </c>
      <c r="AB5" s="59" t="s">
        <v>8</v>
      </c>
      <c r="AC5" s="59" t="s">
        <v>8</v>
      </c>
    </row>
    <row r="6" spans="1:29" ht="14.95" customHeight="1" thickBot="1" x14ac:dyDescent="0.3">
      <c r="A6" s="158" t="s">
        <v>369</v>
      </c>
      <c r="B6" s="171">
        <v>0</v>
      </c>
      <c r="C6" s="321">
        <v>0</v>
      </c>
      <c r="D6" s="162">
        <v>0</v>
      </c>
      <c r="E6" s="160">
        <f t="shared" si="0"/>
        <v>0</v>
      </c>
      <c r="F6" s="14" t="s">
        <v>369</v>
      </c>
      <c r="G6" s="173">
        <v>0</v>
      </c>
      <c r="H6" s="307">
        <v>0</v>
      </c>
      <c r="I6" s="104">
        <v>0</v>
      </c>
      <c r="J6" s="15">
        <f t="shared" si="1"/>
        <v>0</v>
      </c>
      <c r="K6" s="158" t="s">
        <v>269</v>
      </c>
      <c r="L6" s="160" t="s">
        <v>8</v>
      </c>
      <c r="M6" s="160" t="s">
        <v>8</v>
      </c>
      <c r="N6" s="164" t="s">
        <v>8</v>
      </c>
      <c r="O6" s="160" t="s">
        <v>8</v>
      </c>
      <c r="P6" s="160" t="s">
        <v>8</v>
      </c>
      <c r="Q6" s="164" t="s">
        <v>8</v>
      </c>
      <c r="R6" s="202">
        <v>3</v>
      </c>
      <c r="S6" s="59" t="s">
        <v>8</v>
      </c>
      <c r="T6" s="59" t="s">
        <v>8</v>
      </c>
      <c r="U6" s="117" t="s">
        <v>8</v>
      </c>
      <c r="V6" s="59" t="s">
        <v>8</v>
      </c>
      <c r="W6" s="59" t="s">
        <v>8</v>
      </c>
      <c r="X6" s="117" t="s">
        <v>8</v>
      </c>
      <c r="AA6" s="260">
        <v>3</v>
      </c>
      <c r="AB6" s="59">
        <v>3</v>
      </c>
      <c r="AC6" s="117">
        <f>SUM(AA6/AB6)*100</f>
        <v>100</v>
      </c>
    </row>
    <row r="7" spans="1:29" ht="14.95" customHeight="1" thickBot="1" x14ac:dyDescent="0.3">
      <c r="A7" s="158" t="s">
        <v>370</v>
      </c>
      <c r="B7" s="171">
        <v>0</v>
      </c>
      <c r="C7" s="321">
        <v>0</v>
      </c>
      <c r="D7" s="162">
        <v>0</v>
      </c>
      <c r="E7" s="160">
        <f t="shared" si="0"/>
        <v>0</v>
      </c>
      <c r="F7" s="14" t="s">
        <v>370</v>
      </c>
      <c r="G7" s="173">
        <v>0</v>
      </c>
      <c r="H7" s="307">
        <v>0</v>
      </c>
      <c r="I7" s="104">
        <v>0</v>
      </c>
      <c r="J7" s="15">
        <f t="shared" si="1"/>
        <v>0</v>
      </c>
      <c r="K7" s="158" t="s">
        <v>372</v>
      </c>
      <c r="L7" s="160" t="s">
        <v>8</v>
      </c>
      <c r="M7" s="160" t="s">
        <v>8</v>
      </c>
      <c r="N7" s="164" t="s">
        <v>8</v>
      </c>
      <c r="O7" s="160" t="s">
        <v>8</v>
      </c>
      <c r="P7" s="160" t="s">
        <v>8</v>
      </c>
      <c r="Q7" s="164" t="s">
        <v>8</v>
      </c>
      <c r="R7" s="202">
        <v>3</v>
      </c>
      <c r="S7" s="59" t="s">
        <v>8</v>
      </c>
      <c r="T7" s="59" t="s">
        <v>8</v>
      </c>
      <c r="U7" s="117" t="s">
        <v>8</v>
      </c>
      <c r="V7" s="59">
        <v>31</v>
      </c>
      <c r="W7" s="59">
        <v>60</v>
      </c>
      <c r="X7" s="117">
        <f>SUM(V7/W7)*100</f>
        <v>51.666666666666671</v>
      </c>
      <c r="AA7" s="260">
        <v>36</v>
      </c>
      <c r="AB7" s="59">
        <v>49</v>
      </c>
      <c r="AC7" s="117">
        <f>SUM(AA7/AB7)*100</f>
        <v>73.469387755102048</v>
      </c>
    </row>
    <row r="8" spans="1:29" ht="14.95" customHeight="1" thickBot="1" x14ac:dyDescent="0.3">
      <c r="A8" s="158" t="s">
        <v>492</v>
      </c>
      <c r="B8" s="171">
        <v>0</v>
      </c>
      <c r="C8" s="321">
        <v>0</v>
      </c>
      <c r="D8" s="162">
        <v>0</v>
      </c>
      <c r="E8" s="160">
        <f t="shared" si="0"/>
        <v>0</v>
      </c>
      <c r="F8" s="14" t="s">
        <v>492</v>
      </c>
      <c r="G8" s="173">
        <v>0</v>
      </c>
      <c r="H8" s="307">
        <v>0</v>
      </c>
      <c r="I8" s="104">
        <v>0</v>
      </c>
      <c r="J8" s="15">
        <f t="shared" si="1"/>
        <v>0</v>
      </c>
      <c r="K8" s="158" t="s">
        <v>261</v>
      </c>
      <c r="L8" s="160">
        <v>1</v>
      </c>
      <c r="M8" s="160">
        <v>2</v>
      </c>
      <c r="N8" s="164">
        <f>SUM(L8/M8)*100</f>
        <v>50</v>
      </c>
      <c r="O8" s="160" t="s">
        <v>8</v>
      </c>
      <c r="P8" s="160" t="s">
        <v>8</v>
      </c>
      <c r="Q8" s="164" t="s">
        <v>8</v>
      </c>
      <c r="R8" s="202">
        <v>-1</v>
      </c>
      <c r="S8" s="59" t="s">
        <v>8</v>
      </c>
      <c r="T8" s="59" t="s">
        <v>8</v>
      </c>
      <c r="U8" s="117" t="s">
        <v>8</v>
      </c>
      <c r="V8" s="59" t="s">
        <v>8</v>
      </c>
      <c r="W8" s="59" t="s">
        <v>8</v>
      </c>
      <c r="X8" s="117" t="s">
        <v>8</v>
      </c>
      <c r="AA8" s="260" t="s">
        <v>8</v>
      </c>
      <c r="AB8" s="59" t="s">
        <v>8</v>
      </c>
      <c r="AC8" s="59" t="s">
        <v>8</v>
      </c>
    </row>
    <row r="9" spans="1:29" ht="14.95" customHeight="1" thickBot="1" x14ac:dyDescent="0.3">
      <c r="A9" s="158" t="s">
        <v>267</v>
      </c>
      <c r="B9" s="171">
        <v>0</v>
      </c>
      <c r="C9" s="321">
        <v>0</v>
      </c>
      <c r="D9" s="162">
        <v>0</v>
      </c>
      <c r="E9" s="160">
        <f t="shared" si="0"/>
        <v>0</v>
      </c>
      <c r="F9" s="14" t="s">
        <v>267</v>
      </c>
      <c r="G9" s="173">
        <v>0</v>
      </c>
      <c r="H9" s="307">
        <v>0</v>
      </c>
      <c r="I9" s="104">
        <v>0</v>
      </c>
      <c r="J9" s="15">
        <f t="shared" si="1"/>
        <v>0</v>
      </c>
      <c r="K9" s="158" t="s">
        <v>378</v>
      </c>
      <c r="L9" s="160">
        <v>1</v>
      </c>
      <c r="M9" s="160">
        <v>1</v>
      </c>
      <c r="N9" s="164">
        <f t="shared" ref="N9" si="3">SUM(L9/M9)*100</f>
        <v>100</v>
      </c>
      <c r="O9" s="160" t="s">
        <v>8</v>
      </c>
      <c r="P9" s="160" t="s">
        <v>8</v>
      </c>
      <c r="Q9" s="164" t="s">
        <v>8</v>
      </c>
      <c r="R9" s="259">
        <v>1</v>
      </c>
      <c r="S9" s="59" t="s">
        <v>8</v>
      </c>
      <c r="T9" s="59" t="s">
        <v>8</v>
      </c>
      <c r="U9" s="117" t="s">
        <v>8</v>
      </c>
      <c r="V9" s="59" t="s">
        <v>8</v>
      </c>
      <c r="W9" s="59" t="s">
        <v>8</v>
      </c>
      <c r="X9" s="117" t="s">
        <v>8</v>
      </c>
      <c r="AA9" s="185" t="s">
        <v>8</v>
      </c>
      <c r="AB9" s="59" t="s">
        <v>8</v>
      </c>
      <c r="AC9" s="117" t="s">
        <v>8</v>
      </c>
    </row>
    <row r="10" spans="1:29" ht="14.95" customHeight="1" thickBot="1" x14ac:dyDescent="0.3">
      <c r="A10" s="158" t="s">
        <v>493</v>
      </c>
      <c r="B10" s="171">
        <v>0</v>
      </c>
      <c r="C10" s="321">
        <v>0</v>
      </c>
      <c r="D10" s="162">
        <v>0</v>
      </c>
      <c r="E10" s="160">
        <f t="shared" si="0"/>
        <v>0</v>
      </c>
      <c r="F10" s="14" t="s">
        <v>493</v>
      </c>
      <c r="G10" s="173">
        <v>0</v>
      </c>
      <c r="H10" s="307">
        <v>0</v>
      </c>
      <c r="I10" s="104">
        <v>0</v>
      </c>
      <c r="J10" s="15">
        <f t="shared" si="1"/>
        <v>0</v>
      </c>
      <c r="K10" s="158" t="s">
        <v>232</v>
      </c>
      <c r="L10" s="160" t="s">
        <v>8</v>
      </c>
      <c r="M10" s="160" t="s">
        <v>8</v>
      </c>
      <c r="N10" s="164" t="s">
        <v>8</v>
      </c>
      <c r="O10" s="160" t="s">
        <v>8</v>
      </c>
      <c r="P10" s="160" t="s">
        <v>8</v>
      </c>
      <c r="Q10" s="164" t="s">
        <v>8</v>
      </c>
      <c r="R10" s="259">
        <v>1</v>
      </c>
      <c r="S10" s="59">
        <v>5</v>
      </c>
      <c r="T10" s="59">
        <v>7</v>
      </c>
      <c r="U10" s="117">
        <v>71.428571428571431</v>
      </c>
      <c r="V10" s="59" t="s">
        <v>8</v>
      </c>
      <c r="W10" s="59" t="s">
        <v>8</v>
      </c>
      <c r="X10" s="117" t="s">
        <v>8</v>
      </c>
      <c r="AA10" s="260" t="s">
        <v>8</v>
      </c>
      <c r="AB10" s="59" t="s">
        <v>8</v>
      </c>
      <c r="AC10" s="117" t="s">
        <v>8</v>
      </c>
    </row>
    <row r="11" spans="1:29" ht="14.95" customHeight="1" thickBot="1" x14ac:dyDescent="0.3">
      <c r="A11" s="158" t="s">
        <v>806</v>
      </c>
      <c r="B11" s="171">
        <v>0</v>
      </c>
      <c r="C11" s="321">
        <v>0</v>
      </c>
      <c r="D11" s="162">
        <v>0</v>
      </c>
      <c r="E11" s="160">
        <f t="shared" si="0"/>
        <v>0</v>
      </c>
      <c r="F11" s="14" t="s">
        <v>806</v>
      </c>
      <c r="G11" s="173">
        <v>0</v>
      </c>
      <c r="H11" s="307">
        <v>0</v>
      </c>
      <c r="I11" s="104">
        <v>0</v>
      </c>
      <c r="J11" s="15">
        <f t="shared" si="1"/>
        <v>0</v>
      </c>
      <c r="K11" s="205" t="s">
        <v>431</v>
      </c>
      <c r="L11" s="160">
        <v>13</v>
      </c>
      <c r="M11" s="160">
        <v>18</v>
      </c>
      <c r="N11" s="164">
        <f>SUM(L11/M11)*100</f>
        <v>72.222222222222214</v>
      </c>
      <c r="O11" s="160" t="s">
        <v>8</v>
      </c>
      <c r="P11" s="160" t="s">
        <v>8</v>
      </c>
      <c r="Q11" s="164" t="s">
        <v>8</v>
      </c>
      <c r="R11" s="160">
        <v>-1</v>
      </c>
      <c r="S11" s="59">
        <v>6</v>
      </c>
      <c r="T11" s="59">
        <v>11</v>
      </c>
      <c r="U11" s="59">
        <v>55</v>
      </c>
      <c r="V11" s="59">
        <v>2</v>
      </c>
      <c r="W11" s="59">
        <v>4</v>
      </c>
      <c r="X11" s="59">
        <f>SUM(V11/W11)*100</f>
        <v>50</v>
      </c>
      <c r="AA11" s="260" t="s">
        <v>8</v>
      </c>
      <c r="AB11" s="59" t="s">
        <v>8</v>
      </c>
      <c r="AC11" s="59" t="s">
        <v>8</v>
      </c>
    </row>
    <row r="12" spans="1:29" ht="14.95" customHeight="1" thickBot="1" x14ac:dyDescent="0.3">
      <c r="A12" s="158" t="s">
        <v>265</v>
      </c>
      <c r="B12" s="171">
        <v>0</v>
      </c>
      <c r="C12" s="321">
        <v>0</v>
      </c>
      <c r="D12" s="162">
        <v>0</v>
      </c>
      <c r="E12" s="160">
        <f t="shared" si="0"/>
        <v>0</v>
      </c>
      <c r="F12" s="14" t="s">
        <v>265</v>
      </c>
      <c r="G12" s="173">
        <v>0</v>
      </c>
      <c r="H12" s="307">
        <v>0</v>
      </c>
      <c r="I12" s="104">
        <v>0</v>
      </c>
      <c r="J12" s="15">
        <f t="shared" si="1"/>
        <v>0</v>
      </c>
      <c r="K12" s="45"/>
      <c r="L12" s="45"/>
      <c r="M12" s="45"/>
      <c r="N12" s="45"/>
      <c r="O12" s="45"/>
      <c r="P12" s="45"/>
      <c r="Q12" s="45"/>
    </row>
    <row r="13" spans="1:29" ht="14.95" customHeight="1" thickBot="1" x14ac:dyDescent="0.3">
      <c r="A13" s="158" t="s">
        <v>531</v>
      </c>
      <c r="B13" s="171">
        <v>0</v>
      </c>
      <c r="C13" s="321">
        <v>0</v>
      </c>
      <c r="D13" s="162">
        <v>0</v>
      </c>
      <c r="E13" s="160">
        <f t="shared" si="0"/>
        <v>0</v>
      </c>
      <c r="F13" s="14" t="s">
        <v>531</v>
      </c>
      <c r="G13" s="173">
        <v>0</v>
      </c>
      <c r="H13" s="307">
        <v>0</v>
      </c>
      <c r="I13" s="104">
        <v>0</v>
      </c>
      <c r="J13" s="15">
        <f t="shared" si="1"/>
        <v>0</v>
      </c>
      <c r="K13" s="614" t="s">
        <v>804</v>
      </c>
      <c r="L13" s="502">
        <v>2025</v>
      </c>
      <c r="M13" s="503"/>
      <c r="N13" s="504"/>
      <c r="O13" s="516">
        <v>2024</v>
      </c>
      <c r="P13" s="517"/>
      <c r="Q13" s="518"/>
      <c r="R13" s="516">
        <v>2023</v>
      </c>
      <c r="S13" s="517"/>
      <c r="T13" s="518"/>
      <c r="U13" s="516">
        <v>2022</v>
      </c>
      <c r="V13" s="517"/>
      <c r="W13" s="518"/>
    </row>
    <row r="14" spans="1:29" ht="14.95" customHeight="1" thickBot="1" x14ac:dyDescent="0.3">
      <c r="A14" s="158" t="s">
        <v>398</v>
      </c>
      <c r="B14" s="171">
        <v>0</v>
      </c>
      <c r="C14" s="321">
        <v>0</v>
      </c>
      <c r="D14" s="162">
        <v>0</v>
      </c>
      <c r="E14" s="160">
        <f t="shared" si="0"/>
        <v>0</v>
      </c>
      <c r="F14" s="14" t="s">
        <v>398</v>
      </c>
      <c r="G14" s="173">
        <v>0</v>
      </c>
      <c r="H14" s="307">
        <v>0</v>
      </c>
      <c r="I14" s="104">
        <v>0</v>
      </c>
      <c r="J14" s="15">
        <f t="shared" si="1"/>
        <v>0</v>
      </c>
      <c r="K14" s="615"/>
      <c r="L14" s="505"/>
      <c r="M14" s="506"/>
      <c r="N14" s="507"/>
      <c r="O14" s="519"/>
      <c r="P14" s="520"/>
      <c r="Q14" s="521"/>
      <c r="R14" s="519"/>
      <c r="S14" s="520"/>
      <c r="T14" s="521"/>
      <c r="U14" s="519"/>
      <c r="V14" s="520"/>
      <c r="W14" s="521"/>
    </row>
    <row r="15" spans="1:29" ht="14.95" customHeight="1" thickBot="1" x14ac:dyDescent="0.3">
      <c r="A15" s="158" t="s">
        <v>371</v>
      </c>
      <c r="B15" s="171">
        <v>0</v>
      </c>
      <c r="C15" s="321">
        <v>0</v>
      </c>
      <c r="D15" s="162">
        <v>0</v>
      </c>
      <c r="E15" s="160">
        <f t="shared" si="0"/>
        <v>0</v>
      </c>
      <c r="F15" s="14" t="s">
        <v>371</v>
      </c>
      <c r="G15" s="173">
        <v>0</v>
      </c>
      <c r="H15" s="307">
        <v>0</v>
      </c>
      <c r="I15" s="104">
        <v>0</v>
      </c>
      <c r="J15" s="15">
        <f t="shared" si="1"/>
        <v>0</v>
      </c>
      <c r="K15" s="163"/>
      <c r="L15" s="29" t="s">
        <v>17</v>
      </c>
      <c r="M15" s="29" t="s">
        <v>5</v>
      </c>
      <c r="N15" s="29" t="s">
        <v>6</v>
      </c>
      <c r="O15" s="59" t="s">
        <v>17</v>
      </c>
      <c r="P15" s="59" t="s">
        <v>5</v>
      </c>
      <c r="Q15" s="59" t="s">
        <v>6</v>
      </c>
      <c r="R15" s="59" t="s">
        <v>17</v>
      </c>
      <c r="S15" s="59" t="s">
        <v>5</v>
      </c>
      <c r="T15" s="59" t="s">
        <v>6</v>
      </c>
      <c r="U15" s="59" t="s">
        <v>17</v>
      </c>
      <c r="V15" s="59" t="s">
        <v>5</v>
      </c>
      <c r="W15" s="59" t="s">
        <v>6</v>
      </c>
    </row>
    <row r="16" spans="1:29" ht="14.95" customHeight="1" thickBot="1" x14ac:dyDescent="0.3">
      <c r="A16" s="158" t="s">
        <v>372</v>
      </c>
      <c r="B16" s="171">
        <v>0</v>
      </c>
      <c r="C16" s="321">
        <v>0</v>
      </c>
      <c r="D16" s="162">
        <v>0</v>
      </c>
      <c r="E16" s="160">
        <f t="shared" si="0"/>
        <v>0</v>
      </c>
      <c r="F16" s="14" t="s">
        <v>372</v>
      </c>
      <c r="G16" s="173">
        <v>0</v>
      </c>
      <c r="H16" s="307">
        <v>0</v>
      </c>
      <c r="I16" s="104">
        <v>0</v>
      </c>
      <c r="J16" s="15">
        <f t="shared" si="1"/>
        <v>0</v>
      </c>
      <c r="K16" s="205" t="s">
        <v>370</v>
      </c>
      <c r="L16" s="160" t="s">
        <v>8</v>
      </c>
      <c r="M16" s="160" t="s">
        <v>8</v>
      </c>
      <c r="N16" s="164" t="s">
        <v>8</v>
      </c>
      <c r="O16" s="59">
        <v>7</v>
      </c>
      <c r="P16" s="59">
        <v>19</v>
      </c>
      <c r="Q16" s="117">
        <f>SUM(O16/P16)*100</f>
        <v>36.84210526315789</v>
      </c>
      <c r="R16" s="59">
        <v>3</v>
      </c>
      <c r="S16" s="59">
        <v>7</v>
      </c>
      <c r="T16" s="117">
        <f>SUM(R16/S16)*100</f>
        <v>42.857142857142854</v>
      </c>
      <c r="U16" s="59" t="s">
        <v>8</v>
      </c>
      <c r="V16" s="59" t="s">
        <v>8</v>
      </c>
      <c r="W16" s="59" t="s">
        <v>8</v>
      </c>
    </row>
    <row r="17" spans="1:23" ht="14.95" customHeight="1" thickBot="1" x14ac:dyDescent="0.3">
      <c r="A17" s="158" t="s">
        <v>271</v>
      </c>
      <c r="B17" s="171">
        <v>0</v>
      </c>
      <c r="C17" s="321">
        <v>0</v>
      </c>
      <c r="D17" s="162">
        <v>0</v>
      </c>
      <c r="E17" s="160">
        <f t="shared" si="0"/>
        <v>0</v>
      </c>
      <c r="F17" s="14" t="s">
        <v>271</v>
      </c>
      <c r="G17" s="173">
        <v>0</v>
      </c>
      <c r="H17" s="307">
        <v>0</v>
      </c>
      <c r="I17" s="104">
        <v>0</v>
      </c>
      <c r="J17" s="15">
        <f t="shared" si="1"/>
        <v>0</v>
      </c>
      <c r="K17" s="205" t="s">
        <v>492</v>
      </c>
      <c r="L17" s="160">
        <v>1</v>
      </c>
      <c r="M17" s="160">
        <v>1</v>
      </c>
      <c r="N17" s="164">
        <f>SUM(L17/M17)*100</f>
        <v>100</v>
      </c>
      <c r="O17" s="59" t="s">
        <v>8</v>
      </c>
      <c r="P17" s="59" t="s">
        <v>8</v>
      </c>
      <c r="Q17" s="117" t="s">
        <v>8</v>
      </c>
      <c r="R17" s="59" t="s">
        <v>8</v>
      </c>
      <c r="S17" s="59" t="s">
        <v>8</v>
      </c>
      <c r="T17" s="117" t="s">
        <v>8</v>
      </c>
      <c r="U17" s="59" t="s">
        <v>8</v>
      </c>
      <c r="V17" s="59" t="s">
        <v>8</v>
      </c>
      <c r="W17" s="117" t="s">
        <v>8</v>
      </c>
    </row>
    <row r="18" spans="1:23" ht="14.95" customHeight="1" thickBot="1" x14ac:dyDescent="0.3">
      <c r="A18" s="158" t="s">
        <v>269</v>
      </c>
      <c r="B18" s="171">
        <v>0</v>
      </c>
      <c r="C18" s="321">
        <v>0</v>
      </c>
      <c r="D18" s="162">
        <v>0</v>
      </c>
      <c r="E18" s="160">
        <f t="shared" si="0"/>
        <v>0</v>
      </c>
      <c r="F18" s="14" t="s">
        <v>269</v>
      </c>
      <c r="G18" s="173">
        <v>0</v>
      </c>
      <c r="H18" s="307">
        <v>0</v>
      </c>
      <c r="I18" s="104">
        <v>0</v>
      </c>
      <c r="J18" s="15">
        <f t="shared" si="1"/>
        <v>0</v>
      </c>
      <c r="K18" s="158" t="s">
        <v>271</v>
      </c>
      <c r="L18" s="160" t="s">
        <v>8</v>
      </c>
      <c r="M18" s="160" t="s">
        <v>8</v>
      </c>
      <c r="N18" s="164" t="s">
        <v>8</v>
      </c>
      <c r="O18" s="59" t="s">
        <v>8</v>
      </c>
      <c r="P18" s="59" t="s">
        <v>8</v>
      </c>
      <c r="Q18" s="117" t="s">
        <v>8</v>
      </c>
      <c r="R18" s="59" t="s">
        <v>8</v>
      </c>
      <c r="S18" s="59" t="s">
        <v>8</v>
      </c>
      <c r="T18" s="117" t="s">
        <v>8</v>
      </c>
      <c r="U18" s="59">
        <v>4</v>
      </c>
      <c r="V18" s="59">
        <v>6</v>
      </c>
      <c r="W18" s="117">
        <f>SUM(U18/V18)*100</f>
        <v>66.666666666666657</v>
      </c>
    </row>
    <row r="19" spans="1:23" ht="14.95" customHeight="1" thickBot="1" x14ac:dyDescent="0.3">
      <c r="A19" s="158" t="s">
        <v>373</v>
      </c>
      <c r="B19" s="171">
        <v>0</v>
      </c>
      <c r="C19" s="321">
        <v>0</v>
      </c>
      <c r="D19" s="162">
        <v>0</v>
      </c>
      <c r="E19" s="160">
        <f t="shared" si="0"/>
        <v>0</v>
      </c>
      <c r="F19" s="14" t="s">
        <v>373</v>
      </c>
      <c r="G19" s="173">
        <v>0</v>
      </c>
      <c r="H19" s="307">
        <v>0</v>
      </c>
      <c r="I19" s="104">
        <v>0</v>
      </c>
      <c r="J19" s="15">
        <f t="shared" si="1"/>
        <v>0</v>
      </c>
      <c r="K19" s="158" t="s">
        <v>269</v>
      </c>
      <c r="L19" s="160" t="s">
        <v>8</v>
      </c>
      <c r="M19" s="160" t="s">
        <v>8</v>
      </c>
      <c r="N19" s="164" t="s">
        <v>8</v>
      </c>
      <c r="O19" s="59" t="s">
        <v>8</v>
      </c>
      <c r="P19" s="59" t="s">
        <v>8</v>
      </c>
      <c r="Q19" s="117" t="s">
        <v>8</v>
      </c>
      <c r="R19" s="59" t="s">
        <v>8</v>
      </c>
      <c r="S19" s="59" t="s">
        <v>8</v>
      </c>
      <c r="T19" s="117" t="s">
        <v>8</v>
      </c>
      <c r="U19" s="59">
        <v>3</v>
      </c>
      <c r="V19" s="59">
        <v>3</v>
      </c>
      <c r="W19" s="117">
        <f>SUM(U19/V19)*100</f>
        <v>100</v>
      </c>
    </row>
    <row r="20" spans="1:23" ht="14.95" customHeight="1" thickBot="1" x14ac:dyDescent="0.3">
      <c r="A20" s="158" t="s">
        <v>440</v>
      </c>
      <c r="B20" s="171">
        <v>0</v>
      </c>
      <c r="C20" s="321">
        <v>0</v>
      </c>
      <c r="D20" s="162">
        <v>0</v>
      </c>
      <c r="E20" s="160">
        <f t="shared" si="0"/>
        <v>0</v>
      </c>
      <c r="F20" s="14" t="s">
        <v>440</v>
      </c>
      <c r="G20" s="173">
        <v>0</v>
      </c>
      <c r="H20" s="307">
        <v>0</v>
      </c>
      <c r="I20" s="104">
        <v>0</v>
      </c>
      <c r="J20" s="15">
        <f t="shared" si="1"/>
        <v>0</v>
      </c>
      <c r="K20" s="158" t="s">
        <v>372</v>
      </c>
      <c r="L20" s="160" t="s">
        <v>8</v>
      </c>
      <c r="M20" s="160" t="s">
        <v>8</v>
      </c>
      <c r="N20" s="164" t="s">
        <v>8</v>
      </c>
      <c r="O20" s="59" t="s">
        <v>8</v>
      </c>
      <c r="P20" s="59" t="s">
        <v>8</v>
      </c>
      <c r="Q20" s="117" t="s">
        <v>8</v>
      </c>
      <c r="R20" s="59">
        <v>12</v>
      </c>
      <c r="S20" s="59">
        <v>27</v>
      </c>
      <c r="T20" s="117">
        <f>SUM(R20/S20)*100</f>
        <v>44.444444444444443</v>
      </c>
      <c r="U20" s="59">
        <v>18</v>
      </c>
      <c r="V20" s="59">
        <v>29</v>
      </c>
      <c r="W20" s="117">
        <f>SUM(U20/V20)*100</f>
        <v>62.068965517241381</v>
      </c>
    </row>
    <row r="21" spans="1:23" ht="14.95" customHeight="1" thickBot="1" x14ac:dyDescent="0.3">
      <c r="A21" s="158" t="s">
        <v>263</v>
      </c>
      <c r="B21" s="171">
        <v>0</v>
      </c>
      <c r="C21" s="321">
        <v>0</v>
      </c>
      <c r="D21" s="162">
        <v>0</v>
      </c>
      <c r="E21" s="160">
        <f t="shared" si="0"/>
        <v>0</v>
      </c>
      <c r="F21" s="14" t="s">
        <v>263</v>
      </c>
      <c r="G21" s="173">
        <v>0</v>
      </c>
      <c r="H21" s="307">
        <v>0</v>
      </c>
      <c r="I21" s="104">
        <v>0</v>
      </c>
      <c r="J21" s="15">
        <f t="shared" si="1"/>
        <v>0</v>
      </c>
      <c r="K21" s="205" t="s">
        <v>261</v>
      </c>
      <c r="L21" s="160">
        <v>1</v>
      </c>
      <c r="M21" s="160">
        <v>2</v>
      </c>
      <c r="N21" s="164">
        <f>SUM(L21/M21)*100</f>
        <v>50</v>
      </c>
      <c r="O21" s="59" t="s">
        <v>8</v>
      </c>
      <c r="P21" s="59" t="s">
        <v>8</v>
      </c>
      <c r="Q21" s="117" t="s">
        <v>8</v>
      </c>
      <c r="R21" s="59" t="s">
        <v>8</v>
      </c>
      <c r="S21" s="59" t="s">
        <v>8</v>
      </c>
      <c r="T21" s="117" t="s">
        <v>8</v>
      </c>
      <c r="U21" s="59" t="s">
        <v>8</v>
      </c>
      <c r="V21" s="59" t="s">
        <v>8</v>
      </c>
      <c r="W21" s="117" t="s">
        <v>8</v>
      </c>
    </row>
    <row r="22" spans="1:23" ht="14.95" customHeight="1" thickBot="1" x14ac:dyDescent="0.3">
      <c r="A22" s="158" t="s">
        <v>374</v>
      </c>
      <c r="B22" s="171">
        <v>0</v>
      </c>
      <c r="C22" s="321">
        <v>0</v>
      </c>
      <c r="D22" s="162">
        <v>0</v>
      </c>
      <c r="E22" s="160">
        <f t="shared" si="0"/>
        <v>0</v>
      </c>
      <c r="F22" s="14" t="s">
        <v>374</v>
      </c>
      <c r="G22" s="173">
        <v>0</v>
      </c>
      <c r="H22" s="307">
        <v>0</v>
      </c>
      <c r="I22" s="104">
        <v>0</v>
      </c>
      <c r="J22" s="15">
        <f t="shared" si="1"/>
        <v>0</v>
      </c>
      <c r="K22" s="158" t="s">
        <v>378</v>
      </c>
      <c r="L22" s="160">
        <v>1</v>
      </c>
      <c r="M22" s="160">
        <v>1</v>
      </c>
      <c r="N22" s="164">
        <f>SUM(L22/M22)*100</f>
        <v>100</v>
      </c>
      <c r="O22" s="59" t="s">
        <v>8</v>
      </c>
      <c r="P22" s="59" t="s">
        <v>8</v>
      </c>
      <c r="Q22" s="117" t="s">
        <v>8</v>
      </c>
      <c r="R22" s="59" t="s">
        <v>8</v>
      </c>
      <c r="S22" s="59" t="s">
        <v>8</v>
      </c>
      <c r="T22" s="117" t="s">
        <v>8</v>
      </c>
      <c r="U22" s="59" t="s">
        <v>8</v>
      </c>
      <c r="V22" s="59" t="s">
        <v>8</v>
      </c>
      <c r="W22" s="117" t="s">
        <v>8</v>
      </c>
    </row>
    <row r="23" spans="1:23" ht="14.95" customHeight="1" thickBot="1" x14ac:dyDescent="0.3">
      <c r="A23" s="158" t="s">
        <v>688</v>
      </c>
      <c r="B23" s="171">
        <v>0</v>
      </c>
      <c r="C23" s="321">
        <v>0</v>
      </c>
      <c r="D23" s="162">
        <v>0</v>
      </c>
      <c r="E23" s="160">
        <f t="shared" si="0"/>
        <v>0</v>
      </c>
      <c r="F23" s="14" t="s">
        <v>688</v>
      </c>
      <c r="G23" s="173">
        <v>0</v>
      </c>
      <c r="H23" s="307">
        <v>0</v>
      </c>
      <c r="I23" s="104">
        <v>0</v>
      </c>
      <c r="J23" s="15">
        <f t="shared" si="1"/>
        <v>0</v>
      </c>
      <c r="K23" s="205" t="s">
        <v>431</v>
      </c>
      <c r="L23" s="160">
        <v>13</v>
      </c>
      <c r="M23" s="160">
        <v>18</v>
      </c>
      <c r="N23" s="164">
        <f>SUM(L23/M23)*100</f>
        <v>72.222222222222214</v>
      </c>
      <c r="O23" s="59">
        <v>5</v>
      </c>
      <c r="P23" s="59">
        <v>9</v>
      </c>
      <c r="Q23" s="117">
        <f>SUM(O23/P23)*100</f>
        <v>55.555555555555557</v>
      </c>
      <c r="R23" s="59">
        <v>-1</v>
      </c>
      <c r="S23" s="59">
        <v>1</v>
      </c>
      <c r="T23" s="59">
        <f>SUM(R23/S23)*100</f>
        <v>-100</v>
      </c>
      <c r="U23" s="59" t="s">
        <v>8</v>
      </c>
      <c r="V23" s="59" t="s">
        <v>8</v>
      </c>
      <c r="W23" s="59" t="s">
        <v>8</v>
      </c>
    </row>
    <row r="24" spans="1:23" ht="14.95" customHeight="1" thickBot="1" x14ac:dyDescent="0.3">
      <c r="A24" s="158" t="s">
        <v>272</v>
      </c>
      <c r="B24" s="171">
        <v>0</v>
      </c>
      <c r="C24" s="321">
        <v>0</v>
      </c>
      <c r="D24" s="162">
        <v>0</v>
      </c>
      <c r="E24" s="160">
        <f t="shared" si="0"/>
        <v>0</v>
      </c>
      <c r="F24" s="14" t="s">
        <v>272</v>
      </c>
      <c r="G24" s="173">
        <v>0</v>
      </c>
      <c r="H24" s="307">
        <v>0</v>
      </c>
      <c r="I24" s="104">
        <v>0</v>
      </c>
      <c r="J24" s="15">
        <f t="shared" si="1"/>
        <v>0</v>
      </c>
      <c r="O24" s="9"/>
      <c r="P24" s="9"/>
      <c r="Q24" s="9"/>
    </row>
    <row r="25" spans="1:23" ht="14.95" customHeight="1" thickBot="1" x14ac:dyDescent="0.3">
      <c r="A25" s="158" t="s">
        <v>430</v>
      </c>
      <c r="B25" s="171">
        <v>0</v>
      </c>
      <c r="C25" s="321">
        <v>0</v>
      </c>
      <c r="D25" s="162">
        <v>0</v>
      </c>
      <c r="E25" s="160">
        <f t="shared" si="0"/>
        <v>0</v>
      </c>
      <c r="F25" s="14" t="s">
        <v>430</v>
      </c>
      <c r="G25" s="173">
        <v>0</v>
      </c>
      <c r="H25" s="307">
        <v>0</v>
      </c>
      <c r="I25" s="104">
        <v>0</v>
      </c>
      <c r="J25" s="15">
        <f t="shared" si="1"/>
        <v>0</v>
      </c>
      <c r="K25" s="596" t="s">
        <v>345</v>
      </c>
      <c r="L25" s="608">
        <v>2025</v>
      </c>
      <c r="M25" s="609"/>
      <c r="N25" s="610"/>
      <c r="O25" s="516">
        <v>2022</v>
      </c>
      <c r="P25" s="517"/>
      <c r="Q25" s="518"/>
    </row>
    <row r="26" spans="1:23" ht="14.95" customHeight="1" thickBot="1" x14ac:dyDescent="0.3">
      <c r="A26" s="158" t="s">
        <v>268</v>
      </c>
      <c r="B26" s="171">
        <v>0</v>
      </c>
      <c r="C26" s="321">
        <v>0</v>
      </c>
      <c r="D26" s="162">
        <v>0</v>
      </c>
      <c r="E26" s="160">
        <f t="shared" si="0"/>
        <v>0</v>
      </c>
      <c r="F26" s="14" t="s">
        <v>268</v>
      </c>
      <c r="G26" s="173">
        <v>0</v>
      </c>
      <c r="H26" s="307">
        <v>0</v>
      </c>
      <c r="I26" s="104">
        <v>0</v>
      </c>
      <c r="J26" s="15">
        <f t="shared" si="1"/>
        <v>0</v>
      </c>
      <c r="K26" s="597"/>
      <c r="L26" s="611"/>
      <c r="M26" s="612"/>
      <c r="N26" s="613"/>
      <c r="O26" s="519"/>
      <c r="P26" s="520"/>
      <c r="Q26" s="521"/>
    </row>
    <row r="27" spans="1:23" ht="14.95" customHeight="1" thickBot="1" x14ac:dyDescent="0.3">
      <c r="A27" s="158" t="s">
        <v>618</v>
      </c>
      <c r="B27" s="171">
        <v>0</v>
      </c>
      <c r="C27" s="321">
        <v>0</v>
      </c>
      <c r="D27" s="162">
        <v>0</v>
      </c>
      <c r="E27" s="160">
        <f t="shared" si="0"/>
        <v>0</v>
      </c>
      <c r="F27" s="14" t="s">
        <v>618</v>
      </c>
      <c r="G27" s="173">
        <v>0</v>
      </c>
      <c r="H27" s="307">
        <v>0</v>
      </c>
      <c r="I27" s="104">
        <v>0</v>
      </c>
      <c r="J27" s="15">
        <f t="shared" si="1"/>
        <v>0</v>
      </c>
      <c r="K27" s="322"/>
      <c r="L27" s="262" t="s">
        <v>17</v>
      </c>
      <c r="M27" s="262" t="s">
        <v>5</v>
      </c>
      <c r="N27" s="262" t="s">
        <v>6</v>
      </c>
      <c r="O27" s="59" t="s">
        <v>17</v>
      </c>
      <c r="P27" s="59" t="s">
        <v>5</v>
      </c>
      <c r="Q27" s="59" t="s">
        <v>6</v>
      </c>
    </row>
    <row r="28" spans="1:23" ht="14.95" customHeight="1" thickBot="1" x14ac:dyDescent="0.3">
      <c r="A28" s="158" t="s">
        <v>855</v>
      </c>
      <c r="B28" s="171">
        <v>0</v>
      </c>
      <c r="C28" s="321">
        <v>0</v>
      </c>
      <c r="D28" s="162">
        <v>0</v>
      </c>
      <c r="E28" s="160">
        <f t="shared" si="0"/>
        <v>0</v>
      </c>
      <c r="F28" s="14" t="s">
        <v>855</v>
      </c>
      <c r="G28" s="173">
        <v>0</v>
      </c>
      <c r="H28" s="307">
        <v>0</v>
      </c>
      <c r="I28" s="104">
        <v>0</v>
      </c>
      <c r="J28" s="15">
        <f t="shared" si="1"/>
        <v>0</v>
      </c>
      <c r="K28" s="158" t="s">
        <v>492</v>
      </c>
      <c r="L28" s="160">
        <v>13</v>
      </c>
      <c r="M28" s="160">
        <v>20</v>
      </c>
      <c r="N28" s="164">
        <f>SUM(L28/M28)*100</f>
        <v>65</v>
      </c>
      <c r="O28" s="59" t="s">
        <v>8</v>
      </c>
      <c r="P28" s="59" t="s">
        <v>8</v>
      </c>
      <c r="Q28" s="117" t="s">
        <v>8</v>
      </c>
    </row>
    <row r="29" spans="1:23" ht="14.95" customHeight="1" thickBot="1" x14ac:dyDescent="0.3">
      <c r="A29" s="158" t="s">
        <v>808</v>
      </c>
      <c r="B29" s="171">
        <v>0</v>
      </c>
      <c r="C29" s="321">
        <v>0</v>
      </c>
      <c r="D29" s="162">
        <v>0</v>
      </c>
      <c r="E29" s="160">
        <f t="shared" si="0"/>
        <v>0</v>
      </c>
      <c r="F29" s="14" t="s">
        <v>808</v>
      </c>
      <c r="G29" s="173">
        <v>0</v>
      </c>
      <c r="H29" s="307">
        <v>0</v>
      </c>
      <c r="I29" s="104">
        <v>0</v>
      </c>
      <c r="J29" s="15">
        <f t="shared" si="1"/>
        <v>0</v>
      </c>
      <c r="K29" s="158" t="s">
        <v>271</v>
      </c>
      <c r="L29" s="160" t="s">
        <v>8</v>
      </c>
      <c r="M29" s="160" t="s">
        <v>8</v>
      </c>
      <c r="N29" s="164" t="s">
        <v>8</v>
      </c>
      <c r="O29" s="59">
        <v>0</v>
      </c>
      <c r="P29" s="59">
        <v>1</v>
      </c>
      <c r="Q29" s="117">
        <v>0</v>
      </c>
    </row>
    <row r="30" spans="1:23" ht="14.95" customHeight="1" thickBot="1" x14ac:dyDescent="0.3">
      <c r="A30" s="158" t="s">
        <v>264</v>
      </c>
      <c r="B30" s="171">
        <v>0</v>
      </c>
      <c r="C30" s="321">
        <v>0</v>
      </c>
      <c r="D30" s="162">
        <v>0</v>
      </c>
      <c r="E30" s="160">
        <f t="shared" si="0"/>
        <v>0</v>
      </c>
      <c r="F30" s="14" t="s">
        <v>264</v>
      </c>
      <c r="G30" s="173">
        <v>0</v>
      </c>
      <c r="H30" s="307">
        <v>0</v>
      </c>
      <c r="I30" s="104">
        <v>0</v>
      </c>
      <c r="J30" s="15">
        <f t="shared" si="1"/>
        <v>0</v>
      </c>
      <c r="K30" s="158" t="s">
        <v>372</v>
      </c>
      <c r="L30" s="160" t="s">
        <v>8</v>
      </c>
      <c r="M30" s="160" t="s">
        <v>8</v>
      </c>
      <c r="N30" s="164" t="s">
        <v>8</v>
      </c>
      <c r="O30" s="59">
        <v>3</v>
      </c>
      <c r="P30" s="59">
        <v>3</v>
      </c>
      <c r="Q30" s="117">
        <v>100</v>
      </c>
    </row>
    <row r="31" spans="1:23" ht="14.95" customHeight="1" thickBot="1" x14ac:dyDescent="0.3">
      <c r="A31" s="158" t="s">
        <v>261</v>
      </c>
      <c r="B31" s="171">
        <v>0</v>
      </c>
      <c r="C31" s="321">
        <v>0</v>
      </c>
      <c r="D31" s="162">
        <v>0</v>
      </c>
      <c r="E31" s="160">
        <f t="shared" si="0"/>
        <v>0</v>
      </c>
      <c r="F31" s="14" t="s">
        <v>261</v>
      </c>
      <c r="G31" s="173">
        <v>0</v>
      </c>
      <c r="H31" s="307">
        <v>0</v>
      </c>
      <c r="I31" s="104">
        <v>0</v>
      </c>
      <c r="J31" s="15">
        <f t="shared" si="1"/>
        <v>0</v>
      </c>
    </row>
    <row r="32" spans="1:23" ht="14.95" customHeight="1" thickBot="1" x14ac:dyDescent="0.3">
      <c r="A32" s="158" t="s">
        <v>270</v>
      </c>
      <c r="B32" s="171">
        <v>0</v>
      </c>
      <c r="C32" s="321">
        <v>0</v>
      </c>
      <c r="D32" s="162">
        <v>0</v>
      </c>
      <c r="E32" s="160">
        <f t="shared" si="0"/>
        <v>0</v>
      </c>
      <c r="F32" s="14" t="s">
        <v>270</v>
      </c>
      <c r="G32" s="173">
        <v>0</v>
      </c>
      <c r="H32" s="307">
        <v>0</v>
      </c>
      <c r="I32" s="104">
        <v>0</v>
      </c>
      <c r="J32" s="15">
        <f t="shared" si="1"/>
        <v>0</v>
      </c>
      <c r="K32" s="546" t="s">
        <v>500</v>
      </c>
      <c r="L32" s="516">
        <v>2024</v>
      </c>
      <c r="M32" s="517"/>
      <c r="N32" s="518"/>
      <c r="O32" s="516">
        <v>2023</v>
      </c>
      <c r="P32" s="517"/>
      <c r="Q32" s="518"/>
    </row>
    <row r="33" spans="1:17" ht="14.95" customHeight="1" thickBot="1" x14ac:dyDescent="0.3">
      <c r="A33" s="158" t="s">
        <v>375</v>
      </c>
      <c r="B33" s="171">
        <v>0</v>
      </c>
      <c r="C33" s="321">
        <v>0</v>
      </c>
      <c r="D33" s="162">
        <v>0</v>
      </c>
      <c r="E33" s="160">
        <f t="shared" si="0"/>
        <v>0</v>
      </c>
      <c r="F33" s="14" t="s">
        <v>375</v>
      </c>
      <c r="G33" s="173">
        <v>0</v>
      </c>
      <c r="H33" s="307">
        <v>0</v>
      </c>
      <c r="I33" s="104">
        <v>0</v>
      </c>
      <c r="J33" s="15">
        <f t="shared" si="1"/>
        <v>0</v>
      </c>
      <c r="K33" s="547"/>
      <c r="L33" s="519"/>
      <c r="M33" s="520"/>
      <c r="N33" s="521"/>
      <c r="O33" s="519"/>
      <c r="P33" s="520"/>
      <c r="Q33" s="521"/>
    </row>
    <row r="34" spans="1:17" ht="14.95" customHeight="1" thickBot="1" x14ac:dyDescent="0.3">
      <c r="A34" s="158" t="s">
        <v>273</v>
      </c>
      <c r="B34" s="171">
        <v>0</v>
      </c>
      <c r="C34" s="321">
        <v>0</v>
      </c>
      <c r="D34" s="162">
        <v>0</v>
      </c>
      <c r="E34" s="160">
        <f t="shared" si="0"/>
        <v>0</v>
      </c>
      <c r="F34" s="14" t="s">
        <v>273</v>
      </c>
      <c r="G34" s="173">
        <v>0</v>
      </c>
      <c r="H34" s="307">
        <v>0</v>
      </c>
      <c r="I34" s="104">
        <v>0</v>
      </c>
      <c r="J34" s="15">
        <f t="shared" si="1"/>
        <v>0</v>
      </c>
      <c r="K34" s="221"/>
      <c r="L34" s="59" t="s">
        <v>17</v>
      </c>
      <c r="M34" s="59" t="s">
        <v>5</v>
      </c>
      <c r="N34" s="59" t="s">
        <v>6</v>
      </c>
      <c r="O34" s="59" t="s">
        <v>17</v>
      </c>
      <c r="P34" s="59" t="s">
        <v>5</v>
      </c>
      <c r="Q34" s="59" t="s">
        <v>6</v>
      </c>
    </row>
    <row r="35" spans="1:17" ht="14.95" customHeight="1" thickBot="1" x14ac:dyDescent="0.3">
      <c r="A35" s="158" t="s">
        <v>208</v>
      </c>
      <c r="B35" s="171">
        <v>0</v>
      </c>
      <c r="C35" s="321">
        <v>0</v>
      </c>
      <c r="D35" s="162">
        <v>0</v>
      </c>
      <c r="E35" s="160">
        <f t="shared" si="0"/>
        <v>0</v>
      </c>
      <c r="F35" s="14" t="s">
        <v>208</v>
      </c>
      <c r="G35" s="173">
        <v>0</v>
      </c>
      <c r="H35" s="307">
        <v>0</v>
      </c>
      <c r="I35" s="104">
        <v>0</v>
      </c>
      <c r="J35" s="15">
        <f t="shared" si="1"/>
        <v>0</v>
      </c>
      <c r="K35" s="158" t="s">
        <v>370</v>
      </c>
      <c r="L35" s="59">
        <v>3</v>
      </c>
      <c r="M35" s="59">
        <v>5</v>
      </c>
      <c r="N35" s="117">
        <f>SUM(L35/M35)*100</f>
        <v>60</v>
      </c>
      <c r="O35" s="59" t="s">
        <v>8</v>
      </c>
      <c r="P35" s="59" t="s">
        <v>8</v>
      </c>
      <c r="Q35" s="117" t="s">
        <v>8</v>
      </c>
    </row>
    <row r="36" spans="1:17" ht="14.95" customHeight="1" thickBot="1" x14ac:dyDescent="0.3">
      <c r="A36" s="158" t="s">
        <v>376</v>
      </c>
      <c r="B36" s="171">
        <v>0</v>
      </c>
      <c r="C36" s="321">
        <v>0</v>
      </c>
      <c r="D36" s="162">
        <v>0</v>
      </c>
      <c r="E36" s="160">
        <f t="shared" si="0"/>
        <v>0</v>
      </c>
      <c r="F36" s="14" t="s">
        <v>376</v>
      </c>
      <c r="G36" s="173">
        <v>0</v>
      </c>
      <c r="H36" s="307">
        <v>0</v>
      </c>
      <c r="I36" s="104">
        <v>0</v>
      </c>
      <c r="J36" s="15">
        <f t="shared" si="1"/>
        <v>0</v>
      </c>
      <c r="K36" s="158" t="s">
        <v>372</v>
      </c>
      <c r="L36" s="59" t="s">
        <v>8</v>
      </c>
      <c r="M36" s="59" t="s">
        <v>8</v>
      </c>
      <c r="N36" s="117" t="s">
        <v>8</v>
      </c>
      <c r="O36" s="59">
        <v>10</v>
      </c>
      <c r="P36" s="59">
        <v>12</v>
      </c>
      <c r="Q36" s="117">
        <v>100</v>
      </c>
    </row>
    <row r="37" spans="1:17" ht="14.95" customHeight="1" thickBot="1" x14ac:dyDescent="0.3">
      <c r="A37" s="158" t="s">
        <v>378</v>
      </c>
      <c r="B37" s="171">
        <v>0</v>
      </c>
      <c r="C37" s="321">
        <v>0</v>
      </c>
      <c r="D37" s="162">
        <v>0</v>
      </c>
      <c r="E37" s="160">
        <f t="shared" si="0"/>
        <v>0</v>
      </c>
      <c r="F37" s="14" t="s">
        <v>378</v>
      </c>
      <c r="G37" s="173">
        <v>0</v>
      </c>
      <c r="H37" s="307">
        <v>0</v>
      </c>
      <c r="I37" s="104">
        <v>0</v>
      </c>
      <c r="J37" s="15">
        <f t="shared" si="1"/>
        <v>0</v>
      </c>
      <c r="K37" s="158" t="s">
        <v>232</v>
      </c>
      <c r="L37" s="59">
        <v>5</v>
      </c>
      <c r="M37" s="59">
        <v>7</v>
      </c>
      <c r="N37" s="117">
        <f>SUM(L37/M37)*100</f>
        <v>71.428571428571431</v>
      </c>
      <c r="O37" s="59" t="s">
        <v>8</v>
      </c>
      <c r="P37" s="59" t="s">
        <v>8</v>
      </c>
      <c r="Q37" s="117" t="s">
        <v>8</v>
      </c>
    </row>
    <row r="38" spans="1:17" ht="14.95" customHeight="1" thickBot="1" x14ac:dyDescent="0.3">
      <c r="A38" s="158" t="s">
        <v>377</v>
      </c>
      <c r="B38" s="171">
        <v>0</v>
      </c>
      <c r="C38" s="321">
        <v>0</v>
      </c>
      <c r="D38" s="162">
        <v>0</v>
      </c>
      <c r="E38" s="160">
        <f t="shared" si="0"/>
        <v>0</v>
      </c>
      <c r="F38" s="14" t="s">
        <v>377</v>
      </c>
      <c r="G38" s="173">
        <v>0</v>
      </c>
      <c r="H38" s="307">
        <v>0</v>
      </c>
      <c r="I38" s="104">
        <v>0</v>
      </c>
      <c r="J38" s="15">
        <f t="shared" si="1"/>
        <v>0</v>
      </c>
    </row>
    <row r="39" spans="1:17" ht="14.95" thickBot="1" x14ac:dyDescent="0.3">
      <c r="A39" s="158" t="s">
        <v>232</v>
      </c>
      <c r="B39" s="171">
        <v>0</v>
      </c>
      <c r="C39" s="321">
        <v>0</v>
      </c>
      <c r="D39" s="162">
        <v>0</v>
      </c>
      <c r="E39" s="160">
        <f t="shared" si="0"/>
        <v>0</v>
      </c>
      <c r="F39" s="14" t="s">
        <v>232</v>
      </c>
      <c r="G39" s="173">
        <v>0</v>
      </c>
      <c r="H39" s="307">
        <v>0</v>
      </c>
      <c r="I39" s="104">
        <v>0</v>
      </c>
      <c r="J39" s="15">
        <f t="shared" si="1"/>
        <v>0</v>
      </c>
    </row>
    <row r="40" spans="1:17" ht="14.95" thickBot="1" x14ac:dyDescent="0.3">
      <c r="A40" s="158" t="s">
        <v>499</v>
      </c>
      <c r="B40" s="171">
        <v>0</v>
      </c>
      <c r="C40" s="321">
        <v>0</v>
      </c>
      <c r="D40" s="162">
        <v>0</v>
      </c>
      <c r="E40" s="160">
        <f t="shared" si="0"/>
        <v>0</v>
      </c>
      <c r="F40" s="14" t="s">
        <v>499</v>
      </c>
      <c r="G40" s="173">
        <v>0</v>
      </c>
      <c r="H40" s="307">
        <v>0</v>
      </c>
      <c r="I40" s="104">
        <v>0</v>
      </c>
      <c r="J40" s="15">
        <f t="shared" si="1"/>
        <v>0</v>
      </c>
    </row>
    <row r="41" spans="1:17" ht="14.95" thickBot="1" x14ac:dyDescent="0.3">
      <c r="A41" s="158" t="s">
        <v>266</v>
      </c>
      <c r="B41" s="171">
        <v>0</v>
      </c>
      <c r="C41" s="321">
        <v>0</v>
      </c>
      <c r="D41" s="162">
        <v>0</v>
      </c>
      <c r="E41" s="160">
        <f t="shared" si="0"/>
        <v>0</v>
      </c>
      <c r="F41" s="14" t="s">
        <v>266</v>
      </c>
      <c r="G41" s="173">
        <v>0</v>
      </c>
      <c r="H41" s="307">
        <v>0</v>
      </c>
      <c r="I41" s="104">
        <v>0</v>
      </c>
      <c r="J41" s="15">
        <f t="shared" si="1"/>
        <v>0</v>
      </c>
    </row>
    <row r="42" spans="1:17" ht="14.95" thickBot="1" x14ac:dyDescent="0.3">
      <c r="A42" s="158" t="s">
        <v>693</v>
      </c>
      <c r="B42" s="171">
        <v>0</v>
      </c>
      <c r="C42" s="321">
        <v>0</v>
      </c>
      <c r="D42" s="162">
        <v>0</v>
      </c>
      <c r="E42" s="160">
        <f t="shared" si="0"/>
        <v>0</v>
      </c>
      <c r="F42" s="14" t="s">
        <v>693</v>
      </c>
      <c r="G42" s="173">
        <v>0</v>
      </c>
      <c r="H42" s="307">
        <v>0</v>
      </c>
      <c r="I42" s="104">
        <v>0</v>
      </c>
      <c r="J42" s="15">
        <f t="shared" si="1"/>
        <v>0</v>
      </c>
    </row>
    <row r="43" spans="1:17" ht="14.95" customHeight="1" thickBot="1" x14ac:dyDescent="0.3">
      <c r="A43" s="158" t="s">
        <v>807</v>
      </c>
      <c r="B43" s="171">
        <v>0</v>
      </c>
      <c r="C43" s="321">
        <v>0</v>
      </c>
      <c r="D43" s="162">
        <v>0</v>
      </c>
      <c r="E43" s="160">
        <f t="shared" si="0"/>
        <v>0</v>
      </c>
      <c r="F43" s="14" t="s">
        <v>807</v>
      </c>
      <c r="G43" s="173">
        <v>0</v>
      </c>
      <c r="H43" s="307">
        <v>0</v>
      </c>
      <c r="I43" s="104">
        <v>0</v>
      </c>
      <c r="J43" s="15">
        <f t="shared" si="1"/>
        <v>0</v>
      </c>
    </row>
    <row r="44" spans="1:17" ht="14.95" thickBot="1" x14ac:dyDescent="0.3">
      <c r="A44" s="158" t="s">
        <v>604</v>
      </c>
      <c r="B44" s="171">
        <v>0</v>
      </c>
      <c r="C44" s="321">
        <v>0</v>
      </c>
      <c r="D44" s="162">
        <v>0</v>
      </c>
      <c r="E44" s="160">
        <f t="shared" si="0"/>
        <v>0</v>
      </c>
      <c r="F44" s="14" t="s">
        <v>604</v>
      </c>
      <c r="G44" s="173">
        <v>0</v>
      </c>
      <c r="H44" s="307">
        <v>0</v>
      </c>
      <c r="I44" s="104">
        <v>0</v>
      </c>
      <c r="J44" s="15">
        <f t="shared" si="1"/>
        <v>0</v>
      </c>
    </row>
    <row r="45" spans="1:17" ht="14.95" thickBot="1" x14ac:dyDescent="0.3">
      <c r="A45" s="158" t="s">
        <v>431</v>
      </c>
      <c r="B45" s="171">
        <v>0</v>
      </c>
      <c r="C45" s="321">
        <v>0</v>
      </c>
      <c r="D45" s="162">
        <v>0</v>
      </c>
      <c r="E45" s="160">
        <f t="shared" si="0"/>
        <v>0</v>
      </c>
      <c r="F45" s="14" t="s">
        <v>431</v>
      </c>
      <c r="G45" s="173">
        <v>0</v>
      </c>
      <c r="H45" s="307">
        <v>0</v>
      </c>
      <c r="I45" s="104">
        <v>0</v>
      </c>
      <c r="J45" s="15">
        <f t="shared" si="1"/>
        <v>0</v>
      </c>
    </row>
    <row r="46" spans="1:17" ht="14.95" thickBot="1" x14ac:dyDescent="0.3">
      <c r="A46" s="158" t="s">
        <v>3</v>
      </c>
      <c r="B46" s="171">
        <f>SUM(B3:B45)</f>
        <v>0</v>
      </c>
      <c r="C46" s="321">
        <f>SUM(C3:C45)</f>
        <v>0</v>
      </c>
      <c r="D46" s="162">
        <f>SUM(D3:D45)</f>
        <v>0</v>
      </c>
      <c r="E46" s="160">
        <f t="shared" si="0"/>
        <v>0</v>
      </c>
      <c r="F46" s="165" t="s">
        <v>3</v>
      </c>
      <c r="G46" s="174">
        <f>SUM(G3:G45)</f>
        <v>0</v>
      </c>
      <c r="H46" s="308">
        <f>SUM(H3:H45)</f>
        <v>0</v>
      </c>
      <c r="I46" s="103">
        <f>SUM(I3:I45)</f>
        <v>0</v>
      </c>
      <c r="J46" s="70">
        <f t="shared" si="1"/>
        <v>0</v>
      </c>
    </row>
    <row r="47" spans="1:17" x14ac:dyDescent="0.25">
      <c r="A47" s="22"/>
      <c r="B47" s="182"/>
      <c r="C47" s="182"/>
      <c r="D47" s="183"/>
      <c r="E47" s="21"/>
      <c r="F47" s="22"/>
      <c r="G47" s="182"/>
      <c r="H47" s="182"/>
      <c r="I47" s="184"/>
      <c r="J47" s="21"/>
    </row>
    <row r="48" spans="1:17" ht="14.95" thickBot="1" x14ac:dyDescent="0.3">
      <c r="A48" s="616" t="s">
        <v>7</v>
      </c>
      <c r="B48" s="566"/>
      <c r="C48" s="566"/>
      <c r="D48" s="566"/>
    </row>
    <row r="49" spans="1:10" ht="14.95" thickBot="1" x14ac:dyDescent="0.3">
      <c r="A49" s="157" t="s">
        <v>0</v>
      </c>
      <c r="B49" s="170" t="s">
        <v>435</v>
      </c>
      <c r="C49" s="320" t="s">
        <v>720</v>
      </c>
      <c r="D49" s="161" t="s">
        <v>11</v>
      </c>
      <c r="E49" s="159" t="s">
        <v>1</v>
      </c>
      <c r="F49" s="69" t="s">
        <v>2</v>
      </c>
      <c r="G49" s="172" t="s">
        <v>435</v>
      </c>
      <c r="H49" s="306" t="s">
        <v>720</v>
      </c>
      <c r="I49" s="103" t="s">
        <v>11</v>
      </c>
      <c r="J49" s="70" t="s">
        <v>1</v>
      </c>
    </row>
    <row r="50" spans="1:10" ht="14.95" thickBot="1" x14ac:dyDescent="0.3">
      <c r="A50" s="158" t="s">
        <v>531</v>
      </c>
      <c r="B50" s="171">
        <v>0</v>
      </c>
      <c r="C50" s="321">
        <v>4</v>
      </c>
      <c r="D50" s="162">
        <v>3</v>
      </c>
      <c r="E50" s="160">
        <f t="shared" ref="E50:E92" si="4">SUM(B50:D50)</f>
        <v>7</v>
      </c>
      <c r="F50" s="13" t="s">
        <v>492</v>
      </c>
      <c r="G50" s="173">
        <v>17</v>
      </c>
      <c r="H50" s="307">
        <v>27</v>
      </c>
      <c r="I50" s="104">
        <v>5</v>
      </c>
      <c r="J50" s="15">
        <f t="shared" ref="J50:J92" si="5">SUM(G50:I50)</f>
        <v>49</v>
      </c>
    </row>
    <row r="51" spans="1:10" ht="14.95" thickBot="1" x14ac:dyDescent="0.3">
      <c r="A51" s="158" t="s">
        <v>270</v>
      </c>
      <c r="B51" s="171">
        <v>4</v>
      </c>
      <c r="C51" s="321">
        <v>2</v>
      </c>
      <c r="D51" s="162">
        <v>0</v>
      </c>
      <c r="E51" s="160">
        <f t="shared" si="4"/>
        <v>6</v>
      </c>
      <c r="F51" s="13" t="s">
        <v>531</v>
      </c>
      <c r="G51" s="173">
        <v>0</v>
      </c>
      <c r="H51" s="307">
        <v>20</v>
      </c>
      <c r="I51" s="104">
        <v>15</v>
      </c>
      <c r="J51" s="15">
        <f t="shared" si="5"/>
        <v>35</v>
      </c>
    </row>
    <row r="52" spans="1:10" ht="14.95" thickBot="1" x14ac:dyDescent="0.3">
      <c r="A52" s="158" t="s">
        <v>688</v>
      </c>
      <c r="B52" s="171">
        <v>0</v>
      </c>
      <c r="C52" s="321">
        <v>3</v>
      </c>
      <c r="D52" s="162">
        <v>2</v>
      </c>
      <c r="E52" s="160">
        <f t="shared" si="4"/>
        <v>5</v>
      </c>
      <c r="F52" s="14" t="s">
        <v>270</v>
      </c>
      <c r="G52" s="173">
        <v>20</v>
      </c>
      <c r="H52" s="307">
        <v>10</v>
      </c>
      <c r="I52" s="104">
        <v>0</v>
      </c>
      <c r="J52" s="15">
        <f t="shared" si="5"/>
        <v>30</v>
      </c>
    </row>
    <row r="53" spans="1:10" ht="14.95" thickBot="1" x14ac:dyDescent="0.3">
      <c r="A53" s="158" t="s">
        <v>492</v>
      </c>
      <c r="B53" s="171">
        <v>3</v>
      </c>
      <c r="C53" s="321">
        <v>0</v>
      </c>
      <c r="D53" s="162">
        <v>1</v>
      </c>
      <c r="E53" s="160">
        <f t="shared" si="4"/>
        <v>4</v>
      </c>
      <c r="F53" s="14" t="s">
        <v>431</v>
      </c>
      <c r="G53" s="173">
        <v>26</v>
      </c>
      <c r="H53" s="307">
        <v>0</v>
      </c>
      <c r="I53" s="104">
        <v>0</v>
      </c>
      <c r="J53" s="15">
        <f t="shared" si="5"/>
        <v>26</v>
      </c>
    </row>
    <row r="54" spans="1:10" ht="14.95" thickBot="1" x14ac:dyDescent="0.3">
      <c r="A54" s="158" t="s">
        <v>374</v>
      </c>
      <c r="B54" s="171">
        <v>2</v>
      </c>
      <c r="C54" s="321">
        <v>2</v>
      </c>
      <c r="D54" s="162">
        <v>0</v>
      </c>
      <c r="E54" s="160">
        <f t="shared" si="4"/>
        <v>4</v>
      </c>
      <c r="F54" s="14" t="s">
        <v>688</v>
      </c>
      <c r="G54" s="173">
        <v>0</v>
      </c>
      <c r="H54" s="307">
        <v>15</v>
      </c>
      <c r="I54" s="104">
        <v>10</v>
      </c>
      <c r="J54" s="15">
        <f t="shared" si="5"/>
        <v>25</v>
      </c>
    </row>
    <row r="55" spans="1:10" ht="14.95" thickBot="1" x14ac:dyDescent="0.3">
      <c r="A55" s="158" t="s">
        <v>808</v>
      </c>
      <c r="B55" s="171">
        <v>4</v>
      </c>
      <c r="C55" s="321">
        <v>0</v>
      </c>
      <c r="D55" s="162">
        <v>0</v>
      </c>
      <c r="E55" s="160">
        <f t="shared" si="4"/>
        <v>4</v>
      </c>
      <c r="F55" s="14" t="s">
        <v>370</v>
      </c>
      <c r="G55" s="173">
        <v>0</v>
      </c>
      <c r="H55" s="307">
        <v>0</v>
      </c>
      <c r="I55" s="104">
        <v>23</v>
      </c>
      <c r="J55" s="15">
        <f t="shared" si="5"/>
        <v>23</v>
      </c>
    </row>
    <row r="56" spans="1:10" ht="14.95" thickBot="1" x14ac:dyDescent="0.3">
      <c r="A56" s="158" t="s">
        <v>232</v>
      </c>
      <c r="B56" s="171">
        <v>0</v>
      </c>
      <c r="C56" s="321">
        <v>3</v>
      </c>
      <c r="D56" s="162">
        <v>0</v>
      </c>
      <c r="E56" s="160">
        <f t="shared" si="4"/>
        <v>3</v>
      </c>
      <c r="F56" s="14" t="s">
        <v>374</v>
      </c>
      <c r="G56" s="173">
        <v>10</v>
      </c>
      <c r="H56" s="307">
        <v>10</v>
      </c>
      <c r="I56" s="104">
        <v>0</v>
      </c>
      <c r="J56" s="15">
        <f t="shared" si="5"/>
        <v>20</v>
      </c>
    </row>
    <row r="57" spans="1:10" ht="14.95" thickBot="1" x14ac:dyDescent="0.3">
      <c r="A57" s="158" t="s">
        <v>266</v>
      </c>
      <c r="B57" s="171">
        <v>0</v>
      </c>
      <c r="C57" s="321">
        <v>1</v>
      </c>
      <c r="D57" s="162">
        <v>2</v>
      </c>
      <c r="E57" s="160">
        <f t="shared" si="4"/>
        <v>3</v>
      </c>
      <c r="F57" s="14" t="s">
        <v>808</v>
      </c>
      <c r="G57" s="173">
        <v>20</v>
      </c>
      <c r="H57" s="307">
        <v>0</v>
      </c>
      <c r="I57" s="104">
        <v>0</v>
      </c>
      <c r="J57" s="15">
        <f t="shared" si="5"/>
        <v>20</v>
      </c>
    </row>
    <row r="58" spans="1:10" ht="14.95" thickBot="1" x14ac:dyDescent="0.3">
      <c r="A58" s="158" t="s">
        <v>807</v>
      </c>
      <c r="B58" s="171">
        <v>3</v>
      </c>
      <c r="C58" s="321">
        <v>0</v>
      </c>
      <c r="D58" s="162">
        <v>0</v>
      </c>
      <c r="E58" s="160">
        <f t="shared" si="4"/>
        <v>3</v>
      </c>
      <c r="F58" s="14" t="s">
        <v>232</v>
      </c>
      <c r="G58" s="173">
        <v>0</v>
      </c>
      <c r="H58" s="307">
        <v>15</v>
      </c>
      <c r="I58" s="104">
        <v>0</v>
      </c>
      <c r="J58" s="15">
        <f t="shared" si="5"/>
        <v>15</v>
      </c>
    </row>
    <row r="59" spans="1:10" ht="14.95" thickBot="1" x14ac:dyDescent="0.3">
      <c r="A59" s="158" t="s">
        <v>370</v>
      </c>
      <c r="B59" s="171">
        <v>0</v>
      </c>
      <c r="C59" s="321">
        <v>0</v>
      </c>
      <c r="D59" s="162">
        <v>2</v>
      </c>
      <c r="E59" s="160">
        <f t="shared" si="4"/>
        <v>2</v>
      </c>
      <c r="F59" s="14" t="s">
        <v>266</v>
      </c>
      <c r="G59" s="173">
        <v>0</v>
      </c>
      <c r="H59" s="307">
        <v>5</v>
      </c>
      <c r="I59" s="104">
        <v>10</v>
      </c>
      <c r="J59" s="15">
        <f t="shared" si="5"/>
        <v>15</v>
      </c>
    </row>
    <row r="60" spans="1:10" ht="14.95" thickBot="1" x14ac:dyDescent="0.3">
      <c r="A60" s="158" t="s">
        <v>372</v>
      </c>
      <c r="B60" s="171">
        <v>0</v>
      </c>
      <c r="C60" s="321">
        <v>2</v>
      </c>
      <c r="D60" s="162">
        <v>0</v>
      </c>
      <c r="E60" s="160">
        <f t="shared" si="4"/>
        <v>2</v>
      </c>
      <c r="F60" s="14" t="s">
        <v>807</v>
      </c>
      <c r="G60" s="173">
        <v>15</v>
      </c>
      <c r="H60" s="307">
        <v>0</v>
      </c>
      <c r="I60" s="104">
        <v>0</v>
      </c>
      <c r="J60" s="15">
        <f t="shared" si="5"/>
        <v>15</v>
      </c>
    </row>
    <row r="61" spans="1:10" ht="14.95" thickBot="1" x14ac:dyDescent="0.3">
      <c r="A61" s="158" t="s">
        <v>268</v>
      </c>
      <c r="B61" s="171">
        <v>0</v>
      </c>
      <c r="C61" s="321">
        <v>1</v>
      </c>
      <c r="D61" s="162">
        <v>1</v>
      </c>
      <c r="E61" s="160">
        <f t="shared" si="4"/>
        <v>2</v>
      </c>
      <c r="F61" s="14" t="s">
        <v>372</v>
      </c>
      <c r="G61" s="173">
        <v>0</v>
      </c>
      <c r="H61" s="307">
        <v>10</v>
      </c>
      <c r="I61" s="104">
        <v>0</v>
      </c>
      <c r="J61" s="15">
        <f t="shared" si="5"/>
        <v>10</v>
      </c>
    </row>
    <row r="62" spans="1:10" ht="14.95" thickBot="1" x14ac:dyDescent="0.3">
      <c r="A62" s="158" t="s">
        <v>805</v>
      </c>
      <c r="B62" s="171">
        <v>1</v>
      </c>
      <c r="C62" s="321">
        <v>0</v>
      </c>
      <c r="D62" s="162">
        <v>0</v>
      </c>
      <c r="E62" s="160">
        <f t="shared" si="4"/>
        <v>1</v>
      </c>
      <c r="F62" s="14" t="s">
        <v>268</v>
      </c>
      <c r="G62" s="173">
        <v>0</v>
      </c>
      <c r="H62" s="307">
        <v>5</v>
      </c>
      <c r="I62" s="104">
        <v>5</v>
      </c>
      <c r="J62" s="15">
        <f t="shared" si="5"/>
        <v>10</v>
      </c>
    </row>
    <row r="63" spans="1:10" ht="14.95" thickBot="1" x14ac:dyDescent="0.3">
      <c r="A63" s="158" t="s">
        <v>806</v>
      </c>
      <c r="B63" s="171">
        <v>1</v>
      </c>
      <c r="C63" s="321">
        <v>0</v>
      </c>
      <c r="D63" s="162">
        <v>0</v>
      </c>
      <c r="E63" s="160">
        <f t="shared" si="4"/>
        <v>1</v>
      </c>
      <c r="F63" s="14" t="s">
        <v>261</v>
      </c>
      <c r="G63" s="173">
        <v>7</v>
      </c>
      <c r="H63" s="307">
        <v>0</v>
      </c>
      <c r="I63" s="104">
        <v>0</v>
      </c>
      <c r="J63" s="15">
        <f t="shared" si="5"/>
        <v>7</v>
      </c>
    </row>
    <row r="64" spans="1:10" ht="14.95" thickBot="1" x14ac:dyDescent="0.3">
      <c r="A64" s="158" t="s">
        <v>269</v>
      </c>
      <c r="B64" s="171">
        <v>0</v>
      </c>
      <c r="C64" s="321">
        <v>0</v>
      </c>
      <c r="D64" s="162">
        <v>1</v>
      </c>
      <c r="E64" s="160">
        <f t="shared" si="4"/>
        <v>1</v>
      </c>
      <c r="F64" s="14" t="s">
        <v>805</v>
      </c>
      <c r="G64" s="173">
        <v>5</v>
      </c>
      <c r="H64" s="307">
        <v>0</v>
      </c>
      <c r="I64" s="104">
        <v>0</v>
      </c>
      <c r="J64" s="15">
        <f t="shared" si="5"/>
        <v>5</v>
      </c>
    </row>
    <row r="65" spans="1:10" ht="14.95" thickBot="1" x14ac:dyDescent="0.3">
      <c r="A65" s="158" t="s">
        <v>373</v>
      </c>
      <c r="B65" s="171">
        <v>0</v>
      </c>
      <c r="C65" s="321">
        <v>1</v>
      </c>
      <c r="D65" s="162">
        <v>0</v>
      </c>
      <c r="E65" s="160">
        <f t="shared" si="4"/>
        <v>1</v>
      </c>
      <c r="F65" s="14" t="s">
        <v>806</v>
      </c>
      <c r="G65" s="173">
        <v>5</v>
      </c>
      <c r="H65" s="307">
        <v>0</v>
      </c>
      <c r="I65" s="104">
        <v>0</v>
      </c>
      <c r="J65" s="15">
        <f t="shared" si="5"/>
        <v>5</v>
      </c>
    </row>
    <row r="66" spans="1:10" ht="14.95" thickBot="1" x14ac:dyDescent="0.3">
      <c r="A66" s="158" t="s">
        <v>263</v>
      </c>
      <c r="B66" s="171">
        <v>1</v>
      </c>
      <c r="C66" s="321">
        <v>0</v>
      </c>
      <c r="D66" s="162">
        <v>0</v>
      </c>
      <c r="E66" s="160">
        <f t="shared" si="4"/>
        <v>1</v>
      </c>
      <c r="F66" s="14" t="s">
        <v>269</v>
      </c>
      <c r="G66" s="173">
        <v>0</v>
      </c>
      <c r="H66" s="307">
        <v>0</v>
      </c>
      <c r="I66" s="104">
        <v>5</v>
      </c>
      <c r="J66" s="15">
        <f t="shared" si="5"/>
        <v>5</v>
      </c>
    </row>
    <row r="67" spans="1:10" ht="14.95" thickBot="1" x14ac:dyDescent="0.3">
      <c r="A67" s="158" t="s">
        <v>855</v>
      </c>
      <c r="B67" s="171">
        <v>1</v>
      </c>
      <c r="C67" s="321">
        <v>0</v>
      </c>
      <c r="D67" s="162">
        <v>0</v>
      </c>
      <c r="E67" s="160">
        <f t="shared" si="4"/>
        <v>1</v>
      </c>
      <c r="F67" s="14" t="s">
        <v>373</v>
      </c>
      <c r="G67" s="173">
        <v>0</v>
      </c>
      <c r="H67" s="307">
        <v>5</v>
      </c>
      <c r="I67" s="104">
        <v>0</v>
      </c>
      <c r="J67" s="15">
        <f t="shared" si="5"/>
        <v>5</v>
      </c>
    </row>
    <row r="68" spans="1:10" ht="14.95" thickBot="1" x14ac:dyDescent="0.3">
      <c r="A68" s="158" t="s">
        <v>261</v>
      </c>
      <c r="B68" s="171">
        <v>1</v>
      </c>
      <c r="C68" s="321">
        <v>0</v>
      </c>
      <c r="D68" s="162">
        <v>0</v>
      </c>
      <c r="E68" s="160">
        <f t="shared" si="4"/>
        <v>1</v>
      </c>
      <c r="F68" s="14" t="s">
        <v>263</v>
      </c>
      <c r="G68" s="173">
        <v>5</v>
      </c>
      <c r="H68" s="307">
        <v>0</v>
      </c>
      <c r="I68" s="104">
        <v>0</v>
      </c>
      <c r="J68" s="15">
        <f t="shared" si="5"/>
        <v>5</v>
      </c>
    </row>
    <row r="69" spans="1:10" ht="14.95" thickBot="1" x14ac:dyDescent="0.3">
      <c r="A69" s="158" t="s">
        <v>693</v>
      </c>
      <c r="B69" s="171">
        <v>1</v>
      </c>
      <c r="C69" s="321">
        <v>0</v>
      </c>
      <c r="D69" s="162">
        <v>0</v>
      </c>
      <c r="E69" s="160">
        <f t="shared" si="4"/>
        <v>1</v>
      </c>
      <c r="F69" s="14" t="s">
        <v>855</v>
      </c>
      <c r="G69" s="173">
        <v>5</v>
      </c>
      <c r="H69" s="307">
        <v>0</v>
      </c>
      <c r="I69" s="104">
        <v>0</v>
      </c>
      <c r="J69" s="15">
        <f t="shared" si="5"/>
        <v>5</v>
      </c>
    </row>
    <row r="70" spans="1:10" ht="14.95" thickBot="1" x14ac:dyDescent="0.3">
      <c r="A70" s="158" t="s">
        <v>368</v>
      </c>
      <c r="B70" s="171">
        <v>0</v>
      </c>
      <c r="C70" s="321">
        <v>0</v>
      </c>
      <c r="D70" s="162">
        <v>0</v>
      </c>
      <c r="E70" s="160">
        <f t="shared" si="4"/>
        <v>0</v>
      </c>
      <c r="F70" s="14" t="s">
        <v>693</v>
      </c>
      <c r="G70" s="173">
        <v>5</v>
      </c>
      <c r="H70" s="307">
        <v>0</v>
      </c>
      <c r="I70" s="104">
        <v>0</v>
      </c>
      <c r="J70" s="15">
        <f t="shared" si="5"/>
        <v>5</v>
      </c>
    </row>
    <row r="71" spans="1:10" ht="14.95" thickBot="1" x14ac:dyDescent="0.3">
      <c r="A71" s="158" t="s">
        <v>262</v>
      </c>
      <c r="B71" s="171">
        <v>0</v>
      </c>
      <c r="C71" s="321">
        <v>0</v>
      </c>
      <c r="D71" s="162">
        <v>0</v>
      </c>
      <c r="E71" s="160">
        <f t="shared" si="4"/>
        <v>0</v>
      </c>
      <c r="F71" s="14" t="s">
        <v>378</v>
      </c>
      <c r="G71" s="173">
        <v>2</v>
      </c>
      <c r="H71" s="307">
        <v>0</v>
      </c>
      <c r="I71" s="104">
        <v>0</v>
      </c>
      <c r="J71" s="15">
        <f t="shared" si="5"/>
        <v>2</v>
      </c>
    </row>
    <row r="72" spans="1:10" ht="14.95" thickBot="1" x14ac:dyDescent="0.3">
      <c r="A72" s="158" t="s">
        <v>369</v>
      </c>
      <c r="B72" s="171">
        <v>0</v>
      </c>
      <c r="C72" s="321">
        <v>0</v>
      </c>
      <c r="D72" s="162">
        <v>0</v>
      </c>
      <c r="E72" s="160">
        <f t="shared" si="4"/>
        <v>0</v>
      </c>
      <c r="F72" s="14" t="s">
        <v>368</v>
      </c>
      <c r="G72" s="173">
        <v>0</v>
      </c>
      <c r="H72" s="307">
        <v>0</v>
      </c>
      <c r="I72" s="104">
        <v>0</v>
      </c>
      <c r="J72" s="15">
        <f t="shared" si="5"/>
        <v>0</v>
      </c>
    </row>
    <row r="73" spans="1:10" ht="14.95" thickBot="1" x14ac:dyDescent="0.3">
      <c r="A73" s="158" t="s">
        <v>267</v>
      </c>
      <c r="B73" s="171">
        <v>0</v>
      </c>
      <c r="C73" s="321">
        <v>0</v>
      </c>
      <c r="D73" s="162">
        <v>0</v>
      </c>
      <c r="E73" s="160">
        <f t="shared" si="4"/>
        <v>0</v>
      </c>
      <c r="F73" s="14" t="s">
        <v>262</v>
      </c>
      <c r="G73" s="173">
        <v>0</v>
      </c>
      <c r="H73" s="307">
        <v>0</v>
      </c>
      <c r="I73" s="104">
        <v>0</v>
      </c>
      <c r="J73" s="15">
        <f t="shared" si="5"/>
        <v>0</v>
      </c>
    </row>
    <row r="74" spans="1:10" ht="14.95" thickBot="1" x14ac:dyDescent="0.3">
      <c r="A74" s="158" t="s">
        <v>493</v>
      </c>
      <c r="B74" s="171">
        <v>0</v>
      </c>
      <c r="C74" s="321">
        <v>0</v>
      </c>
      <c r="D74" s="162">
        <v>0</v>
      </c>
      <c r="E74" s="160">
        <f t="shared" si="4"/>
        <v>0</v>
      </c>
      <c r="F74" s="14" t="s">
        <v>369</v>
      </c>
      <c r="G74" s="173">
        <v>0</v>
      </c>
      <c r="H74" s="307">
        <v>0</v>
      </c>
      <c r="I74" s="104">
        <v>0</v>
      </c>
      <c r="J74" s="15">
        <f t="shared" si="5"/>
        <v>0</v>
      </c>
    </row>
    <row r="75" spans="1:10" ht="14.95" thickBot="1" x14ac:dyDescent="0.3">
      <c r="A75" s="158" t="s">
        <v>265</v>
      </c>
      <c r="B75" s="171">
        <v>0</v>
      </c>
      <c r="C75" s="321">
        <v>0</v>
      </c>
      <c r="D75" s="162">
        <v>0</v>
      </c>
      <c r="E75" s="160">
        <f t="shared" si="4"/>
        <v>0</v>
      </c>
      <c r="F75" s="14" t="s">
        <v>267</v>
      </c>
      <c r="G75" s="173">
        <v>0</v>
      </c>
      <c r="H75" s="307">
        <v>0</v>
      </c>
      <c r="I75" s="104">
        <v>0</v>
      </c>
      <c r="J75" s="15">
        <f t="shared" si="5"/>
        <v>0</v>
      </c>
    </row>
    <row r="76" spans="1:10" ht="14.95" thickBot="1" x14ac:dyDescent="0.3">
      <c r="A76" s="158" t="s">
        <v>398</v>
      </c>
      <c r="B76" s="171">
        <v>0</v>
      </c>
      <c r="C76" s="321">
        <v>0</v>
      </c>
      <c r="D76" s="162">
        <v>0</v>
      </c>
      <c r="E76" s="160">
        <f t="shared" si="4"/>
        <v>0</v>
      </c>
      <c r="F76" s="14" t="s">
        <v>493</v>
      </c>
      <c r="G76" s="173">
        <v>0</v>
      </c>
      <c r="H76" s="307">
        <v>0</v>
      </c>
      <c r="I76" s="104">
        <v>0</v>
      </c>
      <c r="J76" s="15">
        <f t="shared" si="5"/>
        <v>0</v>
      </c>
    </row>
    <row r="77" spans="1:10" ht="14.95" thickBot="1" x14ac:dyDescent="0.3">
      <c r="A77" s="158" t="s">
        <v>371</v>
      </c>
      <c r="B77" s="171">
        <v>0</v>
      </c>
      <c r="C77" s="321">
        <v>0</v>
      </c>
      <c r="D77" s="162">
        <v>0</v>
      </c>
      <c r="E77" s="160">
        <f t="shared" si="4"/>
        <v>0</v>
      </c>
      <c r="F77" s="14" t="s">
        <v>265</v>
      </c>
      <c r="G77" s="173">
        <v>0</v>
      </c>
      <c r="H77" s="307">
        <v>0</v>
      </c>
      <c r="I77" s="104">
        <v>0</v>
      </c>
      <c r="J77" s="15">
        <f t="shared" si="5"/>
        <v>0</v>
      </c>
    </row>
    <row r="78" spans="1:10" ht="14.95" thickBot="1" x14ac:dyDescent="0.3">
      <c r="A78" s="158" t="s">
        <v>271</v>
      </c>
      <c r="B78" s="171">
        <v>0</v>
      </c>
      <c r="C78" s="321">
        <v>0</v>
      </c>
      <c r="D78" s="162">
        <v>0</v>
      </c>
      <c r="E78" s="160">
        <f t="shared" si="4"/>
        <v>0</v>
      </c>
      <c r="F78" s="14" t="s">
        <v>398</v>
      </c>
      <c r="G78" s="173">
        <v>0</v>
      </c>
      <c r="H78" s="307">
        <v>0</v>
      </c>
      <c r="I78" s="104">
        <v>0</v>
      </c>
      <c r="J78" s="15">
        <f t="shared" si="5"/>
        <v>0</v>
      </c>
    </row>
    <row r="79" spans="1:10" ht="14.95" thickBot="1" x14ac:dyDescent="0.3">
      <c r="A79" s="158" t="s">
        <v>440</v>
      </c>
      <c r="B79" s="171">
        <v>0</v>
      </c>
      <c r="C79" s="321">
        <v>0</v>
      </c>
      <c r="D79" s="162">
        <v>0</v>
      </c>
      <c r="E79" s="160">
        <f t="shared" si="4"/>
        <v>0</v>
      </c>
      <c r="F79" s="14" t="s">
        <v>371</v>
      </c>
      <c r="G79" s="173">
        <v>0</v>
      </c>
      <c r="H79" s="307">
        <v>0</v>
      </c>
      <c r="I79" s="104">
        <v>0</v>
      </c>
      <c r="J79" s="15">
        <f t="shared" si="5"/>
        <v>0</v>
      </c>
    </row>
    <row r="80" spans="1:10" ht="14.95" thickBot="1" x14ac:dyDescent="0.3">
      <c r="A80" s="158" t="s">
        <v>272</v>
      </c>
      <c r="B80" s="171">
        <v>0</v>
      </c>
      <c r="C80" s="321">
        <v>0</v>
      </c>
      <c r="D80" s="162">
        <v>0</v>
      </c>
      <c r="E80" s="160">
        <f t="shared" si="4"/>
        <v>0</v>
      </c>
      <c r="F80" s="14" t="s">
        <v>271</v>
      </c>
      <c r="G80" s="173">
        <v>0</v>
      </c>
      <c r="H80" s="307">
        <v>0</v>
      </c>
      <c r="I80" s="104">
        <v>0</v>
      </c>
      <c r="J80" s="15">
        <f t="shared" si="5"/>
        <v>0</v>
      </c>
    </row>
    <row r="81" spans="1:10" ht="14.95" thickBot="1" x14ac:dyDescent="0.3">
      <c r="A81" s="158" t="s">
        <v>430</v>
      </c>
      <c r="B81" s="171">
        <v>0</v>
      </c>
      <c r="C81" s="321">
        <v>0</v>
      </c>
      <c r="D81" s="162">
        <v>0</v>
      </c>
      <c r="E81" s="160">
        <f t="shared" si="4"/>
        <v>0</v>
      </c>
      <c r="F81" s="14" t="s">
        <v>440</v>
      </c>
      <c r="G81" s="173">
        <v>0</v>
      </c>
      <c r="H81" s="307">
        <v>0</v>
      </c>
      <c r="I81" s="104">
        <v>0</v>
      </c>
      <c r="J81" s="15">
        <f t="shared" si="5"/>
        <v>0</v>
      </c>
    </row>
    <row r="82" spans="1:10" ht="14.95" thickBot="1" x14ac:dyDescent="0.3">
      <c r="A82" s="158" t="s">
        <v>618</v>
      </c>
      <c r="B82" s="171">
        <v>0</v>
      </c>
      <c r="C82" s="321">
        <v>0</v>
      </c>
      <c r="D82" s="162">
        <v>0</v>
      </c>
      <c r="E82" s="160">
        <f t="shared" si="4"/>
        <v>0</v>
      </c>
      <c r="F82" s="14" t="s">
        <v>272</v>
      </c>
      <c r="G82" s="173">
        <v>0</v>
      </c>
      <c r="H82" s="307">
        <v>0</v>
      </c>
      <c r="I82" s="104">
        <v>0</v>
      </c>
      <c r="J82" s="15">
        <f t="shared" si="5"/>
        <v>0</v>
      </c>
    </row>
    <row r="83" spans="1:10" ht="14.95" thickBot="1" x14ac:dyDescent="0.3">
      <c r="A83" s="158" t="s">
        <v>264</v>
      </c>
      <c r="B83" s="171">
        <v>0</v>
      </c>
      <c r="C83" s="321">
        <v>0</v>
      </c>
      <c r="D83" s="162">
        <v>0</v>
      </c>
      <c r="E83" s="160">
        <f t="shared" si="4"/>
        <v>0</v>
      </c>
      <c r="F83" s="14" t="s">
        <v>430</v>
      </c>
      <c r="G83" s="173">
        <v>0</v>
      </c>
      <c r="H83" s="307">
        <v>0</v>
      </c>
      <c r="I83" s="104">
        <v>0</v>
      </c>
      <c r="J83" s="15">
        <f t="shared" si="5"/>
        <v>0</v>
      </c>
    </row>
    <row r="84" spans="1:10" ht="14.95" thickBot="1" x14ac:dyDescent="0.3">
      <c r="A84" s="158" t="s">
        <v>375</v>
      </c>
      <c r="B84" s="171">
        <v>0</v>
      </c>
      <c r="C84" s="321">
        <v>0</v>
      </c>
      <c r="D84" s="162">
        <v>0</v>
      </c>
      <c r="E84" s="160">
        <f t="shared" si="4"/>
        <v>0</v>
      </c>
      <c r="F84" s="14" t="s">
        <v>618</v>
      </c>
      <c r="G84" s="173">
        <v>0</v>
      </c>
      <c r="H84" s="307">
        <v>0</v>
      </c>
      <c r="I84" s="104">
        <v>0</v>
      </c>
      <c r="J84" s="15">
        <f t="shared" si="5"/>
        <v>0</v>
      </c>
    </row>
    <row r="85" spans="1:10" ht="14.95" thickBot="1" x14ac:dyDescent="0.3">
      <c r="A85" s="158" t="s">
        <v>273</v>
      </c>
      <c r="B85" s="171">
        <v>0</v>
      </c>
      <c r="C85" s="321">
        <v>0</v>
      </c>
      <c r="D85" s="162">
        <v>0</v>
      </c>
      <c r="E85" s="160">
        <f t="shared" si="4"/>
        <v>0</v>
      </c>
      <c r="F85" s="14" t="s">
        <v>264</v>
      </c>
      <c r="G85" s="173">
        <v>0</v>
      </c>
      <c r="H85" s="307">
        <v>0</v>
      </c>
      <c r="I85" s="104">
        <v>0</v>
      </c>
      <c r="J85" s="15">
        <f t="shared" si="5"/>
        <v>0</v>
      </c>
    </row>
    <row r="86" spans="1:10" ht="14.95" thickBot="1" x14ac:dyDescent="0.3">
      <c r="A86" s="158" t="s">
        <v>208</v>
      </c>
      <c r="B86" s="171">
        <v>0</v>
      </c>
      <c r="C86" s="321">
        <v>0</v>
      </c>
      <c r="D86" s="162">
        <v>0</v>
      </c>
      <c r="E86" s="160">
        <f t="shared" si="4"/>
        <v>0</v>
      </c>
      <c r="F86" s="14" t="s">
        <v>375</v>
      </c>
      <c r="G86" s="173">
        <v>0</v>
      </c>
      <c r="H86" s="307">
        <v>0</v>
      </c>
      <c r="I86" s="104">
        <v>0</v>
      </c>
      <c r="J86" s="15">
        <f t="shared" si="5"/>
        <v>0</v>
      </c>
    </row>
    <row r="87" spans="1:10" ht="14.95" thickBot="1" x14ac:dyDescent="0.3">
      <c r="A87" s="158" t="s">
        <v>376</v>
      </c>
      <c r="B87" s="171">
        <v>0</v>
      </c>
      <c r="C87" s="321">
        <v>0</v>
      </c>
      <c r="D87" s="162">
        <v>0</v>
      </c>
      <c r="E87" s="160">
        <f t="shared" si="4"/>
        <v>0</v>
      </c>
      <c r="F87" s="14" t="s">
        <v>273</v>
      </c>
      <c r="G87" s="173">
        <v>0</v>
      </c>
      <c r="H87" s="307">
        <v>0</v>
      </c>
      <c r="I87" s="104">
        <v>0</v>
      </c>
      <c r="J87" s="15">
        <f t="shared" si="5"/>
        <v>0</v>
      </c>
    </row>
    <row r="88" spans="1:10" ht="14.95" thickBot="1" x14ac:dyDescent="0.3">
      <c r="A88" s="158" t="s">
        <v>378</v>
      </c>
      <c r="B88" s="171">
        <v>0</v>
      </c>
      <c r="C88" s="321">
        <v>0</v>
      </c>
      <c r="D88" s="162">
        <v>0</v>
      </c>
      <c r="E88" s="160">
        <f t="shared" si="4"/>
        <v>0</v>
      </c>
      <c r="F88" s="14" t="s">
        <v>208</v>
      </c>
      <c r="G88" s="173">
        <v>0</v>
      </c>
      <c r="H88" s="307">
        <v>0</v>
      </c>
      <c r="I88" s="104">
        <v>0</v>
      </c>
      <c r="J88" s="15">
        <f t="shared" si="5"/>
        <v>0</v>
      </c>
    </row>
    <row r="89" spans="1:10" ht="14.95" thickBot="1" x14ac:dyDescent="0.3">
      <c r="A89" s="158" t="s">
        <v>377</v>
      </c>
      <c r="B89" s="171">
        <v>0</v>
      </c>
      <c r="C89" s="321">
        <v>0</v>
      </c>
      <c r="D89" s="162">
        <v>0</v>
      </c>
      <c r="E89" s="160">
        <f t="shared" si="4"/>
        <v>0</v>
      </c>
      <c r="F89" s="14" t="s">
        <v>376</v>
      </c>
      <c r="G89" s="173">
        <v>0</v>
      </c>
      <c r="H89" s="307">
        <v>0</v>
      </c>
      <c r="I89" s="104">
        <v>0</v>
      </c>
      <c r="J89" s="15">
        <f t="shared" si="5"/>
        <v>0</v>
      </c>
    </row>
    <row r="90" spans="1:10" ht="14.95" thickBot="1" x14ac:dyDescent="0.3">
      <c r="A90" s="158" t="s">
        <v>499</v>
      </c>
      <c r="B90" s="171">
        <v>0</v>
      </c>
      <c r="C90" s="321">
        <v>0</v>
      </c>
      <c r="D90" s="162">
        <v>0</v>
      </c>
      <c r="E90" s="160">
        <f t="shared" si="4"/>
        <v>0</v>
      </c>
      <c r="F90" s="14" t="s">
        <v>377</v>
      </c>
      <c r="G90" s="173">
        <v>0</v>
      </c>
      <c r="H90" s="307">
        <v>0</v>
      </c>
      <c r="I90" s="104">
        <v>0</v>
      </c>
      <c r="J90" s="15">
        <f t="shared" si="5"/>
        <v>0</v>
      </c>
    </row>
    <row r="91" spans="1:10" ht="14.95" thickBot="1" x14ac:dyDescent="0.3">
      <c r="A91" s="158" t="s">
        <v>604</v>
      </c>
      <c r="B91" s="171">
        <v>0</v>
      </c>
      <c r="C91" s="321">
        <v>0</v>
      </c>
      <c r="D91" s="162">
        <v>0</v>
      </c>
      <c r="E91" s="160">
        <f t="shared" si="4"/>
        <v>0</v>
      </c>
      <c r="F91" s="14" t="s">
        <v>499</v>
      </c>
      <c r="G91" s="173">
        <v>0</v>
      </c>
      <c r="H91" s="307">
        <v>0</v>
      </c>
      <c r="I91" s="104">
        <v>0</v>
      </c>
      <c r="J91" s="15">
        <f t="shared" si="5"/>
        <v>0</v>
      </c>
    </row>
    <row r="92" spans="1:10" ht="14.95" thickBot="1" x14ac:dyDescent="0.3">
      <c r="A92" s="158" t="s">
        <v>431</v>
      </c>
      <c r="B92" s="171">
        <v>0</v>
      </c>
      <c r="C92" s="321">
        <v>0</v>
      </c>
      <c r="D92" s="162">
        <v>0</v>
      </c>
      <c r="E92" s="160">
        <f t="shared" si="4"/>
        <v>0</v>
      </c>
      <c r="F92" s="14" t="s">
        <v>604</v>
      </c>
      <c r="G92" s="173">
        <v>0</v>
      </c>
      <c r="H92" s="307">
        <v>0</v>
      </c>
      <c r="I92" s="104">
        <v>0</v>
      </c>
      <c r="J92" s="15">
        <f t="shared" si="5"/>
        <v>0</v>
      </c>
    </row>
    <row r="93" spans="1:10" ht="14.95" thickBot="1" x14ac:dyDescent="0.3">
      <c r="A93" s="158" t="s">
        <v>3</v>
      </c>
      <c r="B93" s="171">
        <f>SUM(B50:B92)</f>
        <v>22</v>
      </c>
      <c r="C93" s="321">
        <f>SUM(C50:C92)</f>
        <v>19</v>
      </c>
      <c r="D93" s="162">
        <f>SUM(D50:D92)</f>
        <v>12</v>
      </c>
      <c r="E93" s="160">
        <f t="shared" ref="E93" si="6">SUM(B93:D93)</f>
        <v>53</v>
      </c>
      <c r="F93" s="165" t="s">
        <v>3</v>
      </c>
      <c r="G93" s="174">
        <f>SUM(G50:G92)</f>
        <v>142</v>
      </c>
      <c r="H93" s="308">
        <f>SUM(H50:H92)</f>
        <v>122</v>
      </c>
      <c r="I93" s="103">
        <f>SUM(I50:I92)</f>
        <v>73</v>
      </c>
      <c r="J93" s="70">
        <f t="shared" ref="J93" si="7">SUM(G93:I93)</f>
        <v>337</v>
      </c>
    </row>
    <row r="94" spans="1:10" ht="16.3" x14ac:dyDescent="0.3">
      <c r="A94" s="524" t="s">
        <v>10</v>
      </c>
      <c r="B94" s="525"/>
      <c r="C94" s="525"/>
      <c r="D94" s="525"/>
    </row>
  </sheetData>
  <sortState xmlns:xlrd2="http://schemas.microsoft.com/office/spreadsheetml/2017/richdata2" ref="F50:J92">
    <sortCondition descending="1" ref="J50:J92"/>
  </sortState>
  <mergeCells count="21">
    <mergeCell ref="O32:Q33"/>
    <mergeCell ref="V1:X2"/>
    <mergeCell ref="U13:W14"/>
    <mergeCell ref="A94:D94"/>
    <mergeCell ref="K25:K26"/>
    <mergeCell ref="L25:N26"/>
    <mergeCell ref="R1:R2"/>
    <mergeCell ref="K13:K14"/>
    <mergeCell ref="L13:N14"/>
    <mergeCell ref="A48:D48"/>
    <mergeCell ref="A1:J1"/>
    <mergeCell ref="K1:K2"/>
    <mergeCell ref="L1:N2"/>
    <mergeCell ref="O1:Q2"/>
    <mergeCell ref="K32:K33"/>
    <mergeCell ref="L32:N33"/>
    <mergeCell ref="AA1:AC2"/>
    <mergeCell ref="O13:Q14"/>
    <mergeCell ref="O25:Q26"/>
    <mergeCell ref="S1:U2"/>
    <mergeCell ref="R13:T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7915-576F-4CC9-B954-0C4C0989AD8B}">
  <dimension ref="A1:R64"/>
  <sheetViews>
    <sheetView workbookViewId="0">
      <selection activeCell="U16" sqref="U16"/>
    </sheetView>
  </sheetViews>
  <sheetFormatPr defaultRowHeight="14.3" x14ac:dyDescent="0.25"/>
  <cols>
    <col min="1" max="1" width="16.75" customWidth="1"/>
    <col min="2" max="2" width="4.5" customWidth="1"/>
    <col min="3" max="3" width="5" bestFit="1" customWidth="1"/>
    <col min="4" max="5" width="4.5" customWidth="1"/>
    <col min="6" max="6" width="16.75" customWidth="1"/>
    <col min="7" max="7" width="4.5" customWidth="1"/>
    <col min="8" max="8" width="5" bestFit="1" customWidth="1"/>
    <col min="9" max="10" width="4.5" customWidth="1"/>
    <col min="11" max="11" width="16.625" customWidth="1"/>
    <col min="12" max="24" width="5.625" customWidth="1"/>
  </cols>
  <sheetData>
    <row r="1" spans="1:18" ht="14.95" customHeight="1" thickBot="1" x14ac:dyDescent="0.3">
      <c r="A1" s="620" t="s">
        <v>1006</v>
      </c>
      <c r="B1" s="621"/>
      <c r="C1" s="621"/>
      <c r="D1" s="621"/>
      <c r="E1" s="621"/>
      <c r="F1" s="621"/>
      <c r="G1" s="621"/>
      <c r="H1" s="621"/>
      <c r="I1" s="621"/>
      <c r="J1" s="622"/>
      <c r="K1" s="623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</row>
    <row r="2" spans="1:18" ht="14.95" customHeight="1" thickBot="1" x14ac:dyDescent="0.3">
      <c r="A2" s="263" t="s">
        <v>0</v>
      </c>
      <c r="B2" s="134" t="s">
        <v>756</v>
      </c>
      <c r="C2" s="176" t="s">
        <v>500</v>
      </c>
      <c r="D2" s="74" t="s">
        <v>11</v>
      </c>
      <c r="E2" s="373" t="s">
        <v>1</v>
      </c>
      <c r="F2" s="265" t="s">
        <v>2</v>
      </c>
      <c r="G2" s="136" t="s">
        <v>756</v>
      </c>
      <c r="H2" s="103" t="s">
        <v>500</v>
      </c>
      <c r="I2" s="70" t="s">
        <v>11</v>
      </c>
      <c r="J2" s="78" t="s">
        <v>1</v>
      </c>
      <c r="K2" s="624"/>
      <c r="L2" s="505"/>
      <c r="M2" s="506"/>
      <c r="N2" s="507"/>
      <c r="O2" s="505"/>
      <c r="P2" s="506"/>
      <c r="Q2" s="507"/>
      <c r="R2" s="523"/>
    </row>
    <row r="3" spans="1:18" ht="14.95" customHeight="1" thickBot="1" x14ac:dyDescent="0.3">
      <c r="A3" s="264" t="s">
        <v>870</v>
      </c>
      <c r="B3" s="135">
        <v>0</v>
      </c>
      <c r="C3" s="374">
        <v>0</v>
      </c>
      <c r="D3" s="41">
        <v>0</v>
      </c>
      <c r="E3" s="269">
        <f t="shared" ref="E3:E31" si="0">SUM(B3:D3)</f>
        <v>0</v>
      </c>
      <c r="F3" s="266" t="s">
        <v>870</v>
      </c>
      <c r="G3" s="137">
        <v>0</v>
      </c>
      <c r="H3" s="375">
        <v>0</v>
      </c>
      <c r="I3" s="15">
        <v>0</v>
      </c>
      <c r="J3" s="67">
        <f t="shared" ref="J3:J31" si="1">SUM(G3:I3)</f>
        <v>0</v>
      </c>
      <c r="K3" s="167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</row>
    <row r="4" spans="1:18" ht="14.95" customHeight="1" thickBot="1" x14ac:dyDescent="0.3">
      <c r="A4" s="264" t="s">
        <v>926</v>
      </c>
      <c r="B4" s="135">
        <v>0</v>
      </c>
      <c r="C4" s="374">
        <v>0</v>
      </c>
      <c r="D4" s="41">
        <v>0</v>
      </c>
      <c r="E4" s="269">
        <f t="shared" si="0"/>
        <v>0</v>
      </c>
      <c r="F4" s="266" t="s">
        <v>926</v>
      </c>
      <c r="G4" s="137">
        <v>0</v>
      </c>
      <c r="H4" s="375">
        <v>0</v>
      </c>
      <c r="I4" s="15">
        <v>0</v>
      </c>
      <c r="J4" s="67">
        <f t="shared" si="1"/>
        <v>0</v>
      </c>
      <c r="K4" s="264" t="s">
        <v>758</v>
      </c>
      <c r="L4" s="269">
        <v>22</v>
      </c>
      <c r="M4" s="269">
        <v>33</v>
      </c>
      <c r="N4" s="270">
        <f t="shared" ref="N4:N7" si="2">SUM(L4/M4)*100</f>
        <v>66.666666666666657</v>
      </c>
      <c r="O4" s="269">
        <v>2</v>
      </c>
      <c r="P4" s="269">
        <v>2</v>
      </c>
      <c r="Q4" s="270">
        <f t="shared" ref="Q4" si="3">SUM(O4/P4)*100</f>
        <v>100</v>
      </c>
      <c r="R4" s="272">
        <v>2</v>
      </c>
    </row>
    <row r="5" spans="1:18" ht="14.95" customHeight="1" thickBot="1" x14ac:dyDescent="0.3">
      <c r="A5" s="264" t="s">
        <v>758</v>
      </c>
      <c r="B5" s="135">
        <v>0</v>
      </c>
      <c r="C5" s="374">
        <v>0</v>
      </c>
      <c r="D5" s="41">
        <v>0</v>
      </c>
      <c r="E5" s="269">
        <f t="shared" si="0"/>
        <v>0</v>
      </c>
      <c r="F5" s="266" t="s">
        <v>758</v>
      </c>
      <c r="G5" s="137">
        <v>0</v>
      </c>
      <c r="H5" s="375">
        <v>0</v>
      </c>
      <c r="I5" s="15">
        <v>0</v>
      </c>
      <c r="J5" s="67">
        <f t="shared" si="1"/>
        <v>0</v>
      </c>
      <c r="K5" s="264" t="s">
        <v>895</v>
      </c>
      <c r="L5" s="269">
        <v>7</v>
      </c>
      <c r="M5" s="269">
        <v>11</v>
      </c>
      <c r="N5" s="270">
        <f t="shared" si="2"/>
        <v>63.636363636363633</v>
      </c>
      <c r="O5" s="269" t="s">
        <v>8</v>
      </c>
      <c r="P5" s="269" t="s">
        <v>8</v>
      </c>
      <c r="Q5" s="270" t="s">
        <v>8</v>
      </c>
      <c r="R5" s="271">
        <v>2</v>
      </c>
    </row>
    <row r="6" spans="1:18" ht="14.95" customHeight="1" thickBot="1" x14ac:dyDescent="0.3">
      <c r="A6" s="264" t="s">
        <v>897</v>
      </c>
      <c r="B6" s="135">
        <v>0</v>
      </c>
      <c r="C6" s="374">
        <v>0</v>
      </c>
      <c r="D6" s="41">
        <v>0</v>
      </c>
      <c r="E6" s="269">
        <f t="shared" si="0"/>
        <v>0</v>
      </c>
      <c r="F6" s="266" t="s">
        <v>897</v>
      </c>
      <c r="G6" s="137">
        <v>0</v>
      </c>
      <c r="H6" s="375">
        <v>0</v>
      </c>
      <c r="I6" s="15">
        <v>0</v>
      </c>
      <c r="J6" s="67">
        <f t="shared" si="1"/>
        <v>0</v>
      </c>
      <c r="K6" s="264" t="s">
        <v>890</v>
      </c>
      <c r="L6" s="269">
        <v>3</v>
      </c>
      <c r="M6" s="269">
        <v>3</v>
      </c>
      <c r="N6" s="270">
        <f t="shared" si="2"/>
        <v>100</v>
      </c>
      <c r="O6" s="269">
        <v>1</v>
      </c>
      <c r="P6" s="269">
        <v>1</v>
      </c>
      <c r="Q6" s="270">
        <f t="shared" ref="Q6" si="4">SUM(O6/P6)*100</f>
        <v>100</v>
      </c>
      <c r="R6" s="271">
        <v>3</v>
      </c>
    </row>
    <row r="7" spans="1:18" ht="14.95" customHeight="1" thickBot="1" x14ac:dyDescent="0.3">
      <c r="A7" s="264" t="s">
        <v>896</v>
      </c>
      <c r="B7" s="135">
        <v>0</v>
      </c>
      <c r="C7" s="374">
        <v>0</v>
      </c>
      <c r="D7" s="41">
        <v>0</v>
      </c>
      <c r="E7" s="269">
        <f t="shared" ref="E7:E8" si="5">SUM(B7:D7)</f>
        <v>0</v>
      </c>
      <c r="F7" s="266" t="s">
        <v>896</v>
      </c>
      <c r="G7" s="137">
        <v>0</v>
      </c>
      <c r="H7" s="375">
        <v>0</v>
      </c>
      <c r="I7" s="15">
        <v>0</v>
      </c>
      <c r="J7" s="67">
        <f t="shared" ref="J7:J8" si="6">SUM(G7:I7)</f>
        <v>0</v>
      </c>
      <c r="K7" s="264" t="s">
        <v>705</v>
      </c>
      <c r="L7" s="269">
        <v>0</v>
      </c>
      <c r="M7" s="269">
        <v>1</v>
      </c>
      <c r="N7" s="270">
        <f t="shared" si="2"/>
        <v>0</v>
      </c>
      <c r="O7" s="269" t="s">
        <v>8</v>
      </c>
      <c r="P7" s="269" t="s">
        <v>8</v>
      </c>
      <c r="Q7" s="270" t="s">
        <v>8</v>
      </c>
      <c r="R7" s="271">
        <v>-1</v>
      </c>
    </row>
    <row r="8" spans="1:18" ht="14.95" customHeight="1" thickBot="1" x14ac:dyDescent="0.3">
      <c r="A8" s="264" t="s">
        <v>863</v>
      </c>
      <c r="B8" s="135">
        <v>0</v>
      </c>
      <c r="C8" s="374">
        <v>0</v>
      </c>
      <c r="D8" s="41">
        <v>0</v>
      </c>
      <c r="E8" s="269">
        <f t="shared" si="5"/>
        <v>0</v>
      </c>
      <c r="F8" s="267" t="s">
        <v>863</v>
      </c>
      <c r="G8" s="137">
        <v>0</v>
      </c>
      <c r="H8" s="375">
        <v>0</v>
      </c>
      <c r="I8" s="15">
        <v>0</v>
      </c>
      <c r="J8" s="67">
        <f t="shared" si="6"/>
        <v>0</v>
      </c>
      <c r="O8" s="9"/>
      <c r="P8" s="9"/>
      <c r="Q8" s="9"/>
    </row>
    <row r="9" spans="1:18" ht="14.95" customHeight="1" thickBot="1" x14ac:dyDescent="0.3">
      <c r="A9" s="264" t="s">
        <v>900</v>
      </c>
      <c r="B9" s="135">
        <v>0</v>
      </c>
      <c r="C9" s="374">
        <v>0</v>
      </c>
      <c r="D9" s="41">
        <v>0</v>
      </c>
      <c r="E9" s="269">
        <f t="shared" si="0"/>
        <v>0</v>
      </c>
      <c r="F9" s="267" t="s">
        <v>900</v>
      </c>
      <c r="G9" s="137">
        <v>0</v>
      </c>
      <c r="H9" s="375">
        <v>0</v>
      </c>
      <c r="I9" s="15">
        <v>0</v>
      </c>
      <c r="J9" s="67">
        <f t="shared" si="1"/>
        <v>0</v>
      </c>
      <c r="K9" s="625" t="s">
        <v>755</v>
      </c>
      <c r="L9" s="502">
        <v>2025</v>
      </c>
      <c r="M9" s="503"/>
      <c r="N9" s="504"/>
    </row>
    <row r="10" spans="1:18" ht="14.95" customHeight="1" thickBot="1" x14ac:dyDescent="0.3">
      <c r="A10" s="264" t="s">
        <v>757</v>
      </c>
      <c r="B10" s="135">
        <v>0</v>
      </c>
      <c r="C10" s="374">
        <v>0</v>
      </c>
      <c r="D10" s="41">
        <v>0</v>
      </c>
      <c r="E10" s="269">
        <f t="shared" ref="E10:E11" si="7">SUM(B10:D10)</f>
        <v>0</v>
      </c>
      <c r="F10" s="267" t="s">
        <v>757</v>
      </c>
      <c r="G10" s="137">
        <v>0</v>
      </c>
      <c r="H10" s="375">
        <v>0</v>
      </c>
      <c r="I10" s="15">
        <v>0</v>
      </c>
      <c r="J10" s="67">
        <f t="shared" ref="J10:J11" si="8">SUM(G10:I10)</f>
        <v>0</v>
      </c>
      <c r="K10" s="626"/>
      <c r="L10" s="505"/>
      <c r="M10" s="506"/>
      <c r="N10" s="507"/>
    </row>
    <row r="11" spans="1:18" ht="14.95" customHeight="1" thickBot="1" x14ac:dyDescent="0.3">
      <c r="A11" s="264" t="s">
        <v>895</v>
      </c>
      <c r="B11" s="135">
        <v>0</v>
      </c>
      <c r="C11" s="374">
        <v>0</v>
      </c>
      <c r="D11" s="41">
        <v>0</v>
      </c>
      <c r="E11" s="269">
        <f t="shared" si="7"/>
        <v>0</v>
      </c>
      <c r="F11" s="267" t="s">
        <v>895</v>
      </c>
      <c r="G11" s="137">
        <v>0</v>
      </c>
      <c r="H11" s="375">
        <v>0</v>
      </c>
      <c r="I11" s="15">
        <v>0</v>
      </c>
      <c r="J11" s="67">
        <f t="shared" si="8"/>
        <v>0</v>
      </c>
      <c r="K11" s="138"/>
      <c r="L11" s="29" t="s">
        <v>17</v>
      </c>
      <c r="M11" s="29" t="s">
        <v>5</v>
      </c>
      <c r="N11" s="29" t="s">
        <v>6</v>
      </c>
    </row>
    <row r="12" spans="1:18" ht="14.95" customHeight="1" thickBot="1" x14ac:dyDescent="0.3">
      <c r="A12" s="264" t="s">
        <v>901</v>
      </c>
      <c r="B12" s="135">
        <v>0</v>
      </c>
      <c r="C12" s="374">
        <v>0</v>
      </c>
      <c r="D12" s="41">
        <v>0</v>
      </c>
      <c r="E12" s="269">
        <f t="shared" si="0"/>
        <v>0</v>
      </c>
      <c r="F12" s="267" t="s">
        <v>901</v>
      </c>
      <c r="G12" s="137">
        <v>0</v>
      </c>
      <c r="H12" s="375">
        <v>0</v>
      </c>
      <c r="I12" s="15">
        <v>0</v>
      </c>
      <c r="J12" s="67">
        <f t="shared" si="1"/>
        <v>0</v>
      </c>
      <c r="K12" s="264" t="s">
        <v>758</v>
      </c>
      <c r="L12" s="269">
        <v>7</v>
      </c>
      <c r="M12" s="269">
        <v>9</v>
      </c>
      <c r="N12" s="270">
        <f t="shared" ref="N12:N13" si="9">SUM(L12/M12)*100</f>
        <v>77.777777777777786</v>
      </c>
    </row>
    <row r="13" spans="1:18" ht="14.95" customHeight="1" thickBot="1" x14ac:dyDescent="0.3">
      <c r="A13" s="264" t="s">
        <v>902</v>
      </c>
      <c r="B13" s="135">
        <v>0</v>
      </c>
      <c r="C13" s="374">
        <v>0</v>
      </c>
      <c r="D13" s="41">
        <v>0</v>
      </c>
      <c r="E13" s="269">
        <f t="shared" si="0"/>
        <v>0</v>
      </c>
      <c r="F13" s="267" t="s">
        <v>902</v>
      </c>
      <c r="G13" s="137">
        <v>0</v>
      </c>
      <c r="H13" s="375">
        <v>0</v>
      </c>
      <c r="I13" s="15">
        <v>0</v>
      </c>
      <c r="J13" s="67">
        <f t="shared" si="1"/>
        <v>0</v>
      </c>
      <c r="K13" s="263" t="s">
        <v>895</v>
      </c>
      <c r="L13" s="371">
        <v>7</v>
      </c>
      <c r="M13" s="371">
        <v>11</v>
      </c>
      <c r="N13" s="372">
        <f t="shared" si="9"/>
        <v>63.636363636363633</v>
      </c>
    </row>
    <row r="14" spans="1:18" ht="14.95" customHeight="1" thickBot="1" x14ac:dyDescent="0.3">
      <c r="A14" s="264" t="s">
        <v>903</v>
      </c>
      <c r="B14" s="135">
        <v>0</v>
      </c>
      <c r="C14" s="374">
        <v>0</v>
      </c>
      <c r="D14" s="41">
        <v>0</v>
      </c>
      <c r="E14" s="269">
        <f t="shared" si="0"/>
        <v>0</v>
      </c>
      <c r="F14" s="267" t="s">
        <v>903</v>
      </c>
      <c r="G14" s="137">
        <v>0</v>
      </c>
      <c r="H14" s="375">
        <v>0</v>
      </c>
      <c r="I14" s="15">
        <v>0</v>
      </c>
      <c r="J14" s="67">
        <f t="shared" si="1"/>
        <v>0</v>
      </c>
    </row>
    <row r="15" spans="1:18" ht="14.95" customHeight="1" thickBot="1" x14ac:dyDescent="0.3">
      <c r="A15" s="264" t="s">
        <v>869</v>
      </c>
      <c r="B15" s="135">
        <v>0</v>
      </c>
      <c r="C15" s="374">
        <v>0</v>
      </c>
      <c r="D15" s="41">
        <v>0</v>
      </c>
      <c r="E15" s="269">
        <f t="shared" si="0"/>
        <v>0</v>
      </c>
      <c r="F15" s="267" t="s">
        <v>869</v>
      </c>
      <c r="G15" s="137">
        <v>0</v>
      </c>
      <c r="H15" s="375">
        <v>0</v>
      </c>
      <c r="I15" s="15">
        <v>0</v>
      </c>
      <c r="J15" s="67">
        <f t="shared" si="1"/>
        <v>0</v>
      </c>
      <c r="K15" s="528" t="s">
        <v>345</v>
      </c>
      <c r="L15" s="502">
        <v>2025</v>
      </c>
      <c r="M15" s="503"/>
      <c r="N15" s="504"/>
    </row>
    <row r="16" spans="1:18" ht="14.95" customHeight="1" thickBot="1" x14ac:dyDescent="0.3">
      <c r="A16" s="264" t="s">
        <v>904</v>
      </c>
      <c r="B16" s="135">
        <v>0</v>
      </c>
      <c r="C16" s="374">
        <v>0</v>
      </c>
      <c r="D16" s="41">
        <v>0</v>
      </c>
      <c r="E16" s="269">
        <f t="shared" si="0"/>
        <v>0</v>
      </c>
      <c r="F16" s="267" t="s">
        <v>904</v>
      </c>
      <c r="G16" s="137">
        <v>0</v>
      </c>
      <c r="H16" s="375">
        <v>0</v>
      </c>
      <c r="I16" s="15">
        <v>0</v>
      </c>
      <c r="J16" s="67">
        <f t="shared" si="1"/>
        <v>0</v>
      </c>
      <c r="K16" s="529"/>
      <c r="L16" s="505"/>
      <c r="M16" s="506"/>
      <c r="N16" s="507"/>
    </row>
    <row r="17" spans="1:17" ht="14.95" customHeight="1" thickBot="1" x14ac:dyDescent="0.3">
      <c r="A17" s="264" t="s">
        <v>893</v>
      </c>
      <c r="B17" s="135">
        <v>0</v>
      </c>
      <c r="C17" s="374">
        <v>0</v>
      </c>
      <c r="D17" s="41">
        <v>0</v>
      </c>
      <c r="E17" s="269">
        <f t="shared" ref="E17" si="10">SUM(B17:D17)</f>
        <v>0</v>
      </c>
      <c r="F17" s="266" t="s">
        <v>893</v>
      </c>
      <c r="G17" s="137">
        <v>0</v>
      </c>
      <c r="H17" s="375">
        <v>0</v>
      </c>
      <c r="I17" s="15">
        <v>0</v>
      </c>
      <c r="J17" s="67">
        <f t="shared" ref="J17" si="11">SUM(G17:I17)</f>
        <v>0</v>
      </c>
      <c r="K17" s="300"/>
      <c r="L17" s="29" t="s">
        <v>17</v>
      </c>
      <c r="M17" s="29" t="s">
        <v>5</v>
      </c>
      <c r="N17" s="29" t="s">
        <v>6</v>
      </c>
    </row>
    <row r="18" spans="1:17" ht="14.95" customHeight="1" thickBot="1" x14ac:dyDescent="0.3">
      <c r="A18" s="264" t="s">
        <v>890</v>
      </c>
      <c r="B18" s="135">
        <v>0</v>
      </c>
      <c r="C18" s="374">
        <v>0</v>
      </c>
      <c r="D18" s="41">
        <v>0</v>
      </c>
      <c r="E18" s="269">
        <f t="shared" si="0"/>
        <v>0</v>
      </c>
      <c r="F18" s="267" t="s">
        <v>890</v>
      </c>
      <c r="G18" s="137">
        <v>0</v>
      </c>
      <c r="H18" s="375">
        <v>0</v>
      </c>
      <c r="I18" s="15">
        <v>0</v>
      </c>
      <c r="J18" s="67">
        <f t="shared" si="1"/>
        <v>0</v>
      </c>
      <c r="K18" s="264" t="s">
        <v>758</v>
      </c>
      <c r="L18" s="269">
        <v>4</v>
      </c>
      <c r="M18" s="269">
        <v>8</v>
      </c>
      <c r="N18" s="270">
        <f t="shared" ref="N18:N20" si="12">SUM(L18/M18)*100</f>
        <v>50</v>
      </c>
    </row>
    <row r="19" spans="1:17" ht="14.95" customHeight="1" thickBot="1" x14ac:dyDescent="0.3">
      <c r="A19" s="264" t="s">
        <v>208</v>
      </c>
      <c r="B19" s="135">
        <v>0</v>
      </c>
      <c r="C19" s="374">
        <v>0</v>
      </c>
      <c r="D19" s="41">
        <v>0</v>
      </c>
      <c r="E19" s="269">
        <f t="shared" si="0"/>
        <v>0</v>
      </c>
      <c r="F19" s="267" t="s">
        <v>208</v>
      </c>
      <c r="G19" s="137">
        <v>0</v>
      </c>
      <c r="H19" s="375">
        <v>0</v>
      </c>
      <c r="I19" s="15">
        <v>0</v>
      </c>
      <c r="J19" s="67">
        <f t="shared" si="1"/>
        <v>0</v>
      </c>
      <c r="K19" s="264" t="s">
        <v>890</v>
      </c>
      <c r="L19" s="269">
        <v>1</v>
      </c>
      <c r="M19" s="269">
        <v>1</v>
      </c>
      <c r="N19" s="270">
        <f t="shared" si="12"/>
        <v>100</v>
      </c>
    </row>
    <row r="20" spans="1:17" ht="14.95" customHeight="1" thickBot="1" x14ac:dyDescent="0.3">
      <c r="A20" s="264" t="s">
        <v>891</v>
      </c>
      <c r="B20" s="135">
        <v>0</v>
      </c>
      <c r="C20" s="374">
        <v>0</v>
      </c>
      <c r="D20" s="41">
        <v>0</v>
      </c>
      <c r="E20" s="269">
        <f t="shared" si="0"/>
        <v>0</v>
      </c>
      <c r="F20" s="267" t="s">
        <v>891</v>
      </c>
      <c r="G20" s="137">
        <v>0</v>
      </c>
      <c r="H20" s="375">
        <v>0</v>
      </c>
      <c r="I20" s="15">
        <v>0</v>
      </c>
      <c r="J20" s="67">
        <f t="shared" si="1"/>
        <v>0</v>
      </c>
      <c r="K20" s="264" t="s">
        <v>705</v>
      </c>
      <c r="L20" s="269">
        <v>0</v>
      </c>
      <c r="M20" s="269">
        <v>1</v>
      </c>
      <c r="N20" s="270">
        <f t="shared" si="12"/>
        <v>0</v>
      </c>
      <c r="O20" s="9"/>
      <c r="P20" s="9"/>
      <c r="Q20" s="9"/>
    </row>
    <row r="21" spans="1:17" ht="14.95" customHeight="1" thickBot="1" x14ac:dyDescent="0.3">
      <c r="A21" s="264" t="s">
        <v>884</v>
      </c>
      <c r="B21" s="135">
        <v>0</v>
      </c>
      <c r="C21" s="374">
        <v>0</v>
      </c>
      <c r="D21" s="41">
        <v>0</v>
      </c>
      <c r="E21" s="269">
        <f t="shared" ref="E21:E22" si="13">SUM(B21:D21)</f>
        <v>0</v>
      </c>
      <c r="F21" s="267" t="s">
        <v>884</v>
      </c>
      <c r="G21" s="137">
        <v>0</v>
      </c>
      <c r="H21" s="375">
        <v>0</v>
      </c>
      <c r="I21" s="15">
        <v>0</v>
      </c>
      <c r="J21" s="67">
        <f t="shared" ref="J21:J22" si="14">SUM(G21:I21)</f>
        <v>0</v>
      </c>
    </row>
    <row r="22" spans="1:17" ht="14.95" customHeight="1" thickBot="1" x14ac:dyDescent="0.3">
      <c r="A22" s="264" t="s">
        <v>899</v>
      </c>
      <c r="B22" s="135">
        <v>0</v>
      </c>
      <c r="C22" s="374">
        <v>0</v>
      </c>
      <c r="D22" s="41">
        <v>0</v>
      </c>
      <c r="E22" s="269">
        <f t="shared" si="13"/>
        <v>0</v>
      </c>
      <c r="F22" s="267" t="s">
        <v>899</v>
      </c>
      <c r="G22" s="137">
        <v>0</v>
      </c>
      <c r="H22" s="375">
        <v>0</v>
      </c>
      <c r="I22" s="15">
        <v>0</v>
      </c>
      <c r="J22" s="67">
        <f t="shared" si="14"/>
        <v>0</v>
      </c>
      <c r="K22" s="546" t="s">
        <v>500</v>
      </c>
      <c r="L22" s="516">
        <v>2024</v>
      </c>
      <c r="M22" s="517"/>
      <c r="N22" s="518"/>
      <c r="O22" s="516">
        <v>2023</v>
      </c>
      <c r="P22" s="517"/>
      <c r="Q22" s="518"/>
    </row>
    <row r="23" spans="1:17" ht="14.95" customHeight="1" thickBot="1" x14ac:dyDescent="0.3">
      <c r="A23" s="264" t="s">
        <v>705</v>
      </c>
      <c r="B23" s="135">
        <v>0</v>
      </c>
      <c r="C23" s="374">
        <v>0</v>
      </c>
      <c r="D23" s="41">
        <v>0</v>
      </c>
      <c r="E23" s="269">
        <f t="shared" ref="E23:E25" si="15">SUM(B23:D23)</f>
        <v>0</v>
      </c>
      <c r="F23" s="267" t="s">
        <v>705</v>
      </c>
      <c r="G23" s="137">
        <v>0</v>
      </c>
      <c r="H23" s="375">
        <v>0</v>
      </c>
      <c r="I23" s="15">
        <v>0</v>
      </c>
      <c r="J23" s="67">
        <f t="shared" ref="J23:J25" si="16">SUM(G23:I23)</f>
        <v>0</v>
      </c>
      <c r="K23" s="547"/>
      <c r="L23" s="519"/>
      <c r="M23" s="520"/>
      <c r="N23" s="521"/>
      <c r="O23" s="519"/>
      <c r="P23" s="520"/>
      <c r="Q23" s="521"/>
    </row>
    <row r="24" spans="1:17" ht="14.95" customHeight="1" thickBot="1" x14ac:dyDescent="0.3">
      <c r="A24" s="264" t="s">
        <v>883</v>
      </c>
      <c r="B24" s="135">
        <v>0</v>
      </c>
      <c r="C24" s="374">
        <v>0</v>
      </c>
      <c r="D24" s="41">
        <v>0</v>
      </c>
      <c r="E24" s="269">
        <f t="shared" si="15"/>
        <v>0</v>
      </c>
      <c r="F24" s="267" t="s">
        <v>883</v>
      </c>
      <c r="G24" s="137">
        <v>0</v>
      </c>
      <c r="H24" s="375">
        <v>0</v>
      </c>
      <c r="I24" s="15">
        <v>0</v>
      </c>
      <c r="J24" s="67">
        <f t="shared" si="16"/>
        <v>0</v>
      </c>
      <c r="K24" s="221"/>
      <c r="L24" s="59" t="s">
        <v>17</v>
      </c>
      <c r="M24" s="59" t="s">
        <v>5</v>
      </c>
      <c r="N24" s="59" t="s">
        <v>6</v>
      </c>
      <c r="O24" s="59" t="s">
        <v>17</v>
      </c>
      <c r="P24" s="59" t="s">
        <v>5</v>
      </c>
      <c r="Q24" s="59" t="s">
        <v>6</v>
      </c>
    </row>
    <row r="25" spans="1:17" ht="14.95" customHeight="1" thickBot="1" x14ac:dyDescent="0.3">
      <c r="A25" s="264" t="s">
        <v>898</v>
      </c>
      <c r="B25" s="135">
        <v>0</v>
      </c>
      <c r="C25" s="374">
        <v>0</v>
      </c>
      <c r="D25" s="41">
        <v>0</v>
      </c>
      <c r="E25" s="269">
        <f t="shared" si="15"/>
        <v>0</v>
      </c>
      <c r="F25" s="267" t="s">
        <v>898</v>
      </c>
      <c r="G25" s="137">
        <v>0</v>
      </c>
      <c r="H25" s="375">
        <v>0</v>
      </c>
      <c r="I25" s="15">
        <v>0</v>
      </c>
      <c r="J25" s="67">
        <f t="shared" si="16"/>
        <v>0</v>
      </c>
      <c r="K25" s="264" t="s">
        <v>758</v>
      </c>
      <c r="L25" s="59">
        <v>5</v>
      </c>
      <c r="M25" s="59">
        <v>8</v>
      </c>
      <c r="N25" s="117">
        <f t="shared" ref="N25" si="17">SUM(L25/M25)*100</f>
        <v>62.5</v>
      </c>
      <c r="O25" s="59">
        <v>10</v>
      </c>
      <c r="P25" s="59">
        <v>13</v>
      </c>
      <c r="Q25" s="117">
        <v>77</v>
      </c>
    </row>
    <row r="26" spans="1:17" ht="14.95" customHeight="1" thickBot="1" x14ac:dyDescent="0.3">
      <c r="A26" s="264" t="s">
        <v>892</v>
      </c>
      <c r="B26" s="135">
        <v>0</v>
      </c>
      <c r="C26" s="374">
        <v>0</v>
      </c>
      <c r="D26" s="41">
        <v>0</v>
      </c>
      <c r="E26" s="269">
        <f t="shared" si="0"/>
        <v>0</v>
      </c>
      <c r="F26" s="267" t="s">
        <v>892</v>
      </c>
      <c r="G26" s="137">
        <v>0</v>
      </c>
      <c r="H26" s="375">
        <v>0</v>
      </c>
      <c r="I26" s="15">
        <v>0</v>
      </c>
      <c r="J26" s="67">
        <f t="shared" si="1"/>
        <v>0</v>
      </c>
      <c r="K26" s="264" t="s">
        <v>890</v>
      </c>
      <c r="L26" s="59">
        <v>1</v>
      </c>
      <c r="M26" s="59">
        <v>2</v>
      </c>
      <c r="N26" s="117">
        <v>50</v>
      </c>
      <c r="O26" s="59" t="s">
        <v>8</v>
      </c>
      <c r="P26" s="59" t="s">
        <v>8</v>
      </c>
      <c r="Q26" s="117" t="s">
        <v>8</v>
      </c>
    </row>
    <row r="27" spans="1:17" ht="14.95" customHeight="1" thickBot="1" x14ac:dyDescent="0.3">
      <c r="A27" s="264" t="s">
        <v>970</v>
      </c>
      <c r="B27" s="135">
        <v>0</v>
      </c>
      <c r="C27" s="374">
        <v>0</v>
      </c>
      <c r="D27" s="41">
        <v>0</v>
      </c>
      <c r="E27" s="269">
        <f t="shared" si="0"/>
        <v>0</v>
      </c>
      <c r="F27" s="267" t="s">
        <v>970</v>
      </c>
      <c r="G27" s="137">
        <v>0</v>
      </c>
      <c r="H27" s="375">
        <v>0</v>
      </c>
      <c r="I27" s="15">
        <v>0</v>
      </c>
      <c r="J27" s="67">
        <f t="shared" si="1"/>
        <v>0</v>
      </c>
      <c r="K27" s="264" t="s">
        <v>705</v>
      </c>
      <c r="L27" s="59">
        <v>3</v>
      </c>
      <c r="M27" s="59">
        <v>3</v>
      </c>
      <c r="N27" s="117">
        <v>100</v>
      </c>
      <c r="O27" s="59">
        <v>2</v>
      </c>
      <c r="P27" s="59">
        <v>2</v>
      </c>
      <c r="Q27" s="117">
        <v>100</v>
      </c>
    </row>
    <row r="28" spans="1:17" ht="14.95" customHeight="1" thickBot="1" x14ac:dyDescent="0.3">
      <c r="A28" s="264" t="s">
        <v>815</v>
      </c>
      <c r="B28" s="135">
        <v>0</v>
      </c>
      <c r="C28" s="374">
        <v>0</v>
      </c>
      <c r="D28" s="41">
        <v>0</v>
      </c>
      <c r="E28" s="269">
        <f t="shared" si="0"/>
        <v>0</v>
      </c>
      <c r="F28" s="267" t="s">
        <v>815</v>
      </c>
      <c r="G28" s="137">
        <v>0</v>
      </c>
      <c r="H28" s="375">
        <v>0</v>
      </c>
      <c r="I28" s="15">
        <v>0</v>
      </c>
      <c r="J28" s="67">
        <f t="shared" si="1"/>
        <v>0</v>
      </c>
    </row>
    <row r="29" spans="1:17" ht="14.95" customHeight="1" thickBot="1" x14ac:dyDescent="0.3">
      <c r="A29" s="264" t="s">
        <v>819</v>
      </c>
      <c r="B29" s="135">
        <v>0</v>
      </c>
      <c r="C29" s="374">
        <v>0</v>
      </c>
      <c r="D29" s="41">
        <v>0</v>
      </c>
      <c r="E29" s="269">
        <f t="shared" si="0"/>
        <v>0</v>
      </c>
      <c r="F29" s="267" t="s">
        <v>819</v>
      </c>
      <c r="G29" s="137">
        <v>0</v>
      </c>
      <c r="H29" s="375">
        <v>0</v>
      </c>
      <c r="I29" s="15">
        <v>0</v>
      </c>
      <c r="J29" s="67">
        <f t="shared" si="1"/>
        <v>0</v>
      </c>
    </row>
    <row r="30" spans="1:17" ht="14.95" customHeight="1" thickBot="1" x14ac:dyDescent="0.3">
      <c r="A30" s="264" t="s">
        <v>894</v>
      </c>
      <c r="B30" s="135">
        <v>0</v>
      </c>
      <c r="C30" s="374">
        <v>0</v>
      </c>
      <c r="D30" s="41">
        <v>0</v>
      </c>
      <c r="E30" s="269">
        <f t="shared" si="0"/>
        <v>0</v>
      </c>
      <c r="F30" s="267" t="s">
        <v>894</v>
      </c>
      <c r="G30" s="137">
        <v>0</v>
      </c>
      <c r="H30" s="375">
        <v>0</v>
      </c>
      <c r="I30" s="15">
        <v>0</v>
      </c>
      <c r="J30" s="67">
        <f t="shared" si="1"/>
        <v>0</v>
      </c>
    </row>
    <row r="31" spans="1:17" ht="14.95" customHeight="1" thickBot="1" x14ac:dyDescent="0.3">
      <c r="A31" s="264" t="s">
        <v>3</v>
      </c>
      <c r="B31" s="135">
        <f>SUM(B3:B30)</f>
        <v>0</v>
      </c>
      <c r="C31" s="374">
        <f>SUM(C3:C30)</f>
        <v>0</v>
      </c>
      <c r="D31" s="41">
        <f>SUM(D3:D30)</f>
        <v>0</v>
      </c>
      <c r="E31" s="269">
        <f t="shared" si="0"/>
        <v>0</v>
      </c>
      <c r="F31" s="268" t="s">
        <v>3</v>
      </c>
      <c r="G31" s="136">
        <f>SUM(G3:G30)</f>
        <v>0</v>
      </c>
      <c r="H31" s="370">
        <f>SUM(H3:H30)</f>
        <v>0</v>
      </c>
      <c r="I31" s="70">
        <f>SUM(I3:I30)</f>
        <v>0</v>
      </c>
      <c r="J31" s="78">
        <f t="shared" si="1"/>
        <v>0</v>
      </c>
    </row>
    <row r="32" spans="1:17" ht="16.3" x14ac:dyDescent="0.25">
      <c r="D32" s="50"/>
      <c r="F32" s="3"/>
      <c r="G32" s="3"/>
      <c r="H32" s="3"/>
      <c r="I32" s="51"/>
      <c r="J32" s="3"/>
    </row>
    <row r="33" spans="1:10" ht="17" thickBot="1" x14ac:dyDescent="0.3">
      <c r="A33" t="s">
        <v>7</v>
      </c>
      <c r="D33" s="50"/>
      <c r="F33" s="3"/>
      <c r="G33" s="3"/>
      <c r="H33" s="3"/>
      <c r="I33" s="51"/>
      <c r="J33" s="3"/>
    </row>
    <row r="34" spans="1:10" ht="14.95" thickBot="1" x14ac:dyDescent="0.3">
      <c r="A34" s="263" t="s">
        <v>0</v>
      </c>
      <c r="B34" s="134" t="s">
        <v>756</v>
      </c>
      <c r="C34" s="176" t="s">
        <v>720</v>
      </c>
      <c r="D34" s="74" t="s">
        <v>11</v>
      </c>
      <c r="E34" s="373" t="s">
        <v>1</v>
      </c>
      <c r="F34" s="265" t="s">
        <v>2</v>
      </c>
      <c r="G34" s="136" t="s">
        <v>756</v>
      </c>
      <c r="H34" s="103" t="s">
        <v>720</v>
      </c>
      <c r="I34" s="70" t="s">
        <v>11</v>
      </c>
      <c r="J34" s="78" t="s">
        <v>1</v>
      </c>
    </row>
    <row r="35" spans="1:10" ht="14.95" thickBot="1" x14ac:dyDescent="0.3">
      <c r="A35" s="264" t="s">
        <v>890</v>
      </c>
      <c r="B35" s="135">
        <v>2</v>
      </c>
      <c r="C35" s="374">
        <v>1</v>
      </c>
      <c r="D35" s="41">
        <v>1</v>
      </c>
      <c r="E35" s="269">
        <f t="shared" ref="E35:E62" si="18">SUM(B35:D35)</f>
        <v>4</v>
      </c>
      <c r="F35" s="266" t="s">
        <v>758</v>
      </c>
      <c r="G35" s="137">
        <v>16</v>
      </c>
      <c r="H35" s="375">
        <v>9</v>
      </c>
      <c r="I35" s="15">
        <v>28</v>
      </c>
      <c r="J35" s="67">
        <f t="shared" ref="J35:J62" si="19">SUM(G35:I35)</f>
        <v>53</v>
      </c>
    </row>
    <row r="36" spans="1:10" ht="14.95" thickBot="1" x14ac:dyDescent="0.3">
      <c r="A36" s="264" t="s">
        <v>705</v>
      </c>
      <c r="B36" s="135">
        <v>1</v>
      </c>
      <c r="C36" s="374">
        <v>0</v>
      </c>
      <c r="D36" s="41">
        <v>3</v>
      </c>
      <c r="E36" s="269">
        <f t="shared" si="18"/>
        <v>4</v>
      </c>
      <c r="F36" s="266" t="s">
        <v>890</v>
      </c>
      <c r="G36" s="137">
        <v>10</v>
      </c>
      <c r="H36" s="375">
        <v>7</v>
      </c>
      <c r="I36" s="15">
        <v>9</v>
      </c>
      <c r="J36" s="67">
        <f t="shared" si="19"/>
        <v>26</v>
      </c>
    </row>
    <row r="37" spans="1:10" ht="14.95" thickBot="1" x14ac:dyDescent="0.3">
      <c r="A37" s="264" t="s">
        <v>870</v>
      </c>
      <c r="B37" s="135">
        <v>1</v>
      </c>
      <c r="C37" s="374">
        <v>1</v>
      </c>
      <c r="D37" s="41">
        <v>1</v>
      </c>
      <c r="E37" s="269">
        <f t="shared" si="18"/>
        <v>3</v>
      </c>
      <c r="F37" s="266" t="s">
        <v>895</v>
      </c>
      <c r="G37" s="137">
        <v>24</v>
      </c>
      <c r="H37" s="375">
        <v>0</v>
      </c>
      <c r="I37" s="15">
        <v>0</v>
      </c>
      <c r="J37" s="67">
        <f t="shared" si="19"/>
        <v>24</v>
      </c>
    </row>
    <row r="38" spans="1:10" ht="14.95" thickBot="1" x14ac:dyDescent="0.3">
      <c r="A38" s="264" t="s">
        <v>897</v>
      </c>
      <c r="B38" s="135">
        <v>1</v>
      </c>
      <c r="C38" s="374">
        <v>2</v>
      </c>
      <c r="D38" s="41">
        <v>0</v>
      </c>
      <c r="E38" s="269">
        <f t="shared" si="18"/>
        <v>3</v>
      </c>
      <c r="F38" s="266" t="s">
        <v>705</v>
      </c>
      <c r="G38" s="137">
        <v>5</v>
      </c>
      <c r="H38" s="375">
        <v>0</v>
      </c>
      <c r="I38" s="15">
        <v>15</v>
      </c>
      <c r="J38" s="67">
        <f t="shared" si="19"/>
        <v>20</v>
      </c>
    </row>
    <row r="39" spans="1:10" ht="14.95" thickBot="1" x14ac:dyDescent="0.3">
      <c r="A39" s="264" t="s">
        <v>869</v>
      </c>
      <c r="B39" s="135">
        <v>0</v>
      </c>
      <c r="C39" s="374">
        <v>0</v>
      </c>
      <c r="D39" s="41">
        <v>3</v>
      </c>
      <c r="E39" s="269">
        <f t="shared" si="18"/>
        <v>3</v>
      </c>
      <c r="F39" s="266" t="s">
        <v>870</v>
      </c>
      <c r="G39" s="137">
        <v>5</v>
      </c>
      <c r="H39" s="375">
        <v>5</v>
      </c>
      <c r="I39" s="15">
        <v>5</v>
      </c>
      <c r="J39" s="67">
        <f t="shared" si="19"/>
        <v>15</v>
      </c>
    </row>
    <row r="40" spans="1:10" ht="14.95" thickBot="1" x14ac:dyDescent="0.3">
      <c r="A40" s="264" t="s">
        <v>892</v>
      </c>
      <c r="B40" s="135">
        <v>1</v>
      </c>
      <c r="C40" s="374">
        <v>1</v>
      </c>
      <c r="D40" s="41">
        <v>1</v>
      </c>
      <c r="E40" s="269">
        <f t="shared" si="18"/>
        <v>3</v>
      </c>
      <c r="F40" s="267" t="s">
        <v>897</v>
      </c>
      <c r="G40" s="137">
        <v>5</v>
      </c>
      <c r="H40" s="375">
        <v>10</v>
      </c>
      <c r="I40" s="15">
        <v>0</v>
      </c>
      <c r="J40" s="67">
        <f t="shared" si="19"/>
        <v>15</v>
      </c>
    </row>
    <row r="41" spans="1:10" ht="14.95" thickBot="1" x14ac:dyDescent="0.3">
      <c r="A41" s="264" t="s">
        <v>863</v>
      </c>
      <c r="B41" s="135">
        <v>0</v>
      </c>
      <c r="C41" s="374">
        <v>1</v>
      </c>
      <c r="D41" s="41">
        <v>1</v>
      </c>
      <c r="E41" s="269">
        <f t="shared" si="18"/>
        <v>2</v>
      </c>
      <c r="F41" s="267" t="s">
        <v>869</v>
      </c>
      <c r="G41" s="137">
        <v>0</v>
      </c>
      <c r="H41" s="375">
        <v>0</v>
      </c>
      <c r="I41" s="15">
        <v>15</v>
      </c>
      <c r="J41" s="67">
        <f t="shared" si="19"/>
        <v>15</v>
      </c>
    </row>
    <row r="42" spans="1:10" ht="14.95" thickBot="1" x14ac:dyDescent="0.3">
      <c r="A42" s="264" t="s">
        <v>895</v>
      </c>
      <c r="B42" s="135">
        <v>2</v>
      </c>
      <c r="C42" s="374">
        <v>0</v>
      </c>
      <c r="D42" s="41">
        <v>0</v>
      </c>
      <c r="E42" s="269">
        <f t="shared" si="18"/>
        <v>2</v>
      </c>
      <c r="F42" s="267" t="s">
        <v>892</v>
      </c>
      <c r="G42" s="137">
        <v>5</v>
      </c>
      <c r="H42" s="375">
        <v>5</v>
      </c>
      <c r="I42" s="15">
        <v>5</v>
      </c>
      <c r="J42" s="67">
        <f t="shared" si="19"/>
        <v>15</v>
      </c>
    </row>
    <row r="43" spans="1:10" ht="14.95" thickBot="1" x14ac:dyDescent="0.3">
      <c r="A43" s="264" t="s">
        <v>903</v>
      </c>
      <c r="B43" s="135">
        <v>1</v>
      </c>
      <c r="C43" s="374">
        <v>0</v>
      </c>
      <c r="D43" s="41">
        <v>1</v>
      </c>
      <c r="E43" s="269">
        <f t="shared" si="18"/>
        <v>2</v>
      </c>
      <c r="F43" s="267" t="s">
        <v>863</v>
      </c>
      <c r="G43" s="137">
        <v>0</v>
      </c>
      <c r="H43" s="375">
        <v>5</v>
      </c>
      <c r="I43" s="15">
        <v>5</v>
      </c>
      <c r="J43" s="67">
        <f t="shared" si="19"/>
        <v>10</v>
      </c>
    </row>
    <row r="44" spans="1:10" ht="14.95" thickBot="1" x14ac:dyDescent="0.3">
      <c r="A44" s="264" t="s">
        <v>893</v>
      </c>
      <c r="B44" s="135">
        <v>0</v>
      </c>
      <c r="C44" s="374">
        <v>0</v>
      </c>
      <c r="D44" s="41">
        <v>2</v>
      </c>
      <c r="E44" s="269">
        <f t="shared" si="18"/>
        <v>2</v>
      </c>
      <c r="F44" s="267" t="s">
        <v>903</v>
      </c>
      <c r="G44" s="137">
        <v>5</v>
      </c>
      <c r="H44" s="375">
        <v>0</v>
      </c>
      <c r="I44" s="15">
        <v>5</v>
      </c>
      <c r="J44" s="67">
        <f t="shared" si="19"/>
        <v>10</v>
      </c>
    </row>
    <row r="45" spans="1:10" ht="14.95" thickBot="1" x14ac:dyDescent="0.3">
      <c r="A45" s="264" t="s">
        <v>899</v>
      </c>
      <c r="B45" s="135">
        <v>2</v>
      </c>
      <c r="C45" s="374">
        <v>0</v>
      </c>
      <c r="D45" s="41">
        <v>0</v>
      </c>
      <c r="E45" s="269">
        <f t="shared" si="18"/>
        <v>2</v>
      </c>
      <c r="F45" s="267" t="s">
        <v>893</v>
      </c>
      <c r="G45" s="137">
        <v>0</v>
      </c>
      <c r="H45" s="375">
        <v>0</v>
      </c>
      <c r="I45" s="15">
        <v>10</v>
      </c>
      <c r="J45" s="67">
        <f t="shared" si="19"/>
        <v>10</v>
      </c>
    </row>
    <row r="46" spans="1:10" ht="14.95" thickBot="1" x14ac:dyDescent="0.3">
      <c r="A46" s="264" t="s">
        <v>883</v>
      </c>
      <c r="B46" s="135">
        <v>1</v>
      </c>
      <c r="C46" s="374">
        <v>0</v>
      </c>
      <c r="D46" s="41">
        <v>1</v>
      </c>
      <c r="E46" s="269">
        <f t="shared" si="18"/>
        <v>2</v>
      </c>
      <c r="F46" s="267" t="s">
        <v>899</v>
      </c>
      <c r="G46" s="137">
        <v>10</v>
      </c>
      <c r="H46" s="375">
        <v>0</v>
      </c>
      <c r="I46" s="15">
        <v>0</v>
      </c>
      <c r="J46" s="67">
        <f t="shared" si="19"/>
        <v>10</v>
      </c>
    </row>
    <row r="47" spans="1:10" ht="14.95" thickBot="1" x14ac:dyDescent="0.3">
      <c r="A47" s="264" t="s">
        <v>926</v>
      </c>
      <c r="B47" s="135">
        <v>0</v>
      </c>
      <c r="C47" s="374">
        <v>1</v>
      </c>
      <c r="D47" s="41">
        <v>0</v>
      </c>
      <c r="E47" s="269">
        <f t="shared" si="18"/>
        <v>1</v>
      </c>
      <c r="F47" s="267" t="s">
        <v>883</v>
      </c>
      <c r="G47" s="137">
        <v>5</v>
      </c>
      <c r="H47" s="375">
        <v>0</v>
      </c>
      <c r="I47" s="15">
        <v>5</v>
      </c>
      <c r="J47" s="67">
        <f t="shared" si="19"/>
        <v>10</v>
      </c>
    </row>
    <row r="48" spans="1:10" ht="14.95" thickBot="1" x14ac:dyDescent="0.3">
      <c r="A48" s="264" t="s">
        <v>758</v>
      </c>
      <c r="B48" s="135">
        <v>0</v>
      </c>
      <c r="C48" s="374">
        <v>0</v>
      </c>
      <c r="D48" s="41">
        <v>1</v>
      </c>
      <c r="E48" s="269">
        <f t="shared" si="18"/>
        <v>1</v>
      </c>
      <c r="F48" s="267" t="s">
        <v>926</v>
      </c>
      <c r="G48" s="137">
        <v>0</v>
      </c>
      <c r="H48" s="375">
        <v>5</v>
      </c>
      <c r="I48" s="15">
        <v>0</v>
      </c>
      <c r="J48" s="67">
        <f t="shared" si="19"/>
        <v>5</v>
      </c>
    </row>
    <row r="49" spans="1:10" ht="14.95" thickBot="1" x14ac:dyDescent="0.3">
      <c r="A49" s="264" t="s">
        <v>896</v>
      </c>
      <c r="B49" s="135">
        <v>1</v>
      </c>
      <c r="C49" s="374">
        <v>0</v>
      </c>
      <c r="D49" s="41">
        <v>0</v>
      </c>
      <c r="E49" s="269">
        <f t="shared" si="18"/>
        <v>1</v>
      </c>
      <c r="F49" s="266" t="s">
        <v>896</v>
      </c>
      <c r="G49" s="137">
        <v>5</v>
      </c>
      <c r="H49" s="375">
        <v>0</v>
      </c>
      <c r="I49" s="15">
        <v>0</v>
      </c>
      <c r="J49" s="67">
        <f t="shared" si="19"/>
        <v>5</v>
      </c>
    </row>
    <row r="50" spans="1:10" ht="14.95" thickBot="1" x14ac:dyDescent="0.3">
      <c r="A50" s="264" t="s">
        <v>757</v>
      </c>
      <c r="B50" s="135">
        <v>0</v>
      </c>
      <c r="C50" s="374">
        <v>0</v>
      </c>
      <c r="D50" s="41">
        <v>1</v>
      </c>
      <c r="E50" s="269">
        <f t="shared" si="18"/>
        <v>1</v>
      </c>
      <c r="F50" s="267" t="s">
        <v>757</v>
      </c>
      <c r="G50" s="137">
        <v>0</v>
      </c>
      <c r="H50" s="375">
        <v>0</v>
      </c>
      <c r="I50" s="15">
        <v>5</v>
      </c>
      <c r="J50" s="67">
        <f t="shared" si="19"/>
        <v>5</v>
      </c>
    </row>
    <row r="51" spans="1:10" ht="14.95" thickBot="1" x14ac:dyDescent="0.3">
      <c r="A51" s="264" t="s">
        <v>902</v>
      </c>
      <c r="B51" s="135">
        <v>1</v>
      </c>
      <c r="C51" s="374">
        <v>0</v>
      </c>
      <c r="D51" s="41">
        <v>0</v>
      </c>
      <c r="E51" s="269">
        <f t="shared" si="18"/>
        <v>1</v>
      </c>
      <c r="F51" s="267" t="s">
        <v>902</v>
      </c>
      <c r="G51" s="137">
        <v>5</v>
      </c>
      <c r="H51" s="375">
        <v>0</v>
      </c>
      <c r="I51" s="15">
        <v>0</v>
      </c>
      <c r="J51" s="67">
        <f t="shared" si="19"/>
        <v>5</v>
      </c>
    </row>
    <row r="52" spans="1:10" ht="14.95" thickBot="1" x14ac:dyDescent="0.3">
      <c r="A52" s="264" t="s">
        <v>891</v>
      </c>
      <c r="B52" s="135">
        <v>0</v>
      </c>
      <c r="C52" s="374">
        <v>0</v>
      </c>
      <c r="D52" s="41">
        <v>1</v>
      </c>
      <c r="E52" s="269">
        <f t="shared" si="18"/>
        <v>1</v>
      </c>
      <c r="F52" s="267" t="s">
        <v>891</v>
      </c>
      <c r="G52" s="137">
        <v>0</v>
      </c>
      <c r="H52" s="375">
        <v>0</v>
      </c>
      <c r="I52" s="15">
        <v>5</v>
      </c>
      <c r="J52" s="67">
        <f t="shared" si="19"/>
        <v>5</v>
      </c>
    </row>
    <row r="53" spans="1:10" ht="14.95" thickBot="1" x14ac:dyDescent="0.3">
      <c r="A53" s="264" t="s">
        <v>884</v>
      </c>
      <c r="B53" s="135">
        <v>0</v>
      </c>
      <c r="C53" s="374">
        <v>1</v>
      </c>
      <c r="D53" s="41">
        <v>0</v>
      </c>
      <c r="E53" s="269">
        <f t="shared" si="18"/>
        <v>1</v>
      </c>
      <c r="F53" s="267" t="s">
        <v>884</v>
      </c>
      <c r="G53" s="137">
        <v>0</v>
      </c>
      <c r="H53" s="375">
        <v>5</v>
      </c>
      <c r="I53" s="15">
        <v>0</v>
      </c>
      <c r="J53" s="67">
        <f t="shared" si="19"/>
        <v>5</v>
      </c>
    </row>
    <row r="54" spans="1:10" ht="14.95" thickBot="1" x14ac:dyDescent="0.3">
      <c r="A54" s="264" t="s">
        <v>898</v>
      </c>
      <c r="B54" s="135">
        <v>1</v>
      </c>
      <c r="C54" s="374">
        <v>0</v>
      </c>
      <c r="D54" s="41">
        <v>0</v>
      </c>
      <c r="E54" s="269">
        <f t="shared" si="18"/>
        <v>1</v>
      </c>
      <c r="F54" s="267" t="s">
        <v>898</v>
      </c>
      <c r="G54" s="137">
        <v>5</v>
      </c>
      <c r="H54" s="375">
        <v>0</v>
      </c>
      <c r="I54" s="15">
        <v>0</v>
      </c>
      <c r="J54" s="67">
        <f t="shared" si="19"/>
        <v>5</v>
      </c>
    </row>
    <row r="55" spans="1:10" ht="14.95" thickBot="1" x14ac:dyDescent="0.3">
      <c r="A55" s="264" t="s">
        <v>970</v>
      </c>
      <c r="B55" s="135">
        <v>0</v>
      </c>
      <c r="C55" s="374">
        <v>1</v>
      </c>
      <c r="D55" s="41">
        <v>0</v>
      </c>
      <c r="E55" s="269">
        <f t="shared" si="18"/>
        <v>1</v>
      </c>
      <c r="F55" s="267" t="s">
        <v>970</v>
      </c>
      <c r="G55" s="137">
        <v>0</v>
      </c>
      <c r="H55" s="375">
        <v>5</v>
      </c>
      <c r="I55" s="15">
        <v>0</v>
      </c>
      <c r="J55" s="67">
        <f t="shared" si="19"/>
        <v>5</v>
      </c>
    </row>
    <row r="56" spans="1:10" ht="14.95" thickBot="1" x14ac:dyDescent="0.3">
      <c r="A56" s="264" t="s">
        <v>815</v>
      </c>
      <c r="B56" s="135">
        <v>1</v>
      </c>
      <c r="C56" s="374">
        <v>0</v>
      </c>
      <c r="D56" s="41">
        <v>0</v>
      </c>
      <c r="E56" s="269">
        <f t="shared" si="18"/>
        <v>1</v>
      </c>
      <c r="F56" s="267" t="s">
        <v>815</v>
      </c>
      <c r="G56" s="137">
        <v>5</v>
      </c>
      <c r="H56" s="375">
        <v>0</v>
      </c>
      <c r="I56" s="15">
        <v>0</v>
      </c>
      <c r="J56" s="67">
        <f t="shared" si="19"/>
        <v>5</v>
      </c>
    </row>
    <row r="57" spans="1:10" ht="14.95" thickBot="1" x14ac:dyDescent="0.3">
      <c r="A57" s="264" t="s">
        <v>894</v>
      </c>
      <c r="B57" s="135">
        <v>1</v>
      </c>
      <c r="C57" s="374">
        <v>0</v>
      </c>
      <c r="D57" s="41">
        <v>0</v>
      </c>
      <c r="E57" s="269">
        <f t="shared" si="18"/>
        <v>1</v>
      </c>
      <c r="F57" s="267" t="s">
        <v>894</v>
      </c>
      <c r="G57" s="137">
        <v>5</v>
      </c>
      <c r="H57" s="375">
        <v>0</v>
      </c>
      <c r="I57" s="15">
        <v>0</v>
      </c>
      <c r="J57" s="67">
        <f t="shared" si="19"/>
        <v>5</v>
      </c>
    </row>
    <row r="58" spans="1:10" ht="14.95" thickBot="1" x14ac:dyDescent="0.3">
      <c r="A58" s="264" t="s">
        <v>900</v>
      </c>
      <c r="B58" s="135">
        <v>0</v>
      </c>
      <c r="C58" s="374">
        <v>0</v>
      </c>
      <c r="D58" s="41">
        <v>0</v>
      </c>
      <c r="E58" s="269">
        <f t="shared" si="18"/>
        <v>0</v>
      </c>
      <c r="F58" s="267" t="s">
        <v>900</v>
      </c>
      <c r="G58" s="137">
        <v>0</v>
      </c>
      <c r="H58" s="375">
        <v>0</v>
      </c>
      <c r="I58" s="15">
        <v>0</v>
      </c>
      <c r="J58" s="67">
        <f t="shared" si="19"/>
        <v>0</v>
      </c>
    </row>
    <row r="59" spans="1:10" ht="14.95" thickBot="1" x14ac:dyDescent="0.3">
      <c r="A59" s="264" t="s">
        <v>901</v>
      </c>
      <c r="B59" s="135">
        <v>0</v>
      </c>
      <c r="C59" s="374">
        <v>0</v>
      </c>
      <c r="D59" s="41">
        <v>0</v>
      </c>
      <c r="E59" s="269">
        <f t="shared" si="18"/>
        <v>0</v>
      </c>
      <c r="F59" s="267" t="s">
        <v>901</v>
      </c>
      <c r="G59" s="137">
        <v>0</v>
      </c>
      <c r="H59" s="375">
        <v>0</v>
      </c>
      <c r="I59" s="15">
        <v>0</v>
      </c>
      <c r="J59" s="67">
        <f t="shared" si="19"/>
        <v>0</v>
      </c>
    </row>
    <row r="60" spans="1:10" ht="14.95" thickBot="1" x14ac:dyDescent="0.3">
      <c r="A60" s="264" t="s">
        <v>904</v>
      </c>
      <c r="B60" s="135">
        <v>0</v>
      </c>
      <c r="C60" s="374">
        <v>0</v>
      </c>
      <c r="D60" s="41">
        <v>0</v>
      </c>
      <c r="E60" s="269">
        <f t="shared" si="18"/>
        <v>0</v>
      </c>
      <c r="F60" s="267" t="s">
        <v>904</v>
      </c>
      <c r="G60" s="137">
        <v>0</v>
      </c>
      <c r="H60" s="375">
        <v>0</v>
      </c>
      <c r="I60" s="15">
        <v>0</v>
      </c>
      <c r="J60" s="67">
        <f t="shared" si="19"/>
        <v>0</v>
      </c>
    </row>
    <row r="61" spans="1:10" ht="14.3" customHeight="1" thickBot="1" x14ac:dyDescent="0.3">
      <c r="A61" s="264" t="s">
        <v>208</v>
      </c>
      <c r="B61" s="135">
        <v>0</v>
      </c>
      <c r="C61" s="374">
        <v>0</v>
      </c>
      <c r="D61" s="41">
        <v>0</v>
      </c>
      <c r="E61" s="269">
        <f t="shared" si="18"/>
        <v>0</v>
      </c>
      <c r="F61" s="267" t="s">
        <v>208</v>
      </c>
      <c r="G61" s="137">
        <v>0</v>
      </c>
      <c r="H61" s="375">
        <v>0</v>
      </c>
      <c r="I61" s="15">
        <v>0</v>
      </c>
      <c r="J61" s="67">
        <f t="shared" si="19"/>
        <v>0</v>
      </c>
    </row>
    <row r="62" spans="1:10" ht="14.95" thickBot="1" x14ac:dyDescent="0.3">
      <c r="A62" s="264" t="s">
        <v>819</v>
      </c>
      <c r="B62" s="135">
        <v>0</v>
      </c>
      <c r="C62" s="374">
        <v>0</v>
      </c>
      <c r="D62" s="41">
        <v>0</v>
      </c>
      <c r="E62" s="269">
        <f t="shared" si="18"/>
        <v>0</v>
      </c>
      <c r="F62" s="267" t="s">
        <v>819</v>
      </c>
      <c r="G62" s="137">
        <v>0</v>
      </c>
      <c r="H62" s="375">
        <v>0</v>
      </c>
      <c r="I62" s="15">
        <v>0</v>
      </c>
      <c r="J62" s="67">
        <f t="shared" si="19"/>
        <v>0</v>
      </c>
    </row>
    <row r="63" spans="1:10" ht="14.3" customHeight="1" thickBot="1" x14ac:dyDescent="0.3">
      <c r="A63" s="264" t="s">
        <v>3</v>
      </c>
      <c r="B63" s="135">
        <f>SUM(B35:B62)</f>
        <v>17</v>
      </c>
      <c r="C63" s="374">
        <f>SUM(C35:C62)</f>
        <v>9</v>
      </c>
      <c r="D63" s="41">
        <f>SUM(D35:D62)</f>
        <v>17</v>
      </c>
      <c r="E63" s="269">
        <f t="shared" ref="E63" si="20">SUM(B63:D63)</f>
        <v>43</v>
      </c>
      <c r="F63" s="268" t="s">
        <v>3</v>
      </c>
      <c r="G63" s="136">
        <f>SUM(G35:G62)</f>
        <v>115</v>
      </c>
      <c r="H63" s="370">
        <f>SUM(H35:H62)</f>
        <v>56</v>
      </c>
      <c r="I63" s="70">
        <f>SUM(I35:I62)</f>
        <v>112</v>
      </c>
      <c r="J63" s="78">
        <f t="shared" ref="J63" si="21">SUM(G63:I63)</f>
        <v>283</v>
      </c>
    </row>
    <row r="64" spans="1:10" ht="16.3" x14ac:dyDescent="0.3">
      <c r="A64" s="524" t="s">
        <v>10</v>
      </c>
      <c r="B64" s="524"/>
      <c r="C64" s="524"/>
      <c r="D64" s="525"/>
    </row>
  </sheetData>
  <sortState xmlns:xlrd2="http://schemas.microsoft.com/office/spreadsheetml/2017/richdata2" ref="F35:J62">
    <sortCondition descending="1" ref="J35:J62"/>
  </sortState>
  <mergeCells count="13">
    <mergeCell ref="A64:D64"/>
    <mergeCell ref="R1:R2"/>
    <mergeCell ref="A1:J1"/>
    <mergeCell ref="K22:K23"/>
    <mergeCell ref="L22:N23"/>
    <mergeCell ref="O22:Q23"/>
    <mergeCell ref="K1:K2"/>
    <mergeCell ref="L1:N2"/>
    <mergeCell ref="O1:Q2"/>
    <mergeCell ref="K15:K16"/>
    <mergeCell ref="L15:N16"/>
    <mergeCell ref="K9:K10"/>
    <mergeCell ref="L9:N10"/>
  </mergeCells>
  <pageMargins left="0.7" right="0.7" top="0.75" bottom="0.75" header="0.3" footer="0.3"/>
  <ignoredErrors>
    <ignoredError sqref="E17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1366-8D95-4958-879E-5D32C53AC51C}">
  <dimension ref="A1:AF90"/>
  <sheetViews>
    <sheetView workbookViewId="0">
      <selection activeCell="G17" sqref="G17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4.95" customHeight="1" thickBot="1" x14ac:dyDescent="0.3">
      <c r="A1" s="627" t="s">
        <v>1007</v>
      </c>
      <c r="B1" s="628"/>
      <c r="C1" s="628"/>
      <c r="D1" s="628"/>
      <c r="E1" s="628"/>
      <c r="F1" s="628"/>
      <c r="G1" s="628"/>
      <c r="H1" s="628"/>
      <c r="I1" s="628"/>
      <c r="J1" s="629"/>
      <c r="K1" s="630" t="s">
        <v>15</v>
      </c>
      <c r="L1" s="502">
        <v>2025</v>
      </c>
      <c r="M1" s="503"/>
      <c r="N1" s="504"/>
      <c r="O1" s="502" t="s">
        <v>12</v>
      </c>
      <c r="P1" s="503"/>
      <c r="Q1" s="504"/>
      <c r="R1" s="522" t="s">
        <v>16</v>
      </c>
      <c r="S1" s="510">
        <v>2024</v>
      </c>
      <c r="T1" s="511"/>
      <c r="U1" s="512"/>
      <c r="V1" s="510">
        <v>2024</v>
      </c>
      <c r="W1" s="511"/>
      <c r="X1" s="512"/>
      <c r="Y1" s="261"/>
      <c r="Z1" s="261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250" t="s">
        <v>0</v>
      </c>
      <c r="B2" s="476" t="s">
        <v>223</v>
      </c>
      <c r="C2" s="481" t="s">
        <v>500</v>
      </c>
      <c r="D2" s="236" t="s">
        <v>11</v>
      </c>
      <c r="E2" s="252" t="s">
        <v>1</v>
      </c>
      <c r="F2" s="208" t="s">
        <v>2</v>
      </c>
      <c r="G2" s="478" t="s">
        <v>223</v>
      </c>
      <c r="H2" s="469" t="s">
        <v>500</v>
      </c>
      <c r="I2" s="118" t="s">
        <v>11</v>
      </c>
      <c r="J2" s="118" t="s">
        <v>1</v>
      </c>
      <c r="K2" s="631"/>
      <c r="L2" s="505"/>
      <c r="M2" s="506"/>
      <c r="N2" s="507"/>
      <c r="O2" s="505"/>
      <c r="P2" s="506"/>
      <c r="Q2" s="507"/>
      <c r="R2" s="523"/>
      <c r="S2" s="513"/>
      <c r="T2" s="514"/>
      <c r="U2" s="515"/>
      <c r="V2" s="513"/>
      <c r="W2" s="514"/>
      <c r="X2" s="515"/>
      <c r="Y2" s="57"/>
      <c r="Z2" s="57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251" t="s">
        <v>291</v>
      </c>
      <c r="B3" s="477">
        <v>0</v>
      </c>
      <c r="C3" s="482">
        <v>0</v>
      </c>
      <c r="D3" s="235">
        <v>0</v>
      </c>
      <c r="E3" s="253">
        <f t="shared" ref="E3:E44" si="0">SUM(B3:D3)</f>
        <v>0</v>
      </c>
      <c r="F3" s="119" t="s">
        <v>291</v>
      </c>
      <c r="G3" s="479">
        <v>0</v>
      </c>
      <c r="H3" s="483">
        <v>0</v>
      </c>
      <c r="I3" s="29">
        <v>0</v>
      </c>
      <c r="J3" s="29">
        <f t="shared" ref="J3:J44" si="1">SUM(G3:I3)</f>
        <v>0</v>
      </c>
      <c r="K3" s="141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217" t="s">
        <v>17</v>
      </c>
      <c r="T3" s="217" t="s">
        <v>5</v>
      </c>
      <c r="U3" s="217" t="s">
        <v>6</v>
      </c>
      <c r="V3" s="217" t="s">
        <v>17</v>
      </c>
      <c r="W3" s="217" t="s">
        <v>5</v>
      </c>
      <c r="X3" s="217" t="s">
        <v>6</v>
      </c>
      <c r="Y3" s="24"/>
      <c r="Z3" s="24"/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251" t="s">
        <v>957</v>
      </c>
      <c r="B4" s="477">
        <v>0</v>
      </c>
      <c r="C4" s="482">
        <v>0</v>
      </c>
      <c r="D4" s="235">
        <v>0</v>
      </c>
      <c r="E4" s="253">
        <f t="shared" si="0"/>
        <v>0</v>
      </c>
      <c r="F4" s="120" t="s">
        <v>957</v>
      </c>
      <c r="G4" s="479">
        <v>0</v>
      </c>
      <c r="H4" s="483">
        <v>0</v>
      </c>
      <c r="I4" s="29">
        <v>0</v>
      </c>
      <c r="J4" s="29">
        <f t="shared" si="1"/>
        <v>0</v>
      </c>
      <c r="K4" s="251" t="s">
        <v>560</v>
      </c>
      <c r="L4" s="253">
        <v>0</v>
      </c>
      <c r="M4" s="253">
        <v>1</v>
      </c>
      <c r="N4" s="254">
        <f>SUM(L4/M4)*100</f>
        <v>0</v>
      </c>
      <c r="O4" s="253">
        <v>0</v>
      </c>
      <c r="P4" s="253">
        <v>1</v>
      </c>
      <c r="Q4" s="254">
        <f>SUM(O4/P4)*100</f>
        <v>0</v>
      </c>
      <c r="R4" s="255">
        <v>-2</v>
      </c>
      <c r="S4" s="217" t="s">
        <v>8</v>
      </c>
      <c r="T4" s="217" t="s">
        <v>8</v>
      </c>
      <c r="U4" s="296" t="s">
        <v>8</v>
      </c>
      <c r="V4" s="217" t="s">
        <v>8</v>
      </c>
      <c r="W4" s="217" t="s">
        <v>8</v>
      </c>
      <c r="X4" s="296" t="s">
        <v>8</v>
      </c>
      <c r="Y4" s="24"/>
      <c r="Z4" s="25"/>
      <c r="AA4" s="260">
        <v>0</v>
      </c>
      <c r="AB4" s="59">
        <v>1</v>
      </c>
      <c r="AC4" s="117">
        <f>SUM(AA4/AB4)*100</f>
        <v>0</v>
      </c>
      <c r="AD4" s="260" t="s">
        <v>8</v>
      </c>
      <c r="AE4" s="59" t="s">
        <v>8</v>
      </c>
      <c r="AF4" s="117" t="s">
        <v>8</v>
      </c>
    </row>
    <row r="5" spans="1:32" ht="14.95" customHeight="1" thickBot="1" x14ac:dyDescent="0.3">
      <c r="A5" s="251" t="s">
        <v>300</v>
      </c>
      <c r="B5" s="477">
        <v>0</v>
      </c>
      <c r="C5" s="482">
        <v>0</v>
      </c>
      <c r="D5" s="235">
        <v>0</v>
      </c>
      <c r="E5" s="253">
        <f t="shared" si="0"/>
        <v>0</v>
      </c>
      <c r="F5" s="120" t="s">
        <v>300</v>
      </c>
      <c r="G5" s="479">
        <v>0</v>
      </c>
      <c r="H5" s="483">
        <v>0</v>
      </c>
      <c r="I5" s="29">
        <v>0</v>
      </c>
      <c r="J5" s="29">
        <f t="shared" si="1"/>
        <v>0</v>
      </c>
      <c r="K5" s="251" t="s">
        <v>230</v>
      </c>
      <c r="L5" s="253" t="s">
        <v>8</v>
      </c>
      <c r="M5" s="253" t="s">
        <v>8</v>
      </c>
      <c r="N5" s="254" t="s">
        <v>8</v>
      </c>
      <c r="O5" s="253" t="s">
        <v>8</v>
      </c>
      <c r="P5" s="253" t="s">
        <v>8</v>
      </c>
      <c r="Q5" s="254" t="s">
        <v>8</v>
      </c>
      <c r="R5" s="255">
        <v>3</v>
      </c>
      <c r="S5" s="217">
        <v>5</v>
      </c>
      <c r="T5" s="217">
        <v>7</v>
      </c>
      <c r="U5" s="296">
        <v>71.428571428571431</v>
      </c>
      <c r="V5" s="217">
        <v>8</v>
      </c>
      <c r="W5" s="217">
        <v>13</v>
      </c>
      <c r="X5" s="296">
        <f>SUM(V5/W5)*100</f>
        <v>61.53846153846154</v>
      </c>
      <c r="Y5" s="24"/>
      <c r="Z5" s="25"/>
      <c r="AA5" s="260">
        <v>10</v>
      </c>
      <c r="AB5" s="59">
        <v>18</v>
      </c>
      <c r="AC5" s="117">
        <f>SUM(AA5/AB5)*100</f>
        <v>55.555555555555557</v>
      </c>
      <c r="AD5" s="260">
        <v>7</v>
      </c>
      <c r="AE5" s="59">
        <v>13</v>
      </c>
      <c r="AF5" s="117">
        <f>SUM(AD5/AE5)*100</f>
        <v>53.846153846153847</v>
      </c>
    </row>
    <row r="6" spans="1:32" ht="14.95" customHeight="1" thickBot="1" x14ac:dyDescent="0.3">
      <c r="A6" s="251" t="s">
        <v>559</v>
      </c>
      <c r="B6" s="477">
        <v>0</v>
      </c>
      <c r="C6" s="482">
        <v>0</v>
      </c>
      <c r="D6" s="235">
        <v>0</v>
      </c>
      <c r="E6" s="253">
        <f t="shared" si="0"/>
        <v>0</v>
      </c>
      <c r="F6" s="120" t="s">
        <v>559</v>
      </c>
      <c r="G6" s="479">
        <v>0</v>
      </c>
      <c r="H6" s="483">
        <v>0</v>
      </c>
      <c r="I6" s="29">
        <v>0</v>
      </c>
      <c r="J6" s="29">
        <f t="shared" si="1"/>
        <v>0</v>
      </c>
      <c r="K6" s="251" t="s">
        <v>304</v>
      </c>
      <c r="L6" s="253" t="s">
        <v>8</v>
      </c>
      <c r="M6" s="253" t="s">
        <v>8</v>
      </c>
      <c r="N6" s="254" t="s">
        <v>8</v>
      </c>
      <c r="O6" s="253" t="s">
        <v>8</v>
      </c>
      <c r="P6" s="253" t="s">
        <v>8</v>
      </c>
      <c r="Q6" s="254" t="s">
        <v>8</v>
      </c>
      <c r="R6" s="255">
        <v>1</v>
      </c>
      <c r="S6" s="217" t="s">
        <v>8</v>
      </c>
      <c r="T6" s="217" t="s">
        <v>8</v>
      </c>
      <c r="U6" s="296" t="s">
        <v>8</v>
      </c>
      <c r="V6" s="217" t="s">
        <v>8</v>
      </c>
      <c r="W6" s="217" t="s">
        <v>8</v>
      </c>
      <c r="X6" s="296" t="s">
        <v>8</v>
      </c>
      <c r="Y6" s="24"/>
      <c r="Z6" s="25"/>
      <c r="AA6" s="260">
        <v>1</v>
      </c>
      <c r="AB6" s="59">
        <v>1</v>
      </c>
      <c r="AC6" s="117">
        <f>SUM(AA6/AB6)*100</f>
        <v>100</v>
      </c>
      <c r="AD6" s="260" t="s">
        <v>8</v>
      </c>
      <c r="AE6" s="59" t="s">
        <v>8</v>
      </c>
      <c r="AF6" s="117" t="s">
        <v>8</v>
      </c>
    </row>
    <row r="7" spans="1:32" ht="14.95" customHeight="1" thickBot="1" x14ac:dyDescent="0.3">
      <c r="A7" s="251" t="s">
        <v>230</v>
      </c>
      <c r="B7" s="477">
        <v>0</v>
      </c>
      <c r="C7" s="482">
        <v>0</v>
      </c>
      <c r="D7" s="235">
        <v>0</v>
      </c>
      <c r="E7" s="253">
        <f t="shared" si="0"/>
        <v>0</v>
      </c>
      <c r="F7" s="120" t="s">
        <v>230</v>
      </c>
      <c r="G7" s="479">
        <v>0</v>
      </c>
      <c r="H7" s="483">
        <v>0</v>
      </c>
      <c r="I7" s="29">
        <v>0</v>
      </c>
      <c r="J7" s="29">
        <f t="shared" si="1"/>
        <v>0</v>
      </c>
      <c r="K7" s="251" t="s">
        <v>242</v>
      </c>
      <c r="L7" s="253" t="s">
        <v>8</v>
      </c>
      <c r="M7" s="253" t="s">
        <v>8</v>
      </c>
      <c r="N7" s="254" t="s">
        <v>8</v>
      </c>
      <c r="O7" s="253" t="s">
        <v>8</v>
      </c>
      <c r="P7" s="253" t="s">
        <v>8</v>
      </c>
      <c r="Q7" s="254" t="s">
        <v>8</v>
      </c>
      <c r="R7" s="255">
        <v>2</v>
      </c>
      <c r="S7" s="217" t="s">
        <v>8</v>
      </c>
      <c r="T7" s="217" t="s">
        <v>8</v>
      </c>
      <c r="U7" s="296" t="s">
        <v>8</v>
      </c>
      <c r="V7" s="217" t="s">
        <v>8</v>
      </c>
      <c r="W7" s="217" t="s">
        <v>8</v>
      </c>
      <c r="X7" s="296" t="s">
        <v>8</v>
      </c>
      <c r="Y7" s="24"/>
      <c r="Z7" s="25"/>
      <c r="AA7" s="260" t="s">
        <v>8</v>
      </c>
      <c r="AB7" s="59" t="s">
        <v>8</v>
      </c>
      <c r="AC7" s="117" t="s">
        <v>8</v>
      </c>
      <c r="AD7" s="260">
        <v>2</v>
      </c>
      <c r="AE7" s="59">
        <v>2</v>
      </c>
      <c r="AF7" s="117">
        <f>SUM(AD7/AE7)*100</f>
        <v>100</v>
      </c>
    </row>
    <row r="8" spans="1:32" ht="14.95" customHeight="1" thickBot="1" x14ac:dyDescent="0.3">
      <c r="A8" s="251" t="s">
        <v>289</v>
      </c>
      <c r="B8" s="477">
        <v>0</v>
      </c>
      <c r="C8" s="482">
        <v>0</v>
      </c>
      <c r="D8" s="235">
        <v>0</v>
      </c>
      <c r="E8" s="253">
        <f t="shared" si="0"/>
        <v>0</v>
      </c>
      <c r="F8" s="120" t="s">
        <v>289</v>
      </c>
      <c r="G8" s="479">
        <v>0</v>
      </c>
      <c r="H8" s="483">
        <v>0</v>
      </c>
      <c r="I8" s="29">
        <v>0</v>
      </c>
      <c r="J8" s="29">
        <f t="shared" si="1"/>
        <v>0</v>
      </c>
      <c r="K8" s="251" t="s">
        <v>228</v>
      </c>
      <c r="L8" s="253" t="s">
        <v>8</v>
      </c>
      <c r="M8" s="253" t="s">
        <v>8</v>
      </c>
      <c r="N8" s="254" t="s">
        <v>8</v>
      </c>
      <c r="O8" s="253" t="s">
        <v>8</v>
      </c>
      <c r="P8" s="253" t="s">
        <v>8</v>
      </c>
      <c r="Q8" s="254" t="s">
        <v>8</v>
      </c>
      <c r="R8" s="255">
        <v>-3</v>
      </c>
      <c r="S8" s="217">
        <v>19</v>
      </c>
      <c r="T8" s="217">
        <v>28</v>
      </c>
      <c r="U8" s="296">
        <v>67.857142857142861</v>
      </c>
      <c r="V8" s="217">
        <v>12</v>
      </c>
      <c r="W8" s="217">
        <v>13</v>
      </c>
      <c r="X8" s="296">
        <f>SUM(V8/W8)*100</f>
        <v>92.307692307692307</v>
      </c>
      <c r="Y8" s="24"/>
      <c r="Z8" s="25"/>
      <c r="AA8" s="260">
        <v>5</v>
      </c>
      <c r="AB8" s="59">
        <v>7</v>
      </c>
      <c r="AC8" s="117">
        <f>SUM(AA8/AB8)*100</f>
        <v>71.428571428571431</v>
      </c>
      <c r="AD8" s="260">
        <v>0</v>
      </c>
      <c r="AE8" s="59">
        <v>1</v>
      </c>
      <c r="AF8" s="117">
        <f>SUM(AD8/AE8)*100</f>
        <v>0</v>
      </c>
    </row>
    <row r="9" spans="1:32" ht="14.95" customHeight="1" thickBot="1" x14ac:dyDescent="0.3">
      <c r="A9" s="251" t="s">
        <v>763</v>
      </c>
      <c r="B9" s="477">
        <v>1</v>
      </c>
      <c r="C9" s="482">
        <v>0</v>
      </c>
      <c r="D9" s="235">
        <v>0</v>
      </c>
      <c r="E9" s="253">
        <f t="shared" si="0"/>
        <v>1</v>
      </c>
      <c r="F9" s="120" t="s">
        <v>763</v>
      </c>
      <c r="G9" s="479">
        <v>5</v>
      </c>
      <c r="H9" s="483">
        <v>0</v>
      </c>
      <c r="I9" s="29">
        <v>0</v>
      </c>
      <c r="J9" s="29">
        <f t="shared" si="1"/>
        <v>5</v>
      </c>
      <c r="K9" s="251" t="s">
        <v>283</v>
      </c>
      <c r="L9" s="253" t="s">
        <v>8</v>
      </c>
      <c r="M9" s="253" t="s">
        <v>8</v>
      </c>
      <c r="N9" s="254" t="s">
        <v>8</v>
      </c>
      <c r="O9" s="253" t="s">
        <v>8</v>
      </c>
      <c r="P9" s="253" t="s">
        <v>8</v>
      </c>
      <c r="Q9" s="254" t="s">
        <v>8</v>
      </c>
      <c r="R9" s="255">
        <v>2</v>
      </c>
      <c r="S9" s="217" t="s">
        <v>8</v>
      </c>
      <c r="T9" s="217" t="s">
        <v>8</v>
      </c>
      <c r="U9" s="296" t="s">
        <v>8</v>
      </c>
      <c r="V9" s="217" t="s">
        <v>8</v>
      </c>
      <c r="W9" s="217" t="s">
        <v>8</v>
      </c>
      <c r="X9" s="296" t="s">
        <v>8</v>
      </c>
      <c r="Y9" s="24"/>
      <c r="Z9" s="25"/>
      <c r="AA9" s="260" t="s">
        <v>8</v>
      </c>
      <c r="AB9" s="59" t="s">
        <v>8</v>
      </c>
      <c r="AC9" s="117" t="s">
        <v>8</v>
      </c>
      <c r="AD9" s="260">
        <v>8</v>
      </c>
      <c r="AE9" s="59">
        <v>10</v>
      </c>
      <c r="AF9" s="117">
        <f>SUM(AD9/AE9)*100</f>
        <v>80</v>
      </c>
    </row>
    <row r="10" spans="1:32" ht="14.95" customHeight="1" thickBot="1" x14ac:dyDescent="0.3">
      <c r="A10" s="251" t="s">
        <v>302</v>
      </c>
      <c r="B10" s="477">
        <v>0</v>
      </c>
      <c r="C10" s="482">
        <v>0</v>
      </c>
      <c r="D10" s="235">
        <v>0</v>
      </c>
      <c r="E10" s="253">
        <f t="shared" si="0"/>
        <v>0</v>
      </c>
      <c r="F10" s="120" t="s">
        <v>302</v>
      </c>
      <c r="G10" s="479">
        <v>0</v>
      </c>
      <c r="H10" s="483">
        <v>0</v>
      </c>
      <c r="I10" s="29">
        <v>0</v>
      </c>
      <c r="J10" s="29">
        <f t="shared" si="1"/>
        <v>0</v>
      </c>
      <c r="K10" s="251" t="s">
        <v>1030</v>
      </c>
      <c r="L10" s="253">
        <v>6</v>
      </c>
      <c r="M10" s="253">
        <v>7</v>
      </c>
      <c r="N10" s="254">
        <f>SUM(L10/M10)*100</f>
        <v>85.714285714285708</v>
      </c>
      <c r="O10" s="253">
        <v>4</v>
      </c>
      <c r="P10" s="253">
        <v>4</v>
      </c>
      <c r="Q10" s="254">
        <f>SUM(O10/P10)*100</f>
        <v>100</v>
      </c>
      <c r="R10" s="255">
        <v>4</v>
      </c>
      <c r="S10" s="217" t="s">
        <v>8</v>
      </c>
      <c r="T10" s="217" t="s">
        <v>8</v>
      </c>
      <c r="U10" s="296" t="s">
        <v>8</v>
      </c>
      <c r="V10" s="217" t="s">
        <v>8</v>
      </c>
      <c r="W10" s="217" t="s">
        <v>8</v>
      </c>
      <c r="X10" s="296" t="s">
        <v>8</v>
      </c>
      <c r="Y10" s="24"/>
      <c r="Z10" s="25"/>
      <c r="AA10" s="260" t="s">
        <v>8</v>
      </c>
      <c r="AB10" s="59" t="s">
        <v>8</v>
      </c>
      <c r="AC10" s="117" t="s">
        <v>8</v>
      </c>
      <c r="AD10" s="260" t="s">
        <v>8</v>
      </c>
      <c r="AE10" s="59" t="s">
        <v>8</v>
      </c>
      <c r="AF10" s="117" t="s">
        <v>8</v>
      </c>
    </row>
    <row r="11" spans="1:32" ht="14.95" customHeight="1" thickBot="1" x14ac:dyDescent="0.3">
      <c r="A11" s="251" t="s">
        <v>304</v>
      </c>
      <c r="B11" s="477">
        <v>0</v>
      </c>
      <c r="C11" s="482">
        <v>0</v>
      </c>
      <c r="D11" s="235">
        <v>0</v>
      </c>
      <c r="E11" s="253">
        <f t="shared" si="0"/>
        <v>0</v>
      </c>
      <c r="F11" s="120" t="s">
        <v>304</v>
      </c>
      <c r="G11" s="479">
        <v>0</v>
      </c>
      <c r="H11" s="483">
        <v>0</v>
      </c>
      <c r="I11" s="29">
        <v>0</v>
      </c>
      <c r="J11" s="29">
        <f t="shared" si="1"/>
        <v>0</v>
      </c>
      <c r="K11" s="45"/>
      <c r="L11" s="45"/>
      <c r="M11" s="45"/>
      <c r="N11" s="45"/>
      <c r="O11" s="45"/>
      <c r="P11" s="45"/>
      <c r="Q11" s="45"/>
    </row>
    <row r="12" spans="1:32" ht="14.95" customHeight="1" thickBot="1" x14ac:dyDescent="0.3">
      <c r="A12" s="251" t="s">
        <v>242</v>
      </c>
      <c r="B12" s="477">
        <v>0</v>
      </c>
      <c r="C12" s="482">
        <v>0</v>
      </c>
      <c r="D12" s="235">
        <v>0</v>
      </c>
      <c r="E12" s="253">
        <f t="shared" si="0"/>
        <v>0</v>
      </c>
      <c r="F12" s="120" t="s">
        <v>242</v>
      </c>
      <c r="G12" s="479">
        <v>0</v>
      </c>
      <c r="H12" s="483">
        <v>0</v>
      </c>
      <c r="I12" s="29">
        <v>0</v>
      </c>
      <c r="J12" s="29">
        <f t="shared" si="1"/>
        <v>0</v>
      </c>
      <c r="K12" s="508" t="s">
        <v>226</v>
      </c>
      <c r="L12" s="502">
        <v>2026</v>
      </c>
      <c r="M12" s="503"/>
      <c r="N12" s="504"/>
      <c r="O12" s="516">
        <v>2025</v>
      </c>
      <c r="P12" s="517"/>
      <c r="Q12" s="518"/>
      <c r="R12" s="516">
        <v>2024</v>
      </c>
      <c r="S12" s="517"/>
      <c r="T12" s="518"/>
      <c r="U12" s="516">
        <v>2023</v>
      </c>
      <c r="V12" s="517"/>
      <c r="W12" s="518"/>
      <c r="AA12" s="516">
        <v>2022</v>
      </c>
      <c r="AB12" s="517"/>
      <c r="AC12" s="518"/>
    </row>
    <row r="13" spans="1:32" ht="14.95" customHeight="1" thickBot="1" x14ac:dyDescent="0.3">
      <c r="A13" s="251" t="s">
        <v>303</v>
      </c>
      <c r="B13" s="477">
        <v>0</v>
      </c>
      <c r="C13" s="482">
        <v>0</v>
      </c>
      <c r="D13" s="235">
        <v>0</v>
      </c>
      <c r="E13" s="253">
        <f t="shared" si="0"/>
        <v>0</v>
      </c>
      <c r="F13" s="120" t="s">
        <v>303</v>
      </c>
      <c r="G13" s="479">
        <v>0</v>
      </c>
      <c r="H13" s="483">
        <v>0</v>
      </c>
      <c r="I13" s="29">
        <v>0</v>
      </c>
      <c r="J13" s="29">
        <f t="shared" si="1"/>
        <v>0</v>
      </c>
      <c r="K13" s="509"/>
      <c r="L13" s="505"/>
      <c r="M13" s="506"/>
      <c r="N13" s="507"/>
      <c r="O13" s="519"/>
      <c r="P13" s="520"/>
      <c r="Q13" s="521"/>
      <c r="R13" s="519"/>
      <c r="S13" s="520"/>
      <c r="T13" s="521"/>
      <c r="U13" s="519"/>
      <c r="V13" s="520"/>
      <c r="W13" s="521"/>
      <c r="AA13" s="519"/>
      <c r="AB13" s="520"/>
      <c r="AC13" s="521"/>
    </row>
    <row r="14" spans="1:32" ht="14.95" customHeight="1" thickBot="1" x14ac:dyDescent="0.3">
      <c r="A14" s="251" t="s">
        <v>644</v>
      </c>
      <c r="B14" s="477">
        <v>0</v>
      </c>
      <c r="C14" s="482">
        <v>0</v>
      </c>
      <c r="D14" s="235">
        <v>0</v>
      </c>
      <c r="E14" s="253">
        <f t="shared" si="0"/>
        <v>0</v>
      </c>
      <c r="F14" s="120" t="s">
        <v>644</v>
      </c>
      <c r="G14" s="479">
        <v>0</v>
      </c>
      <c r="H14" s="483">
        <v>0</v>
      </c>
      <c r="I14" s="29">
        <v>0</v>
      </c>
      <c r="J14" s="29">
        <f t="shared" si="1"/>
        <v>0</v>
      </c>
      <c r="K14" s="317"/>
      <c r="L14" s="29" t="s">
        <v>17</v>
      </c>
      <c r="M14" s="29" t="s">
        <v>5</v>
      </c>
      <c r="N14" s="29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AA14" s="260" t="s">
        <v>17</v>
      </c>
      <c r="AB14" s="59" t="s">
        <v>5</v>
      </c>
      <c r="AC14" s="59" t="s">
        <v>6</v>
      </c>
    </row>
    <row r="15" spans="1:32" ht="14.95" customHeight="1" thickBot="1" x14ac:dyDescent="0.3">
      <c r="A15" s="251" t="s">
        <v>228</v>
      </c>
      <c r="B15" s="477">
        <v>0</v>
      </c>
      <c r="C15" s="482">
        <v>0</v>
      </c>
      <c r="D15" s="235">
        <v>0</v>
      </c>
      <c r="E15" s="253">
        <f t="shared" si="0"/>
        <v>0</v>
      </c>
      <c r="F15" s="120" t="s">
        <v>228</v>
      </c>
      <c r="G15" s="479">
        <v>0</v>
      </c>
      <c r="H15" s="483">
        <v>0</v>
      </c>
      <c r="I15" s="29">
        <v>0</v>
      </c>
      <c r="J15" s="29">
        <f t="shared" si="1"/>
        <v>0</v>
      </c>
      <c r="K15" s="251" t="s">
        <v>560</v>
      </c>
      <c r="L15" s="253">
        <v>0</v>
      </c>
      <c r="M15" s="253">
        <v>1</v>
      </c>
      <c r="N15" s="254">
        <f>SUM(L15/M15)*100</f>
        <v>0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 t="s">
        <v>8</v>
      </c>
      <c r="V15" s="59" t="s">
        <v>8</v>
      </c>
      <c r="W15" s="117" t="s">
        <v>8</v>
      </c>
      <c r="AA15" s="185" t="s">
        <v>8</v>
      </c>
      <c r="AB15" s="59" t="s">
        <v>8</v>
      </c>
      <c r="AC15" s="117" t="s">
        <v>8</v>
      </c>
    </row>
    <row r="16" spans="1:32" ht="14.95" customHeight="1" thickBot="1" x14ac:dyDescent="0.3">
      <c r="A16" s="251" t="s">
        <v>294</v>
      </c>
      <c r="B16" s="477">
        <v>0</v>
      </c>
      <c r="C16" s="482">
        <v>0</v>
      </c>
      <c r="D16" s="235">
        <v>0</v>
      </c>
      <c r="E16" s="253">
        <f t="shared" si="0"/>
        <v>0</v>
      </c>
      <c r="F16" s="120" t="s">
        <v>294</v>
      </c>
      <c r="G16" s="479">
        <v>0</v>
      </c>
      <c r="H16" s="483">
        <v>0</v>
      </c>
      <c r="I16" s="29">
        <v>0</v>
      </c>
      <c r="J16" s="29">
        <f t="shared" si="1"/>
        <v>0</v>
      </c>
      <c r="K16" s="251" t="s">
        <v>230</v>
      </c>
      <c r="L16" s="253" t="s">
        <v>8</v>
      </c>
      <c r="M16" s="253" t="s">
        <v>8</v>
      </c>
      <c r="N16" s="254" t="s">
        <v>8</v>
      </c>
      <c r="O16" s="59" t="s">
        <v>8</v>
      </c>
      <c r="P16" s="59" t="s">
        <v>8</v>
      </c>
      <c r="Q16" s="117" t="s">
        <v>8</v>
      </c>
      <c r="R16" s="59">
        <v>4</v>
      </c>
      <c r="S16" s="59">
        <v>7</v>
      </c>
      <c r="T16" s="117">
        <f>SUM(R16/S16)*100</f>
        <v>57.142857142857139</v>
      </c>
      <c r="U16" s="59">
        <v>2</v>
      </c>
      <c r="V16" s="59">
        <v>2</v>
      </c>
      <c r="W16" s="117">
        <f>SUM(U16/V16)*100</f>
        <v>100</v>
      </c>
      <c r="AA16" s="260">
        <v>4</v>
      </c>
      <c r="AB16" s="59">
        <v>4</v>
      </c>
      <c r="AC16" s="117">
        <f>SUM(AA16/AB16)*100</f>
        <v>100</v>
      </c>
    </row>
    <row r="17" spans="1:29" ht="14.95" customHeight="1" thickBot="1" x14ac:dyDescent="0.3">
      <c r="A17" s="251" t="s">
        <v>290</v>
      </c>
      <c r="B17" s="477">
        <v>1</v>
      </c>
      <c r="C17" s="482">
        <v>0</v>
      </c>
      <c r="D17" s="235">
        <v>0</v>
      </c>
      <c r="E17" s="253">
        <f t="shared" si="0"/>
        <v>1</v>
      </c>
      <c r="F17" s="120" t="s">
        <v>290</v>
      </c>
      <c r="G17" s="479">
        <v>5</v>
      </c>
      <c r="H17" s="483">
        <v>0</v>
      </c>
      <c r="I17" s="29">
        <v>0</v>
      </c>
      <c r="J17" s="29">
        <f t="shared" si="1"/>
        <v>5</v>
      </c>
      <c r="K17" s="251" t="s">
        <v>242</v>
      </c>
      <c r="L17" s="253" t="s">
        <v>8</v>
      </c>
      <c r="M17" s="253" t="s">
        <v>8</v>
      </c>
      <c r="N17" s="254" t="s">
        <v>8</v>
      </c>
      <c r="O17" s="59" t="s">
        <v>8</v>
      </c>
      <c r="P17" s="59" t="s">
        <v>8</v>
      </c>
      <c r="Q17" s="117" t="s">
        <v>8</v>
      </c>
      <c r="R17" s="59" t="s">
        <v>8</v>
      </c>
      <c r="S17" s="59" t="s">
        <v>8</v>
      </c>
      <c r="T17" s="117" t="s">
        <v>8</v>
      </c>
      <c r="U17" s="59" t="s">
        <v>8</v>
      </c>
      <c r="V17" s="59" t="s">
        <v>8</v>
      </c>
      <c r="W17" s="117" t="s">
        <v>8</v>
      </c>
      <c r="AA17" s="260">
        <v>2</v>
      </c>
      <c r="AB17" s="59">
        <v>2</v>
      </c>
      <c r="AC17" s="117">
        <f>SUM(AA17/AB17)*100</f>
        <v>100</v>
      </c>
    </row>
    <row r="18" spans="1:29" ht="14.95" customHeight="1" thickBot="1" x14ac:dyDescent="0.3">
      <c r="A18" s="251" t="s">
        <v>537</v>
      </c>
      <c r="B18" s="477">
        <v>0</v>
      </c>
      <c r="C18" s="482">
        <v>0</v>
      </c>
      <c r="D18" s="235">
        <v>0</v>
      </c>
      <c r="E18" s="253">
        <f t="shared" si="0"/>
        <v>0</v>
      </c>
      <c r="F18" s="120" t="s">
        <v>537</v>
      </c>
      <c r="G18" s="479">
        <v>0</v>
      </c>
      <c r="H18" s="483">
        <v>0</v>
      </c>
      <c r="I18" s="29">
        <v>0</v>
      </c>
      <c r="J18" s="29">
        <f t="shared" si="1"/>
        <v>0</v>
      </c>
      <c r="K18" s="251" t="s">
        <v>228</v>
      </c>
      <c r="L18" s="253" t="s">
        <v>8</v>
      </c>
      <c r="M18" s="253" t="s">
        <v>8</v>
      </c>
      <c r="N18" s="254" t="s">
        <v>8</v>
      </c>
      <c r="O18" s="59">
        <v>6</v>
      </c>
      <c r="P18" s="59">
        <v>7</v>
      </c>
      <c r="Q18" s="117">
        <v>85.714285714285708</v>
      </c>
      <c r="R18" s="59">
        <v>0</v>
      </c>
      <c r="S18" s="59">
        <v>1</v>
      </c>
      <c r="T18" s="117">
        <f>SUM(R18/S18)*100</f>
        <v>0</v>
      </c>
      <c r="U18" s="59">
        <v>5</v>
      </c>
      <c r="V18" s="59">
        <v>7</v>
      </c>
      <c r="W18" s="117">
        <f>SUM(U18/V18)*100</f>
        <v>71.428571428571431</v>
      </c>
      <c r="AA18" s="260">
        <v>0</v>
      </c>
      <c r="AB18" s="59">
        <v>1</v>
      </c>
      <c r="AC18" s="117">
        <f>SUM(AA18/AB18)*100</f>
        <v>0</v>
      </c>
    </row>
    <row r="19" spans="1:29" ht="14.95" customHeight="1" thickBot="1" x14ac:dyDescent="0.3">
      <c r="A19" s="251" t="s">
        <v>288</v>
      </c>
      <c r="B19" s="477">
        <v>0</v>
      </c>
      <c r="C19" s="482">
        <v>0</v>
      </c>
      <c r="D19" s="235">
        <v>0</v>
      </c>
      <c r="E19" s="253">
        <f t="shared" si="0"/>
        <v>0</v>
      </c>
      <c r="F19" s="120" t="s">
        <v>288</v>
      </c>
      <c r="G19" s="479">
        <v>0</v>
      </c>
      <c r="H19" s="483">
        <v>0</v>
      </c>
      <c r="I19" s="29">
        <v>0</v>
      </c>
      <c r="J19" s="29">
        <f t="shared" si="1"/>
        <v>0</v>
      </c>
      <c r="K19" s="251" t="s">
        <v>1030</v>
      </c>
      <c r="L19" s="253">
        <v>6</v>
      </c>
      <c r="M19" s="253">
        <v>7</v>
      </c>
      <c r="N19" s="254">
        <f>SUM(L19/M19)*100</f>
        <v>85.714285714285708</v>
      </c>
      <c r="O19" s="59" t="s">
        <v>8</v>
      </c>
      <c r="P19" s="59" t="s">
        <v>8</v>
      </c>
      <c r="Q19" s="117" t="s">
        <v>8</v>
      </c>
      <c r="R19" s="59" t="s">
        <v>8</v>
      </c>
      <c r="S19" s="59" t="s">
        <v>8</v>
      </c>
      <c r="T19" s="117" t="s">
        <v>8</v>
      </c>
      <c r="U19" s="59" t="s">
        <v>8</v>
      </c>
      <c r="V19" s="59" t="s">
        <v>8</v>
      </c>
      <c r="W19" s="117" t="s">
        <v>8</v>
      </c>
      <c r="AA19" s="185" t="s">
        <v>8</v>
      </c>
      <c r="AB19" s="59" t="s">
        <v>8</v>
      </c>
      <c r="AC19" s="117" t="s">
        <v>8</v>
      </c>
    </row>
    <row r="20" spans="1:29" ht="14.95" customHeight="1" thickBot="1" x14ac:dyDescent="0.3">
      <c r="A20" s="251" t="s">
        <v>865</v>
      </c>
      <c r="B20" s="477">
        <v>0</v>
      </c>
      <c r="C20" s="482">
        <v>0</v>
      </c>
      <c r="D20" s="235">
        <v>0</v>
      </c>
      <c r="E20" s="253">
        <f t="shared" si="0"/>
        <v>0</v>
      </c>
      <c r="F20" s="120" t="s">
        <v>865</v>
      </c>
      <c r="G20" s="479">
        <v>0</v>
      </c>
      <c r="H20" s="483">
        <v>0</v>
      </c>
      <c r="I20" s="29">
        <v>0</v>
      </c>
      <c r="J20" s="29">
        <f t="shared" si="1"/>
        <v>0</v>
      </c>
      <c r="O20" s="9"/>
      <c r="P20" s="9"/>
      <c r="Q20" s="9"/>
    </row>
    <row r="21" spans="1:29" ht="14.95" customHeight="1" thickBot="1" x14ac:dyDescent="0.3">
      <c r="A21" s="251" t="s">
        <v>305</v>
      </c>
      <c r="B21" s="477">
        <v>0</v>
      </c>
      <c r="C21" s="482">
        <v>0</v>
      </c>
      <c r="D21" s="235">
        <v>0</v>
      </c>
      <c r="E21" s="253">
        <f t="shared" si="0"/>
        <v>0</v>
      </c>
      <c r="F21" s="120" t="s">
        <v>305</v>
      </c>
      <c r="G21" s="479">
        <v>0</v>
      </c>
      <c r="H21" s="483">
        <v>0</v>
      </c>
      <c r="I21" s="29">
        <v>0</v>
      </c>
      <c r="J21" s="29">
        <f t="shared" si="1"/>
        <v>0</v>
      </c>
      <c r="K21" s="528" t="s">
        <v>345</v>
      </c>
      <c r="L21" s="516">
        <v>2025</v>
      </c>
      <c r="M21" s="517"/>
      <c r="N21" s="518"/>
      <c r="O21" s="516">
        <v>2022</v>
      </c>
      <c r="P21" s="517"/>
      <c r="Q21" s="518"/>
    </row>
    <row r="22" spans="1:29" ht="14.95" customHeight="1" thickBot="1" x14ac:dyDescent="0.3">
      <c r="A22" s="251" t="s">
        <v>306</v>
      </c>
      <c r="B22" s="477">
        <v>0</v>
      </c>
      <c r="C22" s="482">
        <v>0</v>
      </c>
      <c r="D22" s="235">
        <v>0</v>
      </c>
      <c r="E22" s="253">
        <f t="shared" si="0"/>
        <v>0</v>
      </c>
      <c r="F22" s="120" t="s">
        <v>306</v>
      </c>
      <c r="G22" s="479">
        <v>0</v>
      </c>
      <c r="H22" s="483">
        <v>0</v>
      </c>
      <c r="I22" s="29">
        <v>0</v>
      </c>
      <c r="J22" s="29">
        <f t="shared" si="1"/>
        <v>0</v>
      </c>
      <c r="K22" s="529"/>
      <c r="L22" s="519"/>
      <c r="M22" s="520"/>
      <c r="N22" s="521"/>
      <c r="O22" s="519"/>
      <c r="P22" s="520"/>
      <c r="Q22" s="521"/>
    </row>
    <row r="23" spans="1:29" ht="14.95" customHeight="1" thickBot="1" x14ac:dyDescent="0.3">
      <c r="A23" s="251" t="s">
        <v>285</v>
      </c>
      <c r="B23" s="477">
        <v>0</v>
      </c>
      <c r="C23" s="482">
        <v>0</v>
      </c>
      <c r="D23" s="235">
        <v>0</v>
      </c>
      <c r="E23" s="253">
        <f t="shared" si="0"/>
        <v>0</v>
      </c>
      <c r="F23" s="120" t="s">
        <v>285</v>
      </c>
      <c r="G23" s="479">
        <v>0</v>
      </c>
      <c r="H23" s="483">
        <v>0</v>
      </c>
      <c r="I23" s="29">
        <v>0</v>
      </c>
      <c r="J23" s="29">
        <f t="shared" si="1"/>
        <v>0</v>
      </c>
      <c r="K23" s="300"/>
      <c r="L23" s="59" t="s">
        <v>17</v>
      </c>
      <c r="M23" s="59" t="s">
        <v>5</v>
      </c>
      <c r="N23" s="59" t="s">
        <v>6</v>
      </c>
      <c r="O23" s="59" t="s">
        <v>17</v>
      </c>
      <c r="P23" s="59" t="s">
        <v>5</v>
      </c>
      <c r="Q23" s="59" t="s">
        <v>6</v>
      </c>
    </row>
    <row r="24" spans="1:29" ht="14.95" customHeight="1" thickBot="1" x14ac:dyDescent="0.3">
      <c r="A24" s="251" t="s">
        <v>283</v>
      </c>
      <c r="B24" s="477">
        <v>0</v>
      </c>
      <c r="C24" s="482">
        <v>0</v>
      </c>
      <c r="D24" s="235">
        <v>0</v>
      </c>
      <c r="E24" s="253">
        <f t="shared" si="0"/>
        <v>0</v>
      </c>
      <c r="F24" s="120" t="s">
        <v>283</v>
      </c>
      <c r="G24" s="479">
        <v>0</v>
      </c>
      <c r="H24" s="483">
        <v>0</v>
      </c>
      <c r="I24" s="29">
        <v>0</v>
      </c>
      <c r="J24" s="29">
        <f t="shared" si="1"/>
        <v>0</v>
      </c>
      <c r="K24" s="251" t="s">
        <v>230</v>
      </c>
      <c r="L24" s="59">
        <v>5</v>
      </c>
      <c r="M24" s="59">
        <v>7</v>
      </c>
      <c r="N24" s="117">
        <f>SUM(L24/M24)*100</f>
        <v>71.428571428571431</v>
      </c>
      <c r="O24" s="59">
        <v>1</v>
      </c>
      <c r="P24" s="59">
        <v>5</v>
      </c>
      <c r="Q24" s="117">
        <v>20</v>
      </c>
    </row>
    <row r="25" spans="1:29" ht="14.95" customHeight="1" thickBot="1" x14ac:dyDescent="0.3">
      <c r="A25" s="251" t="s">
        <v>295</v>
      </c>
      <c r="B25" s="477">
        <v>0</v>
      </c>
      <c r="C25" s="482">
        <v>0</v>
      </c>
      <c r="D25" s="235">
        <v>0</v>
      </c>
      <c r="E25" s="253">
        <f t="shared" si="0"/>
        <v>0</v>
      </c>
      <c r="F25" s="120" t="s">
        <v>295</v>
      </c>
      <c r="G25" s="479">
        <v>0</v>
      </c>
      <c r="H25" s="483">
        <v>0</v>
      </c>
      <c r="I25" s="29">
        <v>0</v>
      </c>
      <c r="J25" s="29">
        <f t="shared" si="1"/>
        <v>0</v>
      </c>
      <c r="K25" s="251" t="s">
        <v>228</v>
      </c>
      <c r="L25" s="59">
        <v>4</v>
      </c>
      <c r="M25" s="59">
        <v>9</v>
      </c>
      <c r="N25" s="117">
        <f>SUM(L25/M25)*100</f>
        <v>44.444444444444443</v>
      </c>
      <c r="O25" s="59" t="s">
        <v>8</v>
      </c>
      <c r="P25" s="59" t="s">
        <v>8</v>
      </c>
      <c r="Q25" s="117" t="s">
        <v>8</v>
      </c>
    </row>
    <row r="26" spans="1:29" ht="14.95" customHeight="1" thickBot="1" x14ac:dyDescent="0.3">
      <c r="A26" s="251" t="s">
        <v>293</v>
      </c>
      <c r="B26" s="477">
        <v>0</v>
      </c>
      <c r="C26" s="482">
        <v>0</v>
      </c>
      <c r="D26" s="235">
        <v>0</v>
      </c>
      <c r="E26" s="253">
        <f t="shared" si="0"/>
        <v>0</v>
      </c>
      <c r="F26" s="120" t="s">
        <v>293</v>
      </c>
      <c r="G26" s="479">
        <v>0</v>
      </c>
      <c r="H26" s="483">
        <v>0</v>
      </c>
      <c r="I26" s="29">
        <v>0</v>
      </c>
      <c r="J26" s="29">
        <f t="shared" si="1"/>
        <v>0</v>
      </c>
      <c r="K26" s="251" t="s">
        <v>283</v>
      </c>
      <c r="L26" s="59" t="s">
        <v>8</v>
      </c>
      <c r="M26" s="59" t="s">
        <v>8</v>
      </c>
      <c r="N26" s="117" t="s">
        <v>8</v>
      </c>
      <c r="O26" s="59">
        <v>7</v>
      </c>
      <c r="P26" s="59">
        <v>8</v>
      </c>
      <c r="Q26" s="117">
        <v>88</v>
      </c>
    </row>
    <row r="27" spans="1:29" ht="14.95" customHeight="1" thickBot="1" x14ac:dyDescent="0.3">
      <c r="A27" s="251" t="s">
        <v>299</v>
      </c>
      <c r="B27" s="477">
        <v>0</v>
      </c>
      <c r="C27" s="482">
        <v>0</v>
      </c>
      <c r="D27" s="235">
        <v>0</v>
      </c>
      <c r="E27" s="253">
        <f t="shared" si="0"/>
        <v>0</v>
      </c>
      <c r="F27" s="120" t="s">
        <v>299</v>
      </c>
      <c r="G27" s="479">
        <v>0</v>
      </c>
      <c r="H27" s="483">
        <v>0</v>
      </c>
      <c r="I27" s="29">
        <v>0</v>
      </c>
      <c r="J27" s="29">
        <f t="shared" si="1"/>
        <v>0</v>
      </c>
      <c r="O27" s="9"/>
      <c r="P27" s="9"/>
      <c r="Q27" s="9"/>
    </row>
    <row r="28" spans="1:29" ht="14.95" customHeight="1" thickBot="1" x14ac:dyDescent="0.3">
      <c r="A28" s="251" t="s">
        <v>497</v>
      </c>
      <c r="B28" s="477">
        <v>0</v>
      </c>
      <c r="C28" s="482">
        <v>0</v>
      </c>
      <c r="D28" s="235">
        <v>0</v>
      </c>
      <c r="E28" s="253">
        <f t="shared" si="0"/>
        <v>0</v>
      </c>
      <c r="F28" s="120" t="s">
        <v>497</v>
      </c>
      <c r="G28" s="479">
        <v>0</v>
      </c>
      <c r="H28" s="483">
        <v>0</v>
      </c>
      <c r="I28" s="29">
        <v>0</v>
      </c>
      <c r="J28" s="29">
        <f t="shared" si="1"/>
        <v>0</v>
      </c>
      <c r="K28" s="546" t="s">
        <v>500</v>
      </c>
      <c r="L28" s="502">
        <v>2026</v>
      </c>
      <c r="M28" s="503"/>
      <c r="N28" s="504"/>
      <c r="O28" s="516">
        <v>2024</v>
      </c>
      <c r="P28" s="517"/>
      <c r="Q28" s="518"/>
      <c r="R28" s="516">
        <v>2023</v>
      </c>
      <c r="S28" s="517"/>
      <c r="T28" s="518"/>
    </row>
    <row r="29" spans="1:29" ht="14.95" thickBot="1" x14ac:dyDescent="0.3">
      <c r="A29" s="251" t="s">
        <v>286</v>
      </c>
      <c r="B29" s="477">
        <v>0</v>
      </c>
      <c r="C29" s="482">
        <v>0</v>
      </c>
      <c r="D29" s="235">
        <v>0</v>
      </c>
      <c r="E29" s="253">
        <f t="shared" si="0"/>
        <v>0</v>
      </c>
      <c r="F29" s="120" t="s">
        <v>286</v>
      </c>
      <c r="G29" s="479">
        <v>0</v>
      </c>
      <c r="H29" s="483">
        <v>0</v>
      </c>
      <c r="I29" s="29">
        <v>0</v>
      </c>
      <c r="J29" s="29">
        <f t="shared" si="1"/>
        <v>0</v>
      </c>
      <c r="K29" s="547"/>
      <c r="L29" s="505"/>
      <c r="M29" s="506"/>
      <c r="N29" s="507"/>
      <c r="O29" s="519"/>
      <c r="P29" s="520"/>
      <c r="Q29" s="521"/>
      <c r="R29" s="519"/>
      <c r="S29" s="520"/>
      <c r="T29" s="521"/>
    </row>
    <row r="30" spans="1:29" ht="14.95" thickBot="1" x14ac:dyDescent="0.3">
      <c r="A30" s="251" t="s">
        <v>296</v>
      </c>
      <c r="B30" s="477">
        <v>0</v>
      </c>
      <c r="C30" s="482">
        <v>0</v>
      </c>
      <c r="D30" s="235">
        <v>0</v>
      </c>
      <c r="E30" s="253">
        <f t="shared" si="0"/>
        <v>0</v>
      </c>
      <c r="F30" s="120" t="s">
        <v>296</v>
      </c>
      <c r="G30" s="479">
        <v>0</v>
      </c>
      <c r="H30" s="483">
        <v>0</v>
      </c>
      <c r="I30" s="29">
        <v>0</v>
      </c>
      <c r="J30" s="29">
        <f t="shared" si="1"/>
        <v>0</v>
      </c>
      <c r="K30" s="221"/>
      <c r="L30" s="29" t="s">
        <v>17</v>
      </c>
      <c r="M30" s="29" t="s">
        <v>5</v>
      </c>
      <c r="N30" s="29" t="s">
        <v>6</v>
      </c>
      <c r="O30" s="59" t="s">
        <v>17</v>
      </c>
      <c r="P30" s="59" t="s">
        <v>5</v>
      </c>
      <c r="Q30" s="59" t="s">
        <v>6</v>
      </c>
      <c r="R30" s="59" t="s">
        <v>17</v>
      </c>
      <c r="S30" s="59" t="s">
        <v>5</v>
      </c>
      <c r="T30" s="59" t="s">
        <v>6</v>
      </c>
    </row>
    <row r="31" spans="1:29" ht="14.95" thickBot="1" x14ac:dyDescent="0.3">
      <c r="A31" s="251" t="s">
        <v>301</v>
      </c>
      <c r="B31" s="477">
        <v>0</v>
      </c>
      <c r="C31" s="482">
        <v>0</v>
      </c>
      <c r="D31" s="235">
        <v>0</v>
      </c>
      <c r="E31" s="253">
        <f t="shared" si="0"/>
        <v>0</v>
      </c>
      <c r="F31" s="120" t="s">
        <v>301</v>
      </c>
      <c r="G31" s="479">
        <v>0</v>
      </c>
      <c r="H31" s="483">
        <v>0</v>
      </c>
      <c r="I31" s="29">
        <v>0</v>
      </c>
      <c r="J31" s="29">
        <f t="shared" si="1"/>
        <v>0</v>
      </c>
      <c r="K31" s="251" t="s">
        <v>560</v>
      </c>
      <c r="L31" s="253" t="s">
        <v>8</v>
      </c>
      <c r="M31" s="253" t="s">
        <v>8</v>
      </c>
      <c r="N31" s="254" t="s">
        <v>8</v>
      </c>
      <c r="O31" s="59" t="s">
        <v>8</v>
      </c>
      <c r="P31" s="59" t="s">
        <v>8</v>
      </c>
      <c r="Q31" s="117" t="s">
        <v>8</v>
      </c>
      <c r="R31" s="59">
        <v>0</v>
      </c>
      <c r="S31" s="59">
        <v>1</v>
      </c>
      <c r="T31" s="117">
        <f>SUM(R31/S31)*100</f>
        <v>0</v>
      </c>
    </row>
    <row r="32" spans="1:29" ht="14.95" thickBot="1" x14ac:dyDescent="0.3">
      <c r="A32" s="251" t="s">
        <v>208</v>
      </c>
      <c r="B32" s="477">
        <v>0</v>
      </c>
      <c r="C32" s="482">
        <v>0</v>
      </c>
      <c r="D32" s="235">
        <v>0</v>
      </c>
      <c r="E32" s="253">
        <f t="shared" si="0"/>
        <v>0</v>
      </c>
      <c r="F32" s="120" t="s">
        <v>208</v>
      </c>
      <c r="G32" s="479">
        <v>0</v>
      </c>
      <c r="H32" s="483">
        <v>0</v>
      </c>
      <c r="I32" s="29">
        <v>0</v>
      </c>
      <c r="J32" s="29">
        <f t="shared" si="1"/>
        <v>0</v>
      </c>
      <c r="K32" s="251" t="s">
        <v>230</v>
      </c>
      <c r="L32" s="253" t="s">
        <v>8</v>
      </c>
      <c r="M32" s="253" t="s">
        <v>8</v>
      </c>
      <c r="N32" s="254" t="s">
        <v>8</v>
      </c>
      <c r="O32" s="59" t="s">
        <v>8</v>
      </c>
      <c r="P32" s="59" t="s">
        <v>8</v>
      </c>
      <c r="Q32" s="117" t="s">
        <v>8</v>
      </c>
      <c r="R32" s="59">
        <v>5</v>
      </c>
      <c r="S32" s="59">
        <v>8</v>
      </c>
      <c r="T32" s="117">
        <f>SUM(R32/S32)*100</f>
        <v>62.5</v>
      </c>
    </row>
    <row r="33" spans="1:20" ht="14.95" thickBot="1" x14ac:dyDescent="0.3">
      <c r="A33" s="251" t="s">
        <v>292</v>
      </c>
      <c r="B33" s="477">
        <v>1</v>
      </c>
      <c r="C33" s="482">
        <v>0</v>
      </c>
      <c r="D33" s="235">
        <v>0</v>
      </c>
      <c r="E33" s="253">
        <f t="shared" si="0"/>
        <v>1</v>
      </c>
      <c r="F33" s="120" t="s">
        <v>292</v>
      </c>
      <c r="G33" s="479">
        <v>5</v>
      </c>
      <c r="H33" s="483">
        <v>0</v>
      </c>
      <c r="I33" s="29">
        <v>0</v>
      </c>
      <c r="J33" s="29">
        <f t="shared" si="1"/>
        <v>5</v>
      </c>
      <c r="K33" s="251" t="s">
        <v>304</v>
      </c>
      <c r="L33" s="253" t="s">
        <v>8</v>
      </c>
      <c r="M33" s="253" t="s">
        <v>8</v>
      </c>
      <c r="N33" s="254" t="s">
        <v>8</v>
      </c>
      <c r="O33" s="59" t="s">
        <v>8</v>
      </c>
      <c r="P33" s="59" t="s">
        <v>8</v>
      </c>
      <c r="Q33" s="117" t="s">
        <v>8</v>
      </c>
      <c r="R33" s="59">
        <v>1</v>
      </c>
      <c r="S33" s="59">
        <v>1</v>
      </c>
      <c r="T33" s="117">
        <f>SUM(R33/S33)*100</f>
        <v>100</v>
      </c>
    </row>
    <row r="34" spans="1:20" ht="14.95" customHeight="1" thickBot="1" x14ac:dyDescent="0.3">
      <c r="A34" s="251" t="s">
        <v>229</v>
      </c>
      <c r="B34" s="477">
        <v>3</v>
      </c>
      <c r="C34" s="482">
        <v>0</v>
      </c>
      <c r="D34" s="235">
        <v>0</v>
      </c>
      <c r="E34" s="253">
        <f t="shared" si="0"/>
        <v>3</v>
      </c>
      <c r="F34" s="120" t="s">
        <v>229</v>
      </c>
      <c r="G34" s="479">
        <v>15</v>
      </c>
      <c r="H34" s="483">
        <v>0</v>
      </c>
      <c r="I34" s="29">
        <v>0</v>
      </c>
      <c r="J34" s="29">
        <f t="shared" si="1"/>
        <v>15</v>
      </c>
      <c r="K34" s="251" t="s">
        <v>228</v>
      </c>
      <c r="L34" s="253" t="s">
        <v>8</v>
      </c>
      <c r="M34" s="253" t="s">
        <v>8</v>
      </c>
      <c r="N34" s="254" t="s">
        <v>8</v>
      </c>
      <c r="O34" s="59">
        <v>7</v>
      </c>
      <c r="P34" s="59">
        <v>7</v>
      </c>
      <c r="Q34" s="117">
        <f>SUM(O34/P34)*100</f>
        <v>100</v>
      </c>
      <c r="R34" s="59" t="s">
        <v>8</v>
      </c>
      <c r="S34" s="59" t="s">
        <v>8</v>
      </c>
      <c r="T34" s="117" t="s">
        <v>8</v>
      </c>
    </row>
    <row r="35" spans="1:20" ht="14.95" customHeight="1" thickBot="1" x14ac:dyDescent="0.3">
      <c r="A35" s="251" t="s">
        <v>764</v>
      </c>
      <c r="B35" s="477">
        <v>0</v>
      </c>
      <c r="C35" s="482">
        <v>0</v>
      </c>
      <c r="D35" s="235">
        <v>0</v>
      </c>
      <c r="E35" s="253">
        <f t="shared" si="0"/>
        <v>0</v>
      </c>
      <c r="F35" s="120" t="s">
        <v>764</v>
      </c>
      <c r="G35" s="479">
        <v>0</v>
      </c>
      <c r="H35" s="483">
        <v>0</v>
      </c>
      <c r="I35" s="29">
        <v>0</v>
      </c>
      <c r="J35" s="29">
        <f t="shared" si="1"/>
        <v>0</v>
      </c>
    </row>
    <row r="36" spans="1:20" ht="14.95" customHeight="1" thickBot="1" x14ac:dyDescent="0.3">
      <c r="A36" s="251" t="s">
        <v>496</v>
      </c>
      <c r="B36" s="477">
        <v>0</v>
      </c>
      <c r="C36" s="482">
        <v>0</v>
      </c>
      <c r="D36" s="235">
        <v>0</v>
      </c>
      <c r="E36" s="253">
        <f t="shared" si="0"/>
        <v>0</v>
      </c>
      <c r="F36" s="120" t="s">
        <v>496</v>
      </c>
      <c r="G36" s="479">
        <v>0</v>
      </c>
      <c r="H36" s="483">
        <v>0</v>
      </c>
      <c r="I36" s="29">
        <v>0</v>
      </c>
      <c r="J36" s="29">
        <f t="shared" si="1"/>
        <v>0</v>
      </c>
    </row>
    <row r="37" spans="1:20" ht="14.95" customHeight="1" thickBot="1" x14ac:dyDescent="0.3">
      <c r="A37" s="251" t="s">
        <v>485</v>
      </c>
      <c r="B37" s="477">
        <v>1</v>
      </c>
      <c r="C37" s="482">
        <v>0</v>
      </c>
      <c r="D37" s="235">
        <v>0</v>
      </c>
      <c r="E37" s="253">
        <f t="shared" si="0"/>
        <v>1</v>
      </c>
      <c r="F37" s="120" t="s">
        <v>485</v>
      </c>
      <c r="G37" s="479">
        <v>5</v>
      </c>
      <c r="H37" s="483">
        <v>0</v>
      </c>
      <c r="I37" s="29">
        <v>0</v>
      </c>
      <c r="J37" s="29">
        <f t="shared" si="1"/>
        <v>5</v>
      </c>
    </row>
    <row r="38" spans="1:20" ht="14.95" customHeight="1" thickBot="1" x14ac:dyDescent="0.3">
      <c r="A38" s="251" t="s">
        <v>284</v>
      </c>
      <c r="B38" s="477">
        <v>0</v>
      </c>
      <c r="C38" s="482">
        <v>0</v>
      </c>
      <c r="D38" s="235">
        <v>0</v>
      </c>
      <c r="E38" s="253">
        <f t="shared" si="0"/>
        <v>0</v>
      </c>
      <c r="F38" s="120" t="s">
        <v>284</v>
      </c>
      <c r="G38" s="479">
        <v>0</v>
      </c>
      <c r="H38" s="483">
        <v>0</v>
      </c>
      <c r="I38" s="29">
        <v>0</v>
      </c>
      <c r="J38" s="29">
        <f t="shared" si="1"/>
        <v>0</v>
      </c>
    </row>
    <row r="39" spans="1:20" ht="14.95" customHeight="1" thickBot="1" x14ac:dyDescent="0.3">
      <c r="A39" s="251" t="s">
        <v>227</v>
      </c>
      <c r="B39" s="477">
        <v>0</v>
      </c>
      <c r="C39" s="482">
        <v>0</v>
      </c>
      <c r="D39" s="235">
        <v>0</v>
      </c>
      <c r="E39" s="253">
        <f t="shared" si="0"/>
        <v>0</v>
      </c>
      <c r="F39" s="120" t="s">
        <v>227</v>
      </c>
      <c r="G39" s="479">
        <v>0</v>
      </c>
      <c r="H39" s="483">
        <v>0</v>
      </c>
      <c r="I39" s="29">
        <v>0</v>
      </c>
      <c r="J39" s="29">
        <f t="shared" si="1"/>
        <v>0</v>
      </c>
    </row>
    <row r="40" spans="1:20" ht="14.95" customHeight="1" thickBot="1" x14ac:dyDescent="0.3">
      <c r="A40" s="251" t="s">
        <v>298</v>
      </c>
      <c r="B40" s="477">
        <v>0</v>
      </c>
      <c r="C40" s="482">
        <v>0</v>
      </c>
      <c r="D40" s="235">
        <v>0</v>
      </c>
      <c r="E40" s="253">
        <f t="shared" si="0"/>
        <v>0</v>
      </c>
      <c r="F40" s="120" t="s">
        <v>298</v>
      </c>
      <c r="G40" s="479">
        <v>0</v>
      </c>
      <c r="H40" s="483">
        <v>0</v>
      </c>
      <c r="I40" s="29">
        <v>0</v>
      </c>
      <c r="J40" s="29">
        <f t="shared" si="1"/>
        <v>0</v>
      </c>
    </row>
    <row r="41" spans="1:20" ht="14.95" customHeight="1" thickBot="1" x14ac:dyDescent="0.3">
      <c r="A41" s="251" t="s">
        <v>1030</v>
      </c>
      <c r="B41" s="477">
        <v>0</v>
      </c>
      <c r="C41" s="482">
        <v>0</v>
      </c>
      <c r="D41" s="235">
        <v>0</v>
      </c>
      <c r="E41" s="253">
        <f t="shared" si="0"/>
        <v>0</v>
      </c>
      <c r="F41" s="120" t="s">
        <v>1030</v>
      </c>
      <c r="G41" s="479">
        <v>13</v>
      </c>
      <c r="H41" s="483">
        <v>0</v>
      </c>
      <c r="I41" s="29">
        <v>0</v>
      </c>
      <c r="J41" s="29">
        <f t="shared" si="1"/>
        <v>13</v>
      </c>
    </row>
    <row r="42" spans="1:20" ht="14.95" customHeight="1" thickBot="1" x14ac:dyDescent="0.3">
      <c r="A42" s="251" t="s">
        <v>287</v>
      </c>
      <c r="B42" s="477">
        <v>0</v>
      </c>
      <c r="C42" s="482">
        <v>0</v>
      </c>
      <c r="D42" s="235">
        <v>0</v>
      </c>
      <c r="E42" s="253">
        <f t="shared" si="0"/>
        <v>0</v>
      </c>
      <c r="F42" s="120" t="s">
        <v>287</v>
      </c>
      <c r="G42" s="479">
        <v>0</v>
      </c>
      <c r="H42" s="483">
        <v>0</v>
      </c>
      <c r="I42" s="29">
        <v>0</v>
      </c>
      <c r="J42" s="29">
        <f t="shared" si="1"/>
        <v>0</v>
      </c>
    </row>
    <row r="43" spans="1:20" ht="14.95" thickBot="1" x14ac:dyDescent="0.3">
      <c r="A43" s="251" t="s">
        <v>297</v>
      </c>
      <c r="B43" s="477">
        <v>0</v>
      </c>
      <c r="C43" s="482">
        <v>0</v>
      </c>
      <c r="D43" s="235">
        <v>0</v>
      </c>
      <c r="E43" s="253">
        <f t="shared" si="0"/>
        <v>0</v>
      </c>
      <c r="F43" s="120" t="s">
        <v>297</v>
      </c>
      <c r="G43" s="479">
        <v>0</v>
      </c>
      <c r="H43" s="483">
        <v>0</v>
      </c>
      <c r="I43" s="29">
        <v>0</v>
      </c>
      <c r="J43" s="29">
        <f t="shared" si="1"/>
        <v>0</v>
      </c>
    </row>
    <row r="44" spans="1:20" ht="14.95" thickBot="1" x14ac:dyDescent="0.3">
      <c r="A44" s="251" t="s">
        <v>3</v>
      </c>
      <c r="B44" s="477">
        <f>SUM(B3:B43)</f>
        <v>7</v>
      </c>
      <c r="C44" s="482">
        <f>SUM(C3:C43)</f>
        <v>0</v>
      </c>
      <c r="D44" s="235">
        <f>SUM(D3:D43)</f>
        <v>0</v>
      </c>
      <c r="E44" s="253">
        <f t="shared" si="0"/>
        <v>7</v>
      </c>
      <c r="F44" s="121" t="s">
        <v>3</v>
      </c>
      <c r="G44" s="480">
        <f>SUM(G3:G43)</f>
        <v>48</v>
      </c>
      <c r="H44" s="484">
        <f>SUM(H3:H43)</f>
        <v>0</v>
      </c>
      <c r="I44" s="118">
        <f>SUM(I3:I43)</f>
        <v>0</v>
      </c>
      <c r="J44" s="118">
        <f t="shared" si="1"/>
        <v>48</v>
      </c>
    </row>
    <row r="45" spans="1:20" ht="16.3" x14ac:dyDescent="0.25">
      <c r="D45" s="50"/>
      <c r="F45" s="3"/>
      <c r="G45" s="3"/>
      <c r="H45" s="3"/>
      <c r="I45" s="51"/>
      <c r="J45" s="3"/>
    </row>
    <row r="46" spans="1:20" ht="17" thickBot="1" x14ac:dyDescent="0.3">
      <c r="A46" t="s">
        <v>7</v>
      </c>
      <c r="D46" s="50"/>
      <c r="F46" s="3"/>
      <c r="G46" s="3"/>
      <c r="H46" s="3"/>
      <c r="I46" s="51"/>
      <c r="J46" s="3"/>
    </row>
    <row r="47" spans="1:20" ht="14.95" customHeight="1" thickBot="1" x14ac:dyDescent="0.3">
      <c r="A47" s="250" t="s">
        <v>0</v>
      </c>
      <c r="B47" s="476" t="s">
        <v>223</v>
      </c>
      <c r="C47" s="481" t="s">
        <v>500</v>
      </c>
      <c r="D47" s="236" t="s">
        <v>11</v>
      </c>
      <c r="E47" s="252" t="s">
        <v>1</v>
      </c>
      <c r="F47" s="208" t="s">
        <v>2</v>
      </c>
      <c r="G47" s="478" t="s">
        <v>223</v>
      </c>
      <c r="H47" s="469" t="s">
        <v>500</v>
      </c>
      <c r="I47" s="118" t="s">
        <v>11</v>
      </c>
      <c r="J47" s="118" t="s">
        <v>1</v>
      </c>
    </row>
    <row r="48" spans="1:20" ht="14.95" thickBot="1" x14ac:dyDescent="0.3">
      <c r="A48" s="251" t="s">
        <v>229</v>
      </c>
      <c r="B48" s="477">
        <v>3</v>
      </c>
      <c r="C48" s="482">
        <v>0</v>
      </c>
      <c r="D48" s="235">
        <v>0</v>
      </c>
      <c r="E48" s="253">
        <f>SUM(B48:D48)</f>
        <v>3</v>
      </c>
      <c r="F48" s="119" t="s">
        <v>229</v>
      </c>
      <c r="G48" s="479">
        <v>15</v>
      </c>
      <c r="H48" s="483">
        <v>0</v>
      </c>
      <c r="I48" s="29">
        <v>0</v>
      </c>
      <c r="J48" s="29">
        <f>SUM(G48:I48)</f>
        <v>15</v>
      </c>
    </row>
    <row r="49" spans="1:10" ht="14.95" thickBot="1" x14ac:dyDescent="0.3">
      <c r="A49" s="251" t="s">
        <v>763</v>
      </c>
      <c r="B49" s="477">
        <v>1</v>
      </c>
      <c r="C49" s="482">
        <v>0</v>
      </c>
      <c r="D49" s="235">
        <v>0</v>
      </c>
      <c r="E49" s="253">
        <f>SUM(B49:D49)</f>
        <v>1</v>
      </c>
      <c r="F49" s="120" t="s">
        <v>1030</v>
      </c>
      <c r="G49" s="479">
        <v>13</v>
      </c>
      <c r="H49" s="483">
        <v>0</v>
      </c>
      <c r="I49" s="29">
        <v>0</v>
      </c>
      <c r="J49" s="29">
        <f>SUM(G49:I49)</f>
        <v>13</v>
      </c>
    </row>
    <row r="50" spans="1:10" ht="14.95" thickBot="1" x14ac:dyDescent="0.3">
      <c r="A50" s="251" t="s">
        <v>290</v>
      </c>
      <c r="B50" s="477">
        <v>1</v>
      </c>
      <c r="C50" s="482">
        <v>0</v>
      </c>
      <c r="D50" s="235">
        <v>0</v>
      </c>
      <c r="E50" s="253">
        <f>SUM(B50:D50)</f>
        <v>1</v>
      </c>
      <c r="F50" s="120" t="s">
        <v>763</v>
      </c>
      <c r="G50" s="479">
        <v>5</v>
      </c>
      <c r="H50" s="483">
        <v>0</v>
      </c>
      <c r="I50" s="29">
        <v>0</v>
      </c>
      <c r="J50" s="29">
        <f>SUM(G50:I50)</f>
        <v>5</v>
      </c>
    </row>
    <row r="51" spans="1:10" ht="14.95" thickBot="1" x14ac:dyDescent="0.3">
      <c r="A51" s="251" t="s">
        <v>292</v>
      </c>
      <c r="B51" s="477">
        <v>1</v>
      </c>
      <c r="C51" s="482">
        <v>0</v>
      </c>
      <c r="D51" s="235">
        <v>0</v>
      </c>
      <c r="E51" s="253">
        <f>SUM(B51:D51)</f>
        <v>1</v>
      </c>
      <c r="F51" s="120" t="s">
        <v>290</v>
      </c>
      <c r="G51" s="479">
        <v>5</v>
      </c>
      <c r="H51" s="483">
        <v>0</v>
      </c>
      <c r="I51" s="29">
        <v>0</v>
      </c>
      <c r="J51" s="29">
        <f>SUM(G51:I51)</f>
        <v>5</v>
      </c>
    </row>
    <row r="52" spans="1:10" ht="14.95" thickBot="1" x14ac:dyDescent="0.3">
      <c r="A52" s="251" t="s">
        <v>485</v>
      </c>
      <c r="B52" s="477">
        <v>1</v>
      </c>
      <c r="C52" s="482">
        <v>0</v>
      </c>
      <c r="D52" s="235">
        <v>0</v>
      </c>
      <c r="E52" s="253">
        <f>SUM(B52:D52)</f>
        <v>1</v>
      </c>
      <c r="F52" s="120" t="s">
        <v>292</v>
      </c>
      <c r="G52" s="479">
        <v>5</v>
      </c>
      <c r="H52" s="483">
        <v>0</v>
      </c>
      <c r="I52" s="29">
        <v>0</v>
      </c>
      <c r="J52" s="29">
        <f>SUM(G52:I52)</f>
        <v>5</v>
      </c>
    </row>
    <row r="53" spans="1:10" ht="14.95" thickBot="1" x14ac:dyDescent="0.3">
      <c r="A53" s="251" t="s">
        <v>291</v>
      </c>
      <c r="B53" s="477">
        <v>0</v>
      </c>
      <c r="C53" s="482">
        <v>0</v>
      </c>
      <c r="D53" s="235">
        <v>0</v>
      </c>
      <c r="E53" s="253">
        <f>SUM(B53:D53)</f>
        <v>0</v>
      </c>
      <c r="F53" s="120" t="s">
        <v>485</v>
      </c>
      <c r="G53" s="479">
        <v>5</v>
      </c>
      <c r="H53" s="483">
        <v>0</v>
      </c>
      <c r="I53" s="29">
        <v>0</v>
      </c>
      <c r="J53" s="29">
        <f>SUM(G53:I53)</f>
        <v>5</v>
      </c>
    </row>
    <row r="54" spans="1:10" ht="14.95" thickBot="1" x14ac:dyDescent="0.3">
      <c r="A54" s="251" t="s">
        <v>957</v>
      </c>
      <c r="B54" s="477">
        <v>0</v>
      </c>
      <c r="C54" s="482">
        <v>0</v>
      </c>
      <c r="D54" s="235">
        <v>0</v>
      </c>
      <c r="E54" s="253">
        <f>SUM(B54:D54)</f>
        <v>0</v>
      </c>
      <c r="F54" s="120" t="s">
        <v>291</v>
      </c>
      <c r="G54" s="479">
        <v>0</v>
      </c>
      <c r="H54" s="483">
        <v>0</v>
      </c>
      <c r="I54" s="29">
        <v>0</v>
      </c>
      <c r="J54" s="29">
        <f>SUM(G54:I54)</f>
        <v>0</v>
      </c>
    </row>
    <row r="55" spans="1:10" ht="14.95" thickBot="1" x14ac:dyDescent="0.3">
      <c r="A55" s="251" t="s">
        <v>300</v>
      </c>
      <c r="B55" s="477">
        <v>0</v>
      </c>
      <c r="C55" s="482">
        <v>0</v>
      </c>
      <c r="D55" s="235">
        <v>0</v>
      </c>
      <c r="E55" s="253">
        <f>SUM(B55:D55)</f>
        <v>0</v>
      </c>
      <c r="F55" s="120" t="s">
        <v>957</v>
      </c>
      <c r="G55" s="479">
        <v>0</v>
      </c>
      <c r="H55" s="483">
        <v>0</v>
      </c>
      <c r="I55" s="29">
        <v>0</v>
      </c>
      <c r="J55" s="29">
        <f>SUM(G55:I55)</f>
        <v>0</v>
      </c>
    </row>
    <row r="56" spans="1:10" ht="14.95" thickBot="1" x14ac:dyDescent="0.3">
      <c r="A56" s="251" t="s">
        <v>559</v>
      </c>
      <c r="B56" s="477">
        <v>0</v>
      </c>
      <c r="C56" s="482">
        <v>0</v>
      </c>
      <c r="D56" s="235">
        <v>0</v>
      </c>
      <c r="E56" s="253">
        <f>SUM(B56:D56)</f>
        <v>0</v>
      </c>
      <c r="F56" s="120" t="s">
        <v>300</v>
      </c>
      <c r="G56" s="479">
        <v>0</v>
      </c>
      <c r="H56" s="483">
        <v>0</v>
      </c>
      <c r="I56" s="29">
        <v>0</v>
      </c>
      <c r="J56" s="29">
        <f>SUM(G56:I56)</f>
        <v>0</v>
      </c>
    </row>
    <row r="57" spans="1:10" ht="14.95" thickBot="1" x14ac:dyDescent="0.3">
      <c r="A57" s="251" t="s">
        <v>230</v>
      </c>
      <c r="B57" s="477">
        <v>0</v>
      </c>
      <c r="C57" s="482">
        <v>0</v>
      </c>
      <c r="D57" s="235">
        <v>0</v>
      </c>
      <c r="E57" s="253">
        <f>SUM(B57:D57)</f>
        <v>0</v>
      </c>
      <c r="F57" s="120" t="s">
        <v>559</v>
      </c>
      <c r="G57" s="479">
        <v>0</v>
      </c>
      <c r="H57" s="483">
        <v>0</v>
      </c>
      <c r="I57" s="29">
        <v>0</v>
      </c>
      <c r="J57" s="29">
        <f>SUM(G57:I57)</f>
        <v>0</v>
      </c>
    </row>
    <row r="58" spans="1:10" ht="14.95" thickBot="1" x14ac:dyDescent="0.3">
      <c r="A58" s="251" t="s">
        <v>289</v>
      </c>
      <c r="B58" s="477">
        <v>0</v>
      </c>
      <c r="C58" s="482">
        <v>0</v>
      </c>
      <c r="D58" s="235">
        <v>0</v>
      </c>
      <c r="E58" s="253">
        <f>SUM(B58:D58)</f>
        <v>0</v>
      </c>
      <c r="F58" s="120" t="s">
        <v>230</v>
      </c>
      <c r="G58" s="479">
        <v>0</v>
      </c>
      <c r="H58" s="483">
        <v>0</v>
      </c>
      <c r="I58" s="29">
        <v>0</v>
      </c>
      <c r="J58" s="29">
        <f>SUM(G58:I58)</f>
        <v>0</v>
      </c>
    </row>
    <row r="59" spans="1:10" ht="14.95" thickBot="1" x14ac:dyDescent="0.3">
      <c r="A59" s="251" t="s">
        <v>302</v>
      </c>
      <c r="B59" s="477">
        <v>0</v>
      </c>
      <c r="C59" s="482">
        <v>0</v>
      </c>
      <c r="D59" s="235">
        <v>0</v>
      </c>
      <c r="E59" s="253">
        <f>SUM(B59:D59)</f>
        <v>0</v>
      </c>
      <c r="F59" s="120" t="s">
        <v>289</v>
      </c>
      <c r="G59" s="479">
        <v>0</v>
      </c>
      <c r="H59" s="483">
        <v>0</v>
      </c>
      <c r="I59" s="29">
        <v>0</v>
      </c>
      <c r="J59" s="29">
        <f>SUM(G59:I59)</f>
        <v>0</v>
      </c>
    </row>
    <row r="60" spans="1:10" ht="14.95" thickBot="1" x14ac:dyDescent="0.3">
      <c r="A60" s="251" t="s">
        <v>304</v>
      </c>
      <c r="B60" s="477">
        <v>0</v>
      </c>
      <c r="C60" s="482">
        <v>0</v>
      </c>
      <c r="D60" s="235">
        <v>0</v>
      </c>
      <c r="E60" s="253">
        <f>SUM(B60:D60)</f>
        <v>0</v>
      </c>
      <c r="F60" s="120" t="s">
        <v>302</v>
      </c>
      <c r="G60" s="479">
        <v>0</v>
      </c>
      <c r="H60" s="483">
        <v>0</v>
      </c>
      <c r="I60" s="29">
        <v>0</v>
      </c>
      <c r="J60" s="29">
        <f>SUM(G60:I60)</f>
        <v>0</v>
      </c>
    </row>
    <row r="61" spans="1:10" ht="14.95" thickBot="1" x14ac:dyDescent="0.3">
      <c r="A61" s="251" t="s">
        <v>242</v>
      </c>
      <c r="B61" s="477">
        <v>0</v>
      </c>
      <c r="C61" s="482">
        <v>0</v>
      </c>
      <c r="D61" s="235">
        <v>0</v>
      </c>
      <c r="E61" s="253">
        <f>SUM(B61:D61)</f>
        <v>0</v>
      </c>
      <c r="F61" s="120" t="s">
        <v>304</v>
      </c>
      <c r="G61" s="479">
        <v>0</v>
      </c>
      <c r="H61" s="483">
        <v>0</v>
      </c>
      <c r="I61" s="29">
        <v>0</v>
      </c>
      <c r="J61" s="29">
        <f>SUM(G61:I61)</f>
        <v>0</v>
      </c>
    </row>
    <row r="62" spans="1:10" ht="14.95" thickBot="1" x14ac:dyDescent="0.3">
      <c r="A62" s="251" t="s">
        <v>303</v>
      </c>
      <c r="B62" s="477">
        <v>0</v>
      </c>
      <c r="C62" s="482">
        <v>0</v>
      </c>
      <c r="D62" s="235">
        <v>0</v>
      </c>
      <c r="E62" s="253">
        <f>SUM(B62:D62)</f>
        <v>0</v>
      </c>
      <c r="F62" s="120" t="s">
        <v>242</v>
      </c>
      <c r="G62" s="479">
        <v>0</v>
      </c>
      <c r="H62" s="483">
        <v>0</v>
      </c>
      <c r="I62" s="29">
        <v>0</v>
      </c>
      <c r="J62" s="29">
        <f>SUM(G62:I62)</f>
        <v>0</v>
      </c>
    </row>
    <row r="63" spans="1:10" ht="14.95" thickBot="1" x14ac:dyDescent="0.3">
      <c r="A63" s="251" t="s">
        <v>644</v>
      </c>
      <c r="B63" s="477">
        <v>0</v>
      </c>
      <c r="C63" s="482">
        <v>0</v>
      </c>
      <c r="D63" s="235">
        <v>0</v>
      </c>
      <c r="E63" s="253">
        <f>SUM(B63:D63)</f>
        <v>0</v>
      </c>
      <c r="F63" s="120" t="s">
        <v>303</v>
      </c>
      <c r="G63" s="479">
        <v>0</v>
      </c>
      <c r="H63" s="483">
        <v>0</v>
      </c>
      <c r="I63" s="29">
        <v>0</v>
      </c>
      <c r="J63" s="29">
        <f>SUM(G63:I63)</f>
        <v>0</v>
      </c>
    </row>
    <row r="64" spans="1:10" ht="14.95" thickBot="1" x14ac:dyDescent="0.3">
      <c r="A64" s="251" t="s">
        <v>228</v>
      </c>
      <c r="B64" s="477">
        <v>0</v>
      </c>
      <c r="C64" s="482">
        <v>0</v>
      </c>
      <c r="D64" s="235">
        <v>0</v>
      </c>
      <c r="E64" s="253">
        <f>SUM(B64:D64)</f>
        <v>0</v>
      </c>
      <c r="F64" s="120" t="s">
        <v>644</v>
      </c>
      <c r="G64" s="479">
        <v>0</v>
      </c>
      <c r="H64" s="483">
        <v>0</v>
      </c>
      <c r="I64" s="29">
        <v>0</v>
      </c>
      <c r="J64" s="29">
        <f>SUM(G64:I64)</f>
        <v>0</v>
      </c>
    </row>
    <row r="65" spans="1:10" ht="14.95" thickBot="1" x14ac:dyDescent="0.3">
      <c r="A65" s="251" t="s">
        <v>294</v>
      </c>
      <c r="B65" s="477">
        <v>0</v>
      </c>
      <c r="C65" s="482">
        <v>0</v>
      </c>
      <c r="D65" s="235">
        <v>0</v>
      </c>
      <c r="E65" s="253">
        <f>SUM(B65:D65)</f>
        <v>0</v>
      </c>
      <c r="F65" s="120" t="s">
        <v>228</v>
      </c>
      <c r="G65" s="479">
        <v>0</v>
      </c>
      <c r="H65" s="483">
        <v>0</v>
      </c>
      <c r="I65" s="29">
        <v>0</v>
      </c>
      <c r="J65" s="29">
        <f>SUM(G65:I65)</f>
        <v>0</v>
      </c>
    </row>
    <row r="66" spans="1:10" ht="14.95" thickBot="1" x14ac:dyDescent="0.3">
      <c r="A66" s="251" t="s">
        <v>537</v>
      </c>
      <c r="B66" s="477">
        <v>0</v>
      </c>
      <c r="C66" s="482">
        <v>0</v>
      </c>
      <c r="D66" s="235">
        <v>0</v>
      </c>
      <c r="E66" s="253">
        <f>SUM(B66:D66)</f>
        <v>0</v>
      </c>
      <c r="F66" s="120" t="s">
        <v>294</v>
      </c>
      <c r="G66" s="479">
        <v>0</v>
      </c>
      <c r="H66" s="483">
        <v>0</v>
      </c>
      <c r="I66" s="29">
        <v>0</v>
      </c>
      <c r="J66" s="29">
        <f>SUM(G66:I66)</f>
        <v>0</v>
      </c>
    </row>
    <row r="67" spans="1:10" ht="14.95" thickBot="1" x14ac:dyDescent="0.3">
      <c r="A67" s="251" t="s">
        <v>288</v>
      </c>
      <c r="B67" s="477">
        <v>0</v>
      </c>
      <c r="C67" s="482">
        <v>0</v>
      </c>
      <c r="D67" s="235">
        <v>0</v>
      </c>
      <c r="E67" s="253">
        <f>SUM(B67:D67)</f>
        <v>0</v>
      </c>
      <c r="F67" s="120" t="s">
        <v>537</v>
      </c>
      <c r="G67" s="479">
        <v>0</v>
      </c>
      <c r="H67" s="483">
        <v>0</v>
      </c>
      <c r="I67" s="29">
        <v>0</v>
      </c>
      <c r="J67" s="29">
        <f>SUM(G67:I67)</f>
        <v>0</v>
      </c>
    </row>
    <row r="68" spans="1:10" ht="14.95" thickBot="1" x14ac:dyDescent="0.3">
      <c r="A68" s="251" t="s">
        <v>865</v>
      </c>
      <c r="B68" s="477">
        <v>0</v>
      </c>
      <c r="C68" s="482">
        <v>0</v>
      </c>
      <c r="D68" s="235">
        <v>0</v>
      </c>
      <c r="E68" s="253">
        <f>SUM(B68:D68)</f>
        <v>0</v>
      </c>
      <c r="F68" s="120" t="s">
        <v>288</v>
      </c>
      <c r="G68" s="479">
        <v>0</v>
      </c>
      <c r="H68" s="483">
        <v>0</v>
      </c>
      <c r="I68" s="29">
        <v>0</v>
      </c>
      <c r="J68" s="29">
        <f>SUM(G68:I68)</f>
        <v>0</v>
      </c>
    </row>
    <row r="69" spans="1:10" ht="14.95" thickBot="1" x14ac:dyDescent="0.3">
      <c r="A69" s="251" t="s">
        <v>305</v>
      </c>
      <c r="B69" s="477">
        <v>0</v>
      </c>
      <c r="C69" s="482">
        <v>0</v>
      </c>
      <c r="D69" s="235">
        <v>0</v>
      </c>
      <c r="E69" s="253">
        <f>SUM(B69:D69)</f>
        <v>0</v>
      </c>
      <c r="F69" s="120" t="s">
        <v>865</v>
      </c>
      <c r="G69" s="479">
        <v>0</v>
      </c>
      <c r="H69" s="483">
        <v>0</v>
      </c>
      <c r="I69" s="29">
        <v>0</v>
      </c>
      <c r="J69" s="29">
        <f>SUM(G69:I69)</f>
        <v>0</v>
      </c>
    </row>
    <row r="70" spans="1:10" ht="14.95" thickBot="1" x14ac:dyDescent="0.3">
      <c r="A70" s="251" t="s">
        <v>306</v>
      </c>
      <c r="B70" s="477">
        <v>0</v>
      </c>
      <c r="C70" s="482">
        <v>0</v>
      </c>
      <c r="D70" s="235">
        <v>0</v>
      </c>
      <c r="E70" s="253">
        <f>SUM(B70:D70)</f>
        <v>0</v>
      </c>
      <c r="F70" s="120" t="s">
        <v>305</v>
      </c>
      <c r="G70" s="479">
        <v>0</v>
      </c>
      <c r="H70" s="483">
        <v>0</v>
      </c>
      <c r="I70" s="29">
        <v>0</v>
      </c>
      <c r="J70" s="29">
        <f>SUM(G70:I70)</f>
        <v>0</v>
      </c>
    </row>
    <row r="71" spans="1:10" ht="14.95" thickBot="1" x14ac:dyDescent="0.3">
      <c r="A71" s="251" t="s">
        <v>285</v>
      </c>
      <c r="B71" s="477">
        <v>0</v>
      </c>
      <c r="C71" s="482">
        <v>0</v>
      </c>
      <c r="D71" s="235">
        <v>0</v>
      </c>
      <c r="E71" s="253">
        <f>SUM(B71:D71)</f>
        <v>0</v>
      </c>
      <c r="F71" s="120" t="s">
        <v>306</v>
      </c>
      <c r="G71" s="479">
        <v>0</v>
      </c>
      <c r="H71" s="483">
        <v>0</v>
      </c>
      <c r="I71" s="29">
        <v>0</v>
      </c>
      <c r="J71" s="29">
        <f>SUM(G71:I71)</f>
        <v>0</v>
      </c>
    </row>
    <row r="72" spans="1:10" ht="14.95" thickBot="1" x14ac:dyDescent="0.3">
      <c r="A72" s="251" t="s">
        <v>283</v>
      </c>
      <c r="B72" s="477">
        <v>0</v>
      </c>
      <c r="C72" s="482">
        <v>0</v>
      </c>
      <c r="D72" s="235">
        <v>0</v>
      </c>
      <c r="E72" s="253">
        <f>SUM(B72:D72)</f>
        <v>0</v>
      </c>
      <c r="F72" s="120" t="s">
        <v>285</v>
      </c>
      <c r="G72" s="479">
        <v>0</v>
      </c>
      <c r="H72" s="483">
        <v>0</v>
      </c>
      <c r="I72" s="29">
        <v>0</v>
      </c>
      <c r="J72" s="29">
        <f>SUM(G72:I72)</f>
        <v>0</v>
      </c>
    </row>
    <row r="73" spans="1:10" ht="14.95" thickBot="1" x14ac:dyDescent="0.3">
      <c r="A73" s="251" t="s">
        <v>295</v>
      </c>
      <c r="B73" s="477">
        <v>0</v>
      </c>
      <c r="C73" s="482">
        <v>0</v>
      </c>
      <c r="D73" s="235">
        <v>0</v>
      </c>
      <c r="E73" s="253">
        <f>SUM(B73:D73)</f>
        <v>0</v>
      </c>
      <c r="F73" s="120" t="s">
        <v>283</v>
      </c>
      <c r="G73" s="479">
        <v>0</v>
      </c>
      <c r="H73" s="483">
        <v>0</v>
      </c>
      <c r="I73" s="29">
        <v>0</v>
      </c>
      <c r="J73" s="29">
        <f>SUM(G73:I73)</f>
        <v>0</v>
      </c>
    </row>
    <row r="74" spans="1:10" ht="14.95" thickBot="1" x14ac:dyDescent="0.3">
      <c r="A74" s="251" t="s">
        <v>293</v>
      </c>
      <c r="B74" s="477">
        <v>0</v>
      </c>
      <c r="C74" s="482">
        <v>0</v>
      </c>
      <c r="D74" s="235">
        <v>0</v>
      </c>
      <c r="E74" s="253">
        <f>SUM(B74:D74)</f>
        <v>0</v>
      </c>
      <c r="F74" s="120" t="s">
        <v>295</v>
      </c>
      <c r="G74" s="479">
        <v>0</v>
      </c>
      <c r="H74" s="483">
        <v>0</v>
      </c>
      <c r="I74" s="29">
        <v>0</v>
      </c>
      <c r="J74" s="29">
        <f>SUM(G74:I74)</f>
        <v>0</v>
      </c>
    </row>
    <row r="75" spans="1:10" ht="14.95" thickBot="1" x14ac:dyDescent="0.3">
      <c r="A75" s="251" t="s">
        <v>299</v>
      </c>
      <c r="B75" s="477">
        <v>0</v>
      </c>
      <c r="C75" s="482">
        <v>0</v>
      </c>
      <c r="D75" s="235">
        <v>0</v>
      </c>
      <c r="E75" s="253">
        <f>SUM(B75:D75)</f>
        <v>0</v>
      </c>
      <c r="F75" s="120" t="s">
        <v>293</v>
      </c>
      <c r="G75" s="479">
        <v>0</v>
      </c>
      <c r="H75" s="483">
        <v>0</v>
      </c>
      <c r="I75" s="29">
        <v>0</v>
      </c>
      <c r="J75" s="29">
        <f>SUM(G75:I75)</f>
        <v>0</v>
      </c>
    </row>
    <row r="76" spans="1:10" ht="14.95" thickBot="1" x14ac:dyDescent="0.3">
      <c r="A76" s="251" t="s">
        <v>497</v>
      </c>
      <c r="B76" s="477">
        <v>0</v>
      </c>
      <c r="C76" s="482">
        <v>0</v>
      </c>
      <c r="D76" s="235">
        <v>0</v>
      </c>
      <c r="E76" s="253">
        <f>SUM(B76:D76)</f>
        <v>0</v>
      </c>
      <c r="F76" s="120" t="s">
        <v>299</v>
      </c>
      <c r="G76" s="479">
        <v>0</v>
      </c>
      <c r="H76" s="483">
        <v>0</v>
      </c>
      <c r="I76" s="29">
        <v>0</v>
      </c>
      <c r="J76" s="29">
        <f>SUM(G76:I76)</f>
        <v>0</v>
      </c>
    </row>
    <row r="77" spans="1:10" ht="14.95" thickBot="1" x14ac:dyDescent="0.3">
      <c r="A77" s="251" t="s">
        <v>286</v>
      </c>
      <c r="B77" s="477">
        <v>0</v>
      </c>
      <c r="C77" s="482">
        <v>0</v>
      </c>
      <c r="D77" s="235">
        <v>0</v>
      </c>
      <c r="E77" s="253">
        <f>SUM(B77:D77)</f>
        <v>0</v>
      </c>
      <c r="F77" s="120" t="s">
        <v>497</v>
      </c>
      <c r="G77" s="479">
        <v>0</v>
      </c>
      <c r="H77" s="483">
        <v>0</v>
      </c>
      <c r="I77" s="29">
        <v>0</v>
      </c>
      <c r="J77" s="29">
        <f>SUM(G77:I77)</f>
        <v>0</v>
      </c>
    </row>
    <row r="78" spans="1:10" ht="14.95" thickBot="1" x14ac:dyDescent="0.3">
      <c r="A78" s="251" t="s">
        <v>296</v>
      </c>
      <c r="B78" s="477">
        <v>0</v>
      </c>
      <c r="C78" s="482">
        <v>0</v>
      </c>
      <c r="D78" s="235">
        <v>0</v>
      </c>
      <c r="E78" s="253">
        <f>SUM(B78:D78)</f>
        <v>0</v>
      </c>
      <c r="F78" s="120" t="s">
        <v>286</v>
      </c>
      <c r="G78" s="479">
        <v>0</v>
      </c>
      <c r="H78" s="483">
        <v>0</v>
      </c>
      <c r="I78" s="29">
        <v>0</v>
      </c>
      <c r="J78" s="29">
        <f>SUM(G78:I78)</f>
        <v>0</v>
      </c>
    </row>
    <row r="79" spans="1:10" ht="14.95" thickBot="1" x14ac:dyDescent="0.3">
      <c r="A79" s="251" t="s">
        <v>301</v>
      </c>
      <c r="B79" s="477">
        <v>0</v>
      </c>
      <c r="C79" s="482">
        <v>0</v>
      </c>
      <c r="D79" s="235">
        <v>0</v>
      </c>
      <c r="E79" s="253">
        <f>SUM(B79:D79)</f>
        <v>0</v>
      </c>
      <c r="F79" s="120" t="s">
        <v>296</v>
      </c>
      <c r="G79" s="479">
        <v>0</v>
      </c>
      <c r="H79" s="483">
        <v>0</v>
      </c>
      <c r="I79" s="29">
        <v>0</v>
      </c>
      <c r="J79" s="29">
        <f>SUM(G79:I79)</f>
        <v>0</v>
      </c>
    </row>
    <row r="80" spans="1:10" ht="14.95" thickBot="1" x14ac:dyDescent="0.3">
      <c r="A80" s="251" t="s">
        <v>208</v>
      </c>
      <c r="B80" s="477">
        <v>0</v>
      </c>
      <c r="C80" s="482">
        <v>0</v>
      </c>
      <c r="D80" s="235">
        <v>0</v>
      </c>
      <c r="E80" s="253">
        <f>SUM(B80:D80)</f>
        <v>0</v>
      </c>
      <c r="F80" s="120" t="s">
        <v>301</v>
      </c>
      <c r="G80" s="479">
        <v>0</v>
      </c>
      <c r="H80" s="483">
        <v>0</v>
      </c>
      <c r="I80" s="29">
        <v>0</v>
      </c>
      <c r="J80" s="29">
        <f>SUM(G80:I80)</f>
        <v>0</v>
      </c>
    </row>
    <row r="81" spans="1:10" ht="14.95" thickBot="1" x14ac:dyDescent="0.3">
      <c r="A81" s="251" t="s">
        <v>764</v>
      </c>
      <c r="B81" s="477">
        <v>0</v>
      </c>
      <c r="C81" s="482">
        <v>0</v>
      </c>
      <c r="D81" s="235">
        <v>0</v>
      </c>
      <c r="E81" s="253">
        <f>SUM(B81:D81)</f>
        <v>0</v>
      </c>
      <c r="F81" s="120" t="s">
        <v>208</v>
      </c>
      <c r="G81" s="479">
        <v>0</v>
      </c>
      <c r="H81" s="483">
        <v>0</v>
      </c>
      <c r="I81" s="29">
        <v>0</v>
      </c>
      <c r="J81" s="29">
        <f>SUM(G81:I81)</f>
        <v>0</v>
      </c>
    </row>
    <row r="82" spans="1:10" ht="14.95" thickBot="1" x14ac:dyDescent="0.3">
      <c r="A82" s="251" t="s">
        <v>496</v>
      </c>
      <c r="B82" s="477">
        <v>0</v>
      </c>
      <c r="C82" s="482">
        <v>0</v>
      </c>
      <c r="D82" s="235">
        <v>0</v>
      </c>
      <c r="E82" s="253">
        <f>SUM(B82:D82)</f>
        <v>0</v>
      </c>
      <c r="F82" s="120" t="s">
        <v>764</v>
      </c>
      <c r="G82" s="479">
        <v>0</v>
      </c>
      <c r="H82" s="483">
        <v>0</v>
      </c>
      <c r="I82" s="29">
        <v>0</v>
      </c>
      <c r="J82" s="29">
        <f>SUM(G82:I82)</f>
        <v>0</v>
      </c>
    </row>
    <row r="83" spans="1:10" ht="14.95" thickBot="1" x14ac:dyDescent="0.3">
      <c r="A83" s="251" t="s">
        <v>284</v>
      </c>
      <c r="B83" s="477">
        <v>0</v>
      </c>
      <c r="C83" s="482">
        <v>0</v>
      </c>
      <c r="D83" s="235">
        <v>0</v>
      </c>
      <c r="E83" s="253">
        <f>SUM(B83:D83)</f>
        <v>0</v>
      </c>
      <c r="F83" s="120" t="s">
        <v>496</v>
      </c>
      <c r="G83" s="479">
        <v>0</v>
      </c>
      <c r="H83" s="483">
        <v>0</v>
      </c>
      <c r="I83" s="29">
        <v>0</v>
      </c>
      <c r="J83" s="29">
        <f>SUM(G83:I83)</f>
        <v>0</v>
      </c>
    </row>
    <row r="84" spans="1:10" ht="14.95" thickBot="1" x14ac:dyDescent="0.3">
      <c r="A84" s="251" t="s">
        <v>227</v>
      </c>
      <c r="B84" s="477">
        <v>0</v>
      </c>
      <c r="C84" s="482">
        <v>0</v>
      </c>
      <c r="D84" s="235">
        <v>0</v>
      </c>
      <c r="E84" s="253">
        <f>SUM(B84:D84)</f>
        <v>0</v>
      </c>
      <c r="F84" s="120" t="s">
        <v>284</v>
      </c>
      <c r="G84" s="479">
        <v>0</v>
      </c>
      <c r="H84" s="483">
        <v>0</v>
      </c>
      <c r="I84" s="29">
        <v>0</v>
      </c>
      <c r="J84" s="29">
        <f>SUM(G84:I84)</f>
        <v>0</v>
      </c>
    </row>
    <row r="85" spans="1:10" ht="14.95" thickBot="1" x14ac:dyDescent="0.3">
      <c r="A85" s="251" t="s">
        <v>298</v>
      </c>
      <c r="B85" s="477">
        <v>0</v>
      </c>
      <c r="C85" s="482">
        <v>0</v>
      </c>
      <c r="D85" s="235">
        <v>0</v>
      </c>
      <c r="E85" s="253">
        <f>SUM(B85:D85)</f>
        <v>0</v>
      </c>
      <c r="F85" s="120" t="s">
        <v>227</v>
      </c>
      <c r="G85" s="479">
        <v>0</v>
      </c>
      <c r="H85" s="483">
        <v>0</v>
      </c>
      <c r="I85" s="29">
        <v>0</v>
      </c>
      <c r="J85" s="29">
        <f>SUM(G85:I85)</f>
        <v>0</v>
      </c>
    </row>
    <row r="86" spans="1:10" ht="14.95" thickBot="1" x14ac:dyDescent="0.3">
      <c r="A86" s="251" t="s">
        <v>1030</v>
      </c>
      <c r="B86" s="477">
        <v>0</v>
      </c>
      <c r="C86" s="482">
        <v>0</v>
      </c>
      <c r="D86" s="235">
        <v>0</v>
      </c>
      <c r="E86" s="253">
        <f>SUM(B86:D86)</f>
        <v>0</v>
      </c>
      <c r="F86" s="120" t="s">
        <v>298</v>
      </c>
      <c r="G86" s="479">
        <v>0</v>
      </c>
      <c r="H86" s="483">
        <v>0</v>
      </c>
      <c r="I86" s="29">
        <v>0</v>
      </c>
      <c r="J86" s="29">
        <f>SUM(G86:I86)</f>
        <v>0</v>
      </c>
    </row>
    <row r="87" spans="1:10" ht="14.95" thickBot="1" x14ac:dyDescent="0.3">
      <c r="A87" s="251" t="s">
        <v>287</v>
      </c>
      <c r="B87" s="477">
        <v>0</v>
      </c>
      <c r="C87" s="482">
        <v>0</v>
      </c>
      <c r="D87" s="235">
        <v>0</v>
      </c>
      <c r="E87" s="253">
        <f>SUM(B87:D87)</f>
        <v>0</v>
      </c>
      <c r="F87" s="120" t="s">
        <v>287</v>
      </c>
      <c r="G87" s="479">
        <v>0</v>
      </c>
      <c r="H87" s="483">
        <v>0</v>
      </c>
      <c r="I87" s="29">
        <v>0</v>
      </c>
      <c r="J87" s="29">
        <f>SUM(G87:I87)</f>
        <v>0</v>
      </c>
    </row>
    <row r="88" spans="1:10" ht="14.95" thickBot="1" x14ac:dyDescent="0.3">
      <c r="A88" s="251" t="s">
        <v>297</v>
      </c>
      <c r="B88" s="477">
        <v>0</v>
      </c>
      <c r="C88" s="482">
        <v>0</v>
      </c>
      <c r="D88" s="235">
        <v>0</v>
      </c>
      <c r="E88" s="253">
        <f>SUM(B88:D88)</f>
        <v>0</v>
      </c>
      <c r="F88" s="120" t="s">
        <v>297</v>
      </c>
      <c r="G88" s="479">
        <v>0</v>
      </c>
      <c r="H88" s="483">
        <v>0</v>
      </c>
      <c r="I88" s="29">
        <v>0</v>
      </c>
      <c r="J88" s="29">
        <f>SUM(G88:I88)</f>
        <v>0</v>
      </c>
    </row>
    <row r="89" spans="1:10" ht="14.95" thickBot="1" x14ac:dyDescent="0.3">
      <c r="A89" s="251" t="s">
        <v>3</v>
      </c>
      <c r="B89" s="477">
        <f>SUM(B48:B88)</f>
        <v>7</v>
      </c>
      <c r="C89" s="482">
        <f>SUM(C48:C88)</f>
        <v>0</v>
      </c>
      <c r="D89" s="235">
        <f>SUM(D48:D88)</f>
        <v>0</v>
      </c>
      <c r="E89" s="253">
        <f t="shared" ref="E48:E89" si="2">SUM(B89:D89)</f>
        <v>7</v>
      </c>
      <c r="F89" s="121" t="s">
        <v>3</v>
      </c>
      <c r="G89" s="480">
        <f>SUM(G48:G88)</f>
        <v>48</v>
      </c>
      <c r="H89" s="484">
        <f>SUM(H48:H88)</f>
        <v>0</v>
      </c>
      <c r="I89" s="118">
        <f>SUM(I48:I88)</f>
        <v>0</v>
      </c>
      <c r="J89" s="118">
        <f t="shared" ref="J48:J89" si="3">SUM(G89:I89)</f>
        <v>48</v>
      </c>
    </row>
    <row r="90" spans="1:10" ht="16.3" x14ac:dyDescent="0.3">
      <c r="A90" s="524" t="s">
        <v>10</v>
      </c>
      <c r="B90" s="524"/>
      <c r="C90" s="524"/>
      <c r="D90" s="525"/>
    </row>
  </sheetData>
  <sortState xmlns:xlrd2="http://schemas.microsoft.com/office/spreadsheetml/2017/richdata2" ref="F48:J88">
    <sortCondition descending="1" ref="J48:J88"/>
  </sortState>
  <mergeCells count="23">
    <mergeCell ref="AD1:AF2"/>
    <mergeCell ref="O28:Q29"/>
    <mergeCell ref="U12:W13"/>
    <mergeCell ref="O1:Q2"/>
    <mergeCell ref="R1:R2"/>
    <mergeCell ref="O21:Q22"/>
    <mergeCell ref="O12:Q13"/>
    <mergeCell ref="AA1:AC2"/>
    <mergeCell ref="AA12:AC13"/>
    <mergeCell ref="R28:T29"/>
    <mergeCell ref="A90:D90"/>
    <mergeCell ref="K12:K13"/>
    <mergeCell ref="L12:N13"/>
    <mergeCell ref="V1:X2"/>
    <mergeCell ref="R12:T13"/>
    <mergeCell ref="S1:U2"/>
    <mergeCell ref="A1:J1"/>
    <mergeCell ref="K1:K2"/>
    <mergeCell ref="L1:N2"/>
    <mergeCell ref="K21:K22"/>
    <mergeCell ref="K28:K29"/>
    <mergeCell ref="L28:N29"/>
    <mergeCell ref="L21:N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0"/>
  <sheetViews>
    <sheetView workbookViewId="0">
      <selection activeCell="N30" sqref="N30"/>
    </sheetView>
  </sheetViews>
  <sheetFormatPr defaultRowHeight="14.3" x14ac:dyDescent="0.25"/>
  <cols>
    <col min="1" max="1" width="20.625" customWidth="1"/>
    <col min="2" max="3" width="5.75" customWidth="1"/>
    <col min="4" max="4" width="20.625" customWidth="1"/>
    <col min="5" max="6" width="5.75" customWidth="1"/>
    <col min="7" max="7" width="16.75" customWidth="1"/>
    <col min="8" max="11" width="5.75" customWidth="1"/>
  </cols>
  <sheetData>
    <row r="1" spans="1:11" x14ac:dyDescent="0.25">
      <c r="A1" s="395" t="s">
        <v>1009</v>
      </c>
      <c r="B1" s="395"/>
      <c r="C1" s="396"/>
      <c r="D1" s="396"/>
    </row>
    <row r="2" spans="1:11" ht="14.95" thickBot="1" x14ac:dyDescent="0.3">
      <c r="A2" s="219" t="s">
        <v>1039</v>
      </c>
    </row>
    <row r="3" spans="1:11" ht="14.95" customHeight="1" thickBot="1" x14ac:dyDescent="0.3">
      <c r="A3" s="54" t="s">
        <v>0</v>
      </c>
      <c r="B3" s="89" t="s">
        <v>24</v>
      </c>
      <c r="C3" s="444" t="s">
        <v>9</v>
      </c>
      <c r="D3" s="179" t="s">
        <v>2</v>
      </c>
      <c r="E3" s="179" t="s">
        <v>24</v>
      </c>
      <c r="F3" s="447" t="s">
        <v>9</v>
      </c>
      <c r="G3" s="448" t="s">
        <v>29</v>
      </c>
      <c r="H3" s="449" t="s">
        <v>24</v>
      </c>
      <c r="I3" s="450" t="s">
        <v>25</v>
      </c>
      <c r="J3" s="450" t="s">
        <v>26</v>
      </c>
      <c r="K3" s="450" t="s">
        <v>6</v>
      </c>
    </row>
    <row r="4" spans="1:11" ht="14.95" customHeight="1" thickBot="1" x14ac:dyDescent="0.3">
      <c r="A4" s="14" t="s">
        <v>522</v>
      </c>
      <c r="B4" s="13" t="s">
        <v>20</v>
      </c>
      <c r="C4" s="445">
        <f>Berneng6ntries</f>
        <v>4</v>
      </c>
      <c r="D4" s="55" t="s">
        <v>575</v>
      </c>
      <c r="E4" s="90" t="s">
        <v>20</v>
      </c>
      <c r="F4" s="446">
        <f>Harrisoneng6npts</f>
        <v>24</v>
      </c>
      <c r="G4" s="14" t="s">
        <v>194</v>
      </c>
      <c r="H4" s="13" t="s">
        <v>21</v>
      </c>
      <c r="I4" s="15">
        <f>Nelsonsco6ngls</f>
        <v>5</v>
      </c>
      <c r="J4" s="15">
        <f>nelsonsco6nAtt</f>
        <v>6</v>
      </c>
      <c r="K4" s="60">
        <f t="shared" ref="K4:K13" si="0">SUM(I4/J4)*100</f>
        <v>83.333333333333343</v>
      </c>
    </row>
    <row r="5" spans="1:11" ht="14.95" customHeight="1" thickBot="1" x14ac:dyDescent="0.3">
      <c r="A5" s="14" t="s">
        <v>1025</v>
      </c>
      <c r="B5" s="13" t="s">
        <v>27</v>
      </c>
      <c r="C5" s="445">
        <f>Penaudfra6ntries</f>
        <v>3</v>
      </c>
      <c r="D5" s="55" t="s">
        <v>392</v>
      </c>
      <c r="E5" s="90" t="s">
        <v>27</v>
      </c>
      <c r="F5" s="446">
        <f>ArbezFRA6NPTS</f>
        <v>21</v>
      </c>
      <c r="G5" s="14" t="s">
        <v>392</v>
      </c>
      <c r="H5" s="13" t="s">
        <v>27</v>
      </c>
      <c r="I5" s="15">
        <f>Arbezfra6ngls</f>
        <v>8</v>
      </c>
      <c r="J5" s="15">
        <f>arbezfra6natt</f>
        <v>10</v>
      </c>
      <c r="K5" s="60">
        <f t="shared" si="0"/>
        <v>80</v>
      </c>
    </row>
    <row r="6" spans="1:11" ht="14.95" customHeight="1" thickBot="1" x14ac:dyDescent="0.3">
      <c r="A6" s="14" t="s">
        <v>212</v>
      </c>
      <c r="B6" s="13" t="s">
        <v>20</v>
      </c>
      <c r="C6" s="445">
        <f>Kildunneeng6ntries</f>
        <v>3</v>
      </c>
      <c r="D6" s="55" t="s">
        <v>522</v>
      </c>
      <c r="E6" s="90" t="s">
        <v>20</v>
      </c>
      <c r="F6" s="446">
        <f>Berneng6npts</f>
        <v>20</v>
      </c>
      <c r="G6" s="14" t="s">
        <v>416</v>
      </c>
      <c r="H6" s="13" t="s">
        <v>20</v>
      </c>
      <c r="I6" s="15">
        <f>Rowlandeng6ngls</f>
        <v>4</v>
      </c>
      <c r="J6" s="15">
        <f>rowlandeng6natt</f>
        <v>5</v>
      </c>
      <c r="K6" s="60">
        <f t="shared" si="0"/>
        <v>80</v>
      </c>
    </row>
    <row r="7" spans="1:11" ht="14.95" customHeight="1" thickBot="1" x14ac:dyDescent="0.3">
      <c r="A7" s="14" t="s">
        <v>585</v>
      </c>
      <c r="B7" s="13" t="s">
        <v>19</v>
      </c>
      <c r="C7" s="445">
        <f>Parsonsire6ntries</f>
        <v>3</v>
      </c>
      <c r="D7" s="55" t="s">
        <v>1025</v>
      </c>
      <c r="E7" s="90" t="s">
        <v>27</v>
      </c>
      <c r="F7" s="446">
        <f>Penaudfra6npts</f>
        <v>15</v>
      </c>
      <c r="G7" s="14" t="s">
        <v>394</v>
      </c>
      <c r="H7" s="13" t="s">
        <v>19</v>
      </c>
      <c r="I7" s="15">
        <f>O_Brienire6ngls</f>
        <v>7</v>
      </c>
      <c r="J7" s="15">
        <f>O_Brienire6natt</f>
        <v>11</v>
      </c>
      <c r="K7" s="60">
        <f t="shared" si="0"/>
        <v>63.636363636363633</v>
      </c>
    </row>
    <row r="8" spans="1:11" ht="14.95" customHeight="1" thickBot="1" x14ac:dyDescent="0.3">
      <c r="A8" s="14" t="s">
        <v>584</v>
      </c>
      <c r="B8" s="13" t="s">
        <v>20</v>
      </c>
      <c r="C8" s="445">
        <f>Cokayneeng6ntries</f>
        <v>2</v>
      </c>
      <c r="D8" s="55" t="s">
        <v>212</v>
      </c>
      <c r="E8" s="90" t="s">
        <v>20</v>
      </c>
      <c r="F8" s="446">
        <f>Kildunneeng6npts</f>
        <v>15</v>
      </c>
      <c r="G8" s="14" t="s">
        <v>1024</v>
      </c>
      <c r="H8" s="13" t="s">
        <v>22</v>
      </c>
      <c r="I8" s="15">
        <f>d_Incaita6ngls</f>
        <v>1</v>
      </c>
      <c r="J8" s="107">
        <f>d_Incaita6natt</f>
        <v>1</v>
      </c>
      <c r="K8" s="60">
        <f t="shared" si="0"/>
        <v>100</v>
      </c>
    </row>
    <row r="9" spans="1:11" ht="14.95" customHeight="1" thickBot="1" x14ac:dyDescent="0.3">
      <c r="A9" s="14" t="s">
        <v>1020</v>
      </c>
      <c r="B9" s="13" t="s">
        <v>27</v>
      </c>
      <c r="C9" s="445">
        <f>Willemsefra6ntries</f>
        <v>2</v>
      </c>
      <c r="D9" s="55" t="s">
        <v>585</v>
      </c>
      <c r="E9" s="90" t="s">
        <v>19</v>
      </c>
      <c r="F9" s="446">
        <f>Parsonsire6npts</f>
        <v>15</v>
      </c>
      <c r="G9" s="14" t="s">
        <v>518</v>
      </c>
      <c r="H9" s="13" t="s">
        <v>23</v>
      </c>
      <c r="I9" s="15">
        <f>Georgewal6ngls</f>
        <v>1</v>
      </c>
      <c r="J9" s="107">
        <f>Georgewal6natt</f>
        <v>1</v>
      </c>
      <c r="K9" s="60">
        <f t="shared" si="0"/>
        <v>100</v>
      </c>
    </row>
    <row r="10" spans="1:11" ht="14.95" customHeight="1" thickBot="1" x14ac:dyDescent="0.3">
      <c r="A10" s="14" t="s">
        <v>392</v>
      </c>
      <c r="B10" s="13" t="s">
        <v>27</v>
      </c>
      <c r="C10" s="445">
        <f>ArbezFRA6NTRIES</f>
        <v>1</v>
      </c>
      <c r="D10" s="55" t="s">
        <v>394</v>
      </c>
      <c r="E10" s="90" t="s">
        <v>19</v>
      </c>
      <c r="F10" s="446">
        <f>O_Brienire6npts</f>
        <v>14</v>
      </c>
      <c r="G10" s="14" t="s">
        <v>202</v>
      </c>
      <c r="H10" s="13" t="s">
        <v>23</v>
      </c>
      <c r="I10" s="15">
        <f>Bevanwal6nglscorrect</f>
        <v>1</v>
      </c>
      <c r="J10" s="107">
        <f>bevanwal6natt</f>
        <v>2</v>
      </c>
      <c r="K10" s="60">
        <f t="shared" si="0"/>
        <v>50</v>
      </c>
    </row>
    <row r="11" spans="1:11" ht="14.95" customHeight="1" thickBot="1" x14ac:dyDescent="0.3">
      <c r="A11" s="14" t="s">
        <v>1022</v>
      </c>
      <c r="B11" s="13" t="s">
        <v>27</v>
      </c>
      <c r="C11" s="445">
        <f>Barratfra6ntries</f>
        <v>1</v>
      </c>
      <c r="D11" s="55" t="s">
        <v>194</v>
      </c>
      <c r="E11" s="90" t="s">
        <v>21</v>
      </c>
      <c r="F11" s="446">
        <f>Nelsonsco6npts</f>
        <v>11</v>
      </c>
      <c r="G11" s="14" t="s">
        <v>567</v>
      </c>
      <c r="H11" s="13" t="s">
        <v>27</v>
      </c>
      <c r="I11" s="15">
        <f>Queyroifra6ngls</f>
        <v>1</v>
      </c>
      <c r="J11" s="107">
        <f>Queyroifra6natt</f>
        <v>2</v>
      </c>
      <c r="K11" s="60">
        <f t="shared" si="0"/>
        <v>50</v>
      </c>
    </row>
    <row r="12" spans="1:11" ht="14.95" customHeight="1" thickBot="1" x14ac:dyDescent="0.3">
      <c r="A12" s="14" t="s">
        <v>1018</v>
      </c>
      <c r="B12" s="13" t="s">
        <v>27</v>
      </c>
      <c r="C12" s="445">
        <f>Dantyfra6ntries</f>
        <v>1</v>
      </c>
      <c r="D12" s="55" t="s">
        <v>584</v>
      </c>
      <c r="E12" s="90" t="s">
        <v>20</v>
      </c>
      <c r="F12" s="446">
        <f>Cokayneeng6npts</f>
        <v>10</v>
      </c>
      <c r="G12" s="14" t="s">
        <v>977</v>
      </c>
      <c r="H12" s="13" t="s">
        <v>22</v>
      </c>
      <c r="I12" s="15">
        <f>busoita6ngls</f>
        <v>0</v>
      </c>
      <c r="J12" s="107">
        <f>busoita6natt</f>
        <v>3</v>
      </c>
      <c r="K12" s="60">
        <f t="shared" si="0"/>
        <v>0</v>
      </c>
    </row>
    <row r="13" spans="1:11" ht="14.95" customHeight="1" thickBot="1" x14ac:dyDescent="0.3">
      <c r="A13" s="14" t="s">
        <v>206</v>
      </c>
      <c r="B13" s="13" t="s">
        <v>20</v>
      </c>
      <c r="C13" s="445">
        <f>Dombrandteng6ntries</f>
        <v>1</v>
      </c>
      <c r="D13" s="55" t="s">
        <v>1020</v>
      </c>
      <c r="E13" s="90" t="s">
        <v>27</v>
      </c>
      <c r="F13" s="446">
        <f>Willemsefra6npts</f>
        <v>10</v>
      </c>
      <c r="G13" s="14" t="s">
        <v>198</v>
      </c>
      <c r="H13" s="13" t="s">
        <v>22</v>
      </c>
      <c r="I13" s="15">
        <f>Sillariita6ngls</f>
        <v>0</v>
      </c>
      <c r="J13" s="107">
        <f>sillarita6natt</f>
        <v>1</v>
      </c>
      <c r="K13" s="60">
        <f t="shared" si="0"/>
        <v>0</v>
      </c>
    </row>
    <row r="14" spans="1:11" ht="14.95" customHeight="1" thickBot="1" x14ac:dyDescent="0.3">
      <c r="A14" s="14" t="s">
        <v>977</v>
      </c>
      <c r="B14" s="13" t="s">
        <v>22</v>
      </c>
      <c r="C14" s="445">
        <f>Braleyita6ntries</f>
        <v>1</v>
      </c>
      <c r="D14" s="55" t="s">
        <v>416</v>
      </c>
      <c r="E14" s="90" t="s">
        <v>20</v>
      </c>
      <c r="F14" s="446">
        <f>Rowlandengpts</f>
        <v>8</v>
      </c>
      <c r="G14" s="93" t="s">
        <v>577</v>
      </c>
      <c r="H14" s="7"/>
    </row>
    <row r="15" spans="1:11" ht="14.95" customHeight="1" thickBot="1" x14ac:dyDescent="0.3">
      <c r="A15" s="14" t="s">
        <v>1028</v>
      </c>
      <c r="B15" s="13" t="s">
        <v>21</v>
      </c>
      <c r="C15" s="445">
        <f>Dargesco6ntries</f>
        <v>1</v>
      </c>
      <c r="D15" s="55" t="s">
        <v>1024</v>
      </c>
      <c r="E15" s="90" t="s">
        <v>22</v>
      </c>
      <c r="F15" s="446">
        <f>D_Incaita6npts</f>
        <v>7</v>
      </c>
    </row>
    <row r="16" spans="1:11" ht="14.95" customHeight="1" thickBot="1" x14ac:dyDescent="0.3">
      <c r="A16" s="14" t="s">
        <v>172</v>
      </c>
      <c r="B16" s="13" t="s">
        <v>23</v>
      </c>
      <c r="C16" s="445">
        <f>Jones_Kwal6ntries</f>
        <v>1</v>
      </c>
      <c r="D16" s="55" t="s">
        <v>208</v>
      </c>
      <c r="E16" s="90" t="s">
        <v>23</v>
      </c>
      <c r="F16" s="446">
        <f>penaltytrieswal6nptscorrect</f>
        <v>7</v>
      </c>
    </row>
    <row r="17" spans="1:27" ht="14.95" customHeight="1" thickBot="1" x14ac:dyDescent="0.3">
      <c r="A17" s="14" t="s">
        <v>589</v>
      </c>
      <c r="B17" s="13" t="s">
        <v>27</v>
      </c>
      <c r="C17" s="445">
        <f>Khalfaouifra6ntries</f>
        <v>1</v>
      </c>
      <c r="D17" s="55" t="s">
        <v>1022</v>
      </c>
      <c r="E17" s="90" t="s">
        <v>27</v>
      </c>
      <c r="F17" s="446">
        <f>Barratfra6npts</f>
        <v>5</v>
      </c>
    </row>
    <row r="18" spans="1:27" ht="14.95" customHeight="1" thickBot="1" x14ac:dyDescent="0.3">
      <c r="A18" s="14" t="s">
        <v>1027</v>
      </c>
      <c r="B18" s="13" t="s">
        <v>19</v>
      </c>
      <c r="C18" s="445">
        <f>kingire6ntries</f>
        <v>1</v>
      </c>
      <c r="D18" s="55" t="s">
        <v>1018</v>
      </c>
      <c r="E18" s="90" t="s">
        <v>27</v>
      </c>
      <c r="F18" s="446">
        <f>Dantyfra6npts</f>
        <v>5</v>
      </c>
    </row>
    <row r="19" spans="1:27" ht="14.95" customHeight="1" thickBot="1" x14ac:dyDescent="0.3">
      <c r="A19" s="14" t="s">
        <v>737</v>
      </c>
      <c r="B19" s="13" t="s">
        <v>19</v>
      </c>
      <c r="C19" s="445">
        <f>McGannire6ntries</f>
        <v>1</v>
      </c>
      <c r="D19" s="55" t="s">
        <v>206</v>
      </c>
      <c r="E19" s="90" t="s">
        <v>20</v>
      </c>
      <c r="F19" s="446">
        <f>Dombrandteng6npts</f>
        <v>5</v>
      </c>
    </row>
    <row r="20" spans="1:27" ht="14.95" customHeight="1" thickBot="1" x14ac:dyDescent="0.3">
      <c r="A20" s="14" t="s">
        <v>191</v>
      </c>
      <c r="B20" s="13" t="s">
        <v>21</v>
      </c>
      <c r="C20" s="445">
        <f>Rolliesco6ntriesthisone</f>
        <v>1</v>
      </c>
      <c r="D20" s="55" t="s">
        <v>977</v>
      </c>
      <c r="E20" s="90" t="s">
        <v>22</v>
      </c>
      <c r="F20" s="446">
        <f>Braleyita6npts</f>
        <v>5</v>
      </c>
    </row>
    <row r="21" spans="1:27" ht="14.95" customHeight="1" thickBot="1" x14ac:dyDescent="0.3">
      <c r="A21" s="14" t="s">
        <v>1029</v>
      </c>
      <c r="B21" s="13" t="s">
        <v>21</v>
      </c>
      <c r="C21" s="445">
        <f>Scottsco6ntries</f>
        <v>1</v>
      </c>
      <c r="D21" s="55" t="s">
        <v>1028</v>
      </c>
      <c r="E21" s="90" t="s">
        <v>21</v>
      </c>
      <c r="F21" s="446">
        <f>Dargesco6npts</f>
        <v>5</v>
      </c>
    </row>
    <row r="22" spans="1:27" ht="14.95" customHeight="1" thickBot="1" x14ac:dyDescent="0.3">
      <c r="A22" s="14" t="s">
        <v>387</v>
      </c>
      <c r="B22" s="13" t="s">
        <v>23</v>
      </c>
      <c r="C22" s="445">
        <f>Tuipulotuwal6ntries</f>
        <v>1</v>
      </c>
      <c r="D22" s="55" t="s">
        <v>172</v>
      </c>
      <c r="E22" s="90" t="s">
        <v>23</v>
      </c>
      <c r="F22" s="446">
        <f>Jones_Kwal6npts</f>
        <v>5</v>
      </c>
    </row>
    <row r="23" spans="1:27" ht="14.95" customHeight="1" thickBot="1" x14ac:dyDescent="0.3">
      <c r="A23" s="14" t="s">
        <v>733</v>
      </c>
      <c r="B23" s="13" t="s">
        <v>23</v>
      </c>
      <c r="C23" s="445">
        <f>Williamswal6ntries</f>
        <v>1</v>
      </c>
      <c r="D23" s="55" t="s">
        <v>589</v>
      </c>
      <c r="E23" s="90" t="s">
        <v>27</v>
      </c>
      <c r="F23" s="446">
        <f>Khalfaouifra6npts</f>
        <v>5</v>
      </c>
    </row>
    <row r="24" spans="1:27" ht="14.95" customHeight="1" thickBot="1" x14ac:dyDescent="0.3">
      <c r="A24" s="14" t="s">
        <v>728</v>
      </c>
      <c r="B24" s="13" t="s">
        <v>27</v>
      </c>
      <c r="C24" s="445">
        <f>Bourdonfra6ntries</f>
        <v>1</v>
      </c>
      <c r="D24" s="55" t="s">
        <v>1027</v>
      </c>
      <c r="E24" s="90" t="s">
        <v>19</v>
      </c>
      <c r="F24" s="446">
        <f>Kingire6npts</f>
        <v>5</v>
      </c>
    </row>
    <row r="25" spans="1:27" ht="14.95" customHeight="1" thickBot="1" x14ac:dyDescent="0.3">
      <c r="A25" s="14" t="s">
        <v>749</v>
      </c>
      <c r="B25" s="13" t="s">
        <v>20</v>
      </c>
      <c r="C25" s="445">
        <f>Cliffordeng6ntriescorrect</f>
        <v>1</v>
      </c>
      <c r="D25" s="55" t="s">
        <v>737</v>
      </c>
      <c r="E25" s="90" t="s">
        <v>19</v>
      </c>
      <c r="F25" s="446">
        <f>McGannire6npts</f>
        <v>5</v>
      </c>
      <c r="V25" s="6"/>
      <c r="W25" s="6"/>
      <c r="X25" s="6"/>
      <c r="Y25" s="6"/>
      <c r="Z25" s="6"/>
      <c r="AA25" s="6"/>
    </row>
    <row r="26" spans="1:27" ht="14.95" customHeight="1" thickBot="1" x14ac:dyDescent="0.3">
      <c r="A26" s="14" t="s">
        <v>1024</v>
      </c>
      <c r="B26" s="13" t="s">
        <v>22</v>
      </c>
      <c r="C26" s="445">
        <f>D_Incaita6ntries</f>
        <v>1</v>
      </c>
      <c r="D26" s="55" t="s">
        <v>191</v>
      </c>
      <c r="E26" s="90" t="s">
        <v>21</v>
      </c>
      <c r="F26" s="446">
        <f>Rolliesco6nptsthisone</f>
        <v>5</v>
      </c>
      <c r="U26" s="6"/>
      <c r="V26" s="6"/>
      <c r="W26" s="6"/>
      <c r="X26" s="6"/>
      <c r="Y26" s="6"/>
      <c r="Z26" s="6"/>
      <c r="AA26" s="6"/>
    </row>
    <row r="27" spans="1:27" ht="14.95" customHeight="1" thickBot="1" x14ac:dyDescent="0.3">
      <c r="A27" s="14" t="s">
        <v>729</v>
      </c>
      <c r="B27" s="13" t="s">
        <v>27</v>
      </c>
      <c r="C27" s="445">
        <f>Jelonchfra6ntries</f>
        <v>1</v>
      </c>
      <c r="D27" s="55" t="s">
        <v>1029</v>
      </c>
      <c r="E27" s="90" t="s">
        <v>21</v>
      </c>
      <c r="F27" s="446">
        <f>Scottsco6npts</f>
        <v>5</v>
      </c>
      <c r="U27" s="6"/>
      <c r="V27" s="6"/>
      <c r="W27" s="6"/>
      <c r="X27" s="6"/>
      <c r="Y27" s="6"/>
      <c r="Z27" s="6"/>
      <c r="AA27" s="6"/>
    </row>
    <row r="28" spans="1:27" ht="14.95" customHeight="1" thickBot="1" x14ac:dyDescent="0.3">
      <c r="A28" s="14" t="s">
        <v>597</v>
      </c>
      <c r="B28" s="13" t="s">
        <v>27</v>
      </c>
      <c r="C28" s="445">
        <f>Moefanafra6ntries</f>
        <v>1</v>
      </c>
      <c r="D28" s="55" t="s">
        <v>387</v>
      </c>
      <c r="E28" s="90" t="s">
        <v>23</v>
      </c>
      <c r="F28" s="446">
        <f>Tuipulotuwal6npts</f>
        <v>5</v>
      </c>
      <c r="U28" s="6"/>
      <c r="V28" s="6"/>
      <c r="W28" s="6"/>
      <c r="X28" s="6"/>
      <c r="Y28" s="6"/>
      <c r="Z28" s="6"/>
      <c r="AA28" s="6"/>
    </row>
    <row r="29" spans="1:27" ht="14.95" customHeight="1" thickBot="1" x14ac:dyDescent="0.3">
      <c r="A29" s="14" t="s">
        <v>740</v>
      </c>
      <c r="B29" s="13" t="s">
        <v>19</v>
      </c>
      <c r="C29" s="445">
        <f>Hoganire6ntries</f>
        <v>1</v>
      </c>
      <c r="D29" s="55" t="s">
        <v>733</v>
      </c>
      <c r="E29" s="90" t="s">
        <v>23</v>
      </c>
      <c r="F29" s="446">
        <f>Williamswal6npts</f>
        <v>5</v>
      </c>
      <c r="V29" s="6"/>
      <c r="W29" s="6"/>
      <c r="X29" s="6"/>
      <c r="Y29" s="6"/>
      <c r="Z29" s="6"/>
      <c r="AA29" s="6"/>
    </row>
    <row r="30" spans="1:27" ht="14.95" customHeight="1" thickBot="1" x14ac:dyDescent="0.3">
      <c r="A30" s="14" t="s">
        <v>502</v>
      </c>
      <c r="B30" s="13" t="s">
        <v>20</v>
      </c>
      <c r="C30" s="445">
        <f>Joneseng6ntries</f>
        <v>1</v>
      </c>
      <c r="D30" s="55" t="s">
        <v>728</v>
      </c>
      <c r="E30" s="90" t="s">
        <v>27</v>
      </c>
      <c r="F30" s="446">
        <f>Bourdonfra6npts</f>
        <v>5</v>
      </c>
      <c r="V30" s="6"/>
      <c r="W30" s="6"/>
      <c r="X30" s="6"/>
      <c r="Y30" s="6"/>
      <c r="Z30" s="6"/>
      <c r="AA30" s="6"/>
    </row>
    <row r="31" spans="1:27" ht="14.95" customHeight="1" thickBot="1" x14ac:dyDescent="0.3">
      <c r="A31" s="14" t="s">
        <v>384</v>
      </c>
      <c r="B31" s="13" t="s">
        <v>20</v>
      </c>
      <c r="C31" s="445">
        <f>Kabeyaeng6ntries</f>
        <v>1</v>
      </c>
      <c r="D31" s="55" t="s">
        <v>749</v>
      </c>
      <c r="E31" s="90" t="s">
        <v>20</v>
      </c>
      <c r="F31" s="446">
        <f>Cliffordeng6npts</f>
        <v>5</v>
      </c>
    </row>
    <row r="32" spans="1:27" ht="14.95" customHeight="1" thickBot="1" x14ac:dyDescent="0.3">
      <c r="A32" s="14" t="s">
        <v>762</v>
      </c>
      <c r="B32" s="13" t="s">
        <v>19</v>
      </c>
      <c r="C32" s="445">
        <f>Laneire6ntries</f>
        <v>1</v>
      </c>
      <c r="D32" s="55" t="s">
        <v>729</v>
      </c>
      <c r="E32" s="90" t="s">
        <v>27</v>
      </c>
      <c r="F32" s="446">
        <f>Jelonchfra6npts</f>
        <v>5</v>
      </c>
    </row>
    <row r="33" spans="1:6" ht="14.95" customHeight="1" thickBot="1" x14ac:dyDescent="0.3">
      <c r="A33" s="14" t="s">
        <v>547</v>
      </c>
      <c r="B33" s="13" t="s">
        <v>21</v>
      </c>
      <c r="C33" s="445">
        <f>Lloydscpo6ntries</f>
        <v>1</v>
      </c>
      <c r="D33" s="55" t="s">
        <v>597</v>
      </c>
      <c r="E33" s="90" t="s">
        <v>27</v>
      </c>
      <c r="F33" s="446">
        <f>Moefana6npts</f>
        <v>5</v>
      </c>
    </row>
    <row r="34" spans="1:6" ht="14.95" customHeight="1" thickBot="1" x14ac:dyDescent="0.3">
      <c r="A34" s="14" t="s">
        <v>1038</v>
      </c>
      <c r="B34" s="13" t="s">
        <v>20</v>
      </c>
      <c r="C34" s="445">
        <f>Lutuieng6ntries</f>
        <v>1</v>
      </c>
      <c r="D34" s="55" t="s">
        <v>740</v>
      </c>
      <c r="E34" s="90" t="s">
        <v>19</v>
      </c>
      <c r="F34" s="446">
        <f>Hoganire6npts</f>
        <v>5</v>
      </c>
    </row>
    <row r="35" spans="1:6" ht="14.95" customHeight="1" thickBot="1" x14ac:dyDescent="0.3">
      <c r="A35" s="14" t="s">
        <v>425</v>
      </c>
      <c r="B35" s="13" t="s">
        <v>22</v>
      </c>
      <c r="C35" s="445">
        <f>Madiaita6ntries</f>
        <v>1</v>
      </c>
      <c r="D35" s="55" t="s">
        <v>502</v>
      </c>
      <c r="E35" s="90" t="s">
        <v>20</v>
      </c>
      <c r="F35" s="446">
        <f>Joneseng6npts</f>
        <v>5</v>
      </c>
    </row>
    <row r="36" spans="1:6" ht="14.95" customHeight="1" thickBot="1" x14ac:dyDescent="0.3">
      <c r="A36" s="14" t="s">
        <v>933</v>
      </c>
      <c r="B36" s="13" t="s">
        <v>19</v>
      </c>
      <c r="C36" s="445">
        <f>Moloneyire6ntries</f>
        <v>1</v>
      </c>
      <c r="D36" s="55" t="s">
        <v>384</v>
      </c>
      <c r="E36" s="90" t="s">
        <v>20</v>
      </c>
      <c r="F36" s="446">
        <f>Kabeyaeng6npts</f>
        <v>5</v>
      </c>
    </row>
    <row r="37" spans="1:6" ht="14.95" customHeight="1" thickBot="1" x14ac:dyDescent="0.3">
      <c r="A37" s="14" t="s">
        <v>1041</v>
      </c>
      <c r="B37" s="13" t="s">
        <v>19</v>
      </c>
      <c r="C37" s="445">
        <f>O’Connorire6ntries</f>
        <v>1</v>
      </c>
      <c r="D37" s="55" t="s">
        <v>762</v>
      </c>
      <c r="E37" s="90" t="s">
        <v>19</v>
      </c>
      <c r="F37" s="446">
        <f>Laneire6npts</f>
        <v>5</v>
      </c>
    </row>
    <row r="38" spans="1:6" ht="14.95" customHeight="1" thickBot="1" x14ac:dyDescent="0.3">
      <c r="A38" s="14" t="s">
        <v>64</v>
      </c>
      <c r="B38" s="13" t="s">
        <v>20</v>
      </c>
      <c r="C38" s="445">
        <f>Packer_Mengtries</f>
        <v>1</v>
      </c>
      <c r="D38" s="55" t="s">
        <v>1038</v>
      </c>
      <c r="E38" s="90" t="s">
        <v>20</v>
      </c>
      <c r="F38" s="446">
        <f>Lutuieng6npts</f>
        <v>5</v>
      </c>
    </row>
    <row r="39" spans="1:6" ht="14.95" customHeight="1" thickBot="1" x14ac:dyDescent="0.3">
      <c r="A39" s="14" t="s">
        <v>208</v>
      </c>
      <c r="B39" s="13" t="s">
        <v>23</v>
      </c>
      <c r="C39" s="445">
        <f>Penaltytrieswal6ntriescorrect</f>
        <v>1</v>
      </c>
      <c r="D39" s="55" t="s">
        <v>547</v>
      </c>
      <c r="E39" s="90" t="s">
        <v>21</v>
      </c>
      <c r="F39" s="446">
        <f>Lloydsco6npts</f>
        <v>5</v>
      </c>
    </row>
    <row r="40" spans="1:6" ht="14.95" customHeight="1" thickBot="1" x14ac:dyDescent="0.3">
      <c r="A40" s="14" t="s">
        <v>943</v>
      </c>
      <c r="B40" s="13" t="s">
        <v>22</v>
      </c>
      <c r="C40" s="445">
        <f>Minuzziita6ntries</f>
        <v>1</v>
      </c>
      <c r="D40" s="55" t="s">
        <v>425</v>
      </c>
      <c r="E40" s="90" t="s">
        <v>22</v>
      </c>
      <c r="F40" s="446">
        <f>Madiaita6npts</f>
        <v>5</v>
      </c>
    </row>
    <row r="41" spans="1:6" ht="14.95" customHeight="1" thickBot="1" x14ac:dyDescent="0.3">
      <c r="A41" s="14" t="s">
        <v>1042</v>
      </c>
      <c r="B41" s="13" t="s">
        <v>19</v>
      </c>
      <c r="C41" s="445">
        <f>Ringroseire6ntries</f>
        <v>1</v>
      </c>
      <c r="D41" s="55" t="s">
        <v>933</v>
      </c>
      <c r="E41" s="90" t="s">
        <v>19</v>
      </c>
      <c r="F41" s="446">
        <f>Moloneyire6npts</f>
        <v>5</v>
      </c>
    </row>
    <row r="42" spans="1:6" ht="14.95" customHeight="1" thickBot="1" x14ac:dyDescent="0.3">
      <c r="A42" s="14" t="s">
        <v>205</v>
      </c>
      <c r="B42" s="13" t="s">
        <v>20</v>
      </c>
      <c r="C42" s="445">
        <f>Singeng6ntries</f>
        <v>1</v>
      </c>
      <c r="D42" s="55" t="s">
        <v>1041</v>
      </c>
      <c r="E42" s="90" t="s">
        <v>19</v>
      </c>
      <c r="F42" s="446">
        <f>O’Connorire6npts</f>
        <v>5</v>
      </c>
    </row>
    <row r="43" spans="1:6" ht="14.95" customHeight="1" thickBot="1" x14ac:dyDescent="0.3">
      <c r="A43" s="14" t="s">
        <v>419</v>
      </c>
      <c r="B43" s="13" t="s">
        <v>22</v>
      </c>
      <c r="C43" s="445">
        <f>Vecchiniita6ntries</f>
        <v>1</v>
      </c>
      <c r="D43" s="55" t="s">
        <v>64</v>
      </c>
      <c r="E43" s="90" t="s">
        <v>20</v>
      </c>
      <c r="F43" s="446">
        <f>Packer_Mengpts</f>
        <v>5</v>
      </c>
    </row>
    <row r="44" spans="1:6" ht="14.95" customHeight="1" thickBot="1" x14ac:dyDescent="0.3">
      <c r="A44" s="14" t="s">
        <v>722</v>
      </c>
      <c r="B44" s="13" t="s">
        <v>20</v>
      </c>
      <c r="C44" s="445">
        <f>Vennereng6ntries</f>
        <v>1</v>
      </c>
      <c r="D44" s="55" t="s">
        <v>943</v>
      </c>
      <c r="E44" s="90" t="s">
        <v>22</v>
      </c>
      <c r="F44" s="446">
        <f>Minuzziita6npts</f>
        <v>5</v>
      </c>
    </row>
    <row r="45" spans="1:6" ht="14.95" customHeight="1" thickBot="1" x14ac:dyDescent="0.3">
      <c r="A45" s="14" t="s">
        <v>568</v>
      </c>
      <c r="B45" s="13" t="s">
        <v>19</v>
      </c>
      <c r="C45" s="445">
        <f>Waferire6ntries</f>
        <v>1</v>
      </c>
      <c r="D45" s="55" t="s">
        <v>1042</v>
      </c>
      <c r="E45" s="90" t="s">
        <v>19</v>
      </c>
      <c r="F45" s="446">
        <f>Ringroseire6npts</f>
        <v>5</v>
      </c>
    </row>
    <row r="46" spans="1:6" ht="14.95" customHeight="1" thickBot="1" x14ac:dyDescent="0.3">
      <c r="A46" s="14" t="s">
        <v>193</v>
      </c>
      <c r="B46" s="13" t="s">
        <v>20</v>
      </c>
      <c r="C46" s="445">
        <f>Aitchisonengtries</f>
        <v>0</v>
      </c>
      <c r="D46" s="55" t="s">
        <v>205</v>
      </c>
      <c r="E46" s="90" t="s">
        <v>20</v>
      </c>
      <c r="F46" s="446">
        <f>Singeng6npts</f>
        <v>5</v>
      </c>
    </row>
    <row r="47" spans="1:6" ht="14.95" customHeight="1" thickBot="1" x14ac:dyDescent="0.3">
      <c r="A47" s="14" t="s">
        <v>424</v>
      </c>
      <c r="B47" s="13" t="s">
        <v>20</v>
      </c>
      <c r="C47" s="445">
        <f>Aldcrofteng6ntries</f>
        <v>0</v>
      </c>
      <c r="D47" s="55" t="s">
        <v>419</v>
      </c>
      <c r="E47" s="90" t="s">
        <v>22</v>
      </c>
      <c r="F47" s="446">
        <f>Vecchiniita6npts</f>
        <v>5</v>
      </c>
    </row>
    <row r="48" spans="1:6" ht="14.95" customHeight="1" thickBot="1" x14ac:dyDescent="0.3">
      <c r="A48" s="14" t="s">
        <v>579</v>
      </c>
      <c r="B48" s="13" t="s">
        <v>27</v>
      </c>
      <c r="C48" s="445">
        <f>Arbeyfra6ntries</f>
        <v>0</v>
      </c>
      <c r="D48" s="55" t="s">
        <v>722</v>
      </c>
      <c r="E48" s="90" t="s">
        <v>20</v>
      </c>
      <c r="F48" s="446">
        <f>Vennereng6npts</f>
        <v>5</v>
      </c>
    </row>
    <row r="49" spans="1:6" ht="14.95" customHeight="1" thickBot="1" x14ac:dyDescent="0.3">
      <c r="A49" s="14" t="s">
        <v>509</v>
      </c>
      <c r="B49" s="13" t="s">
        <v>20</v>
      </c>
      <c r="C49" s="445">
        <f>atkindavieseng6ntries</f>
        <v>0</v>
      </c>
      <c r="D49" s="55" t="s">
        <v>568</v>
      </c>
      <c r="E49" s="90" t="s">
        <v>19</v>
      </c>
      <c r="F49" s="446">
        <f>Waferire6npts</f>
        <v>5</v>
      </c>
    </row>
    <row r="50" spans="1:6" ht="14.95" customHeight="1" thickBot="1" x14ac:dyDescent="0.3">
      <c r="A50" s="14" t="s">
        <v>402</v>
      </c>
      <c r="B50" s="13" t="s">
        <v>27</v>
      </c>
      <c r="C50" s="445">
        <v>0</v>
      </c>
      <c r="D50" s="55" t="s">
        <v>202</v>
      </c>
      <c r="E50" s="90" t="s">
        <v>23</v>
      </c>
      <c r="F50" s="446">
        <f>AdamsWAL6NPTS</f>
        <v>2</v>
      </c>
    </row>
    <row r="51" spans="1:6" ht="14.95" customHeight="1" thickBot="1" x14ac:dyDescent="0.3">
      <c r="A51" s="14" t="s">
        <v>417</v>
      </c>
      <c r="B51" s="13" t="s">
        <v>21</v>
      </c>
      <c r="C51" s="445">
        <f>Bartlettsco6ntries</f>
        <v>0</v>
      </c>
      <c r="D51" s="55" t="s">
        <v>518</v>
      </c>
      <c r="E51" s="90" t="s">
        <v>23</v>
      </c>
      <c r="F51" s="446">
        <f>Georgewal6npts</f>
        <v>2</v>
      </c>
    </row>
    <row r="52" spans="1:6" ht="14.95" customHeight="1" thickBot="1" x14ac:dyDescent="0.3">
      <c r="A52" s="14" t="s">
        <v>410</v>
      </c>
      <c r="B52" s="13" t="s">
        <v>20</v>
      </c>
      <c r="C52" s="445">
        <v>0</v>
      </c>
      <c r="D52" s="55" t="s">
        <v>567</v>
      </c>
      <c r="E52" s="90" t="s">
        <v>27</v>
      </c>
      <c r="F52" s="446">
        <f>Queyroifra6npts</f>
        <v>2</v>
      </c>
    </row>
    <row r="53" spans="1:6" ht="14.95" customHeight="1" thickBot="1" x14ac:dyDescent="0.3">
      <c r="A53" s="14" t="s">
        <v>202</v>
      </c>
      <c r="B53" s="13" t="s">
        <v>23</v>
      </c>
      <c r="C53" s="445">
        <f>AdamsWAL6NTRIES</f>
        <v>0</v>
      </c>
      <c r="D53" s="55" t="s">
        <v>193</v>
      </c>
      <c r="E53" s="90" t="s">
        <v>20</v>
      </c>
      <c r="F53" s="446">
        <f>Aitchisonengpts</f>
        <v>0</v>
      </c>
    </row>
    <row r="54" spans="1:6" ht="14.95" customHeight="1" thickBot="1" x14ac:dyDescent="0.3">
      <c r="A54" s="14" t="s">
        <v>743</v>
      </c>
      <c r="B54" s="13" t="s">
        <v>27</v>
      </c>
      <c r="C54" s="445">
        <f>Bigotfra6ntries</f>
        <v>0</v>
      </c>
      <c r="D54" s="55" t="s">
        <v>424</v>
      </c>
      <c r="E54" s="90" t="s">
        <v>20</v>
      </c>
      <c r="F54" s="446">
        <f>Aldcrofteng6npts</f>
        <v>0</v>
      </c>
    </row>
    <row r="55" spans="1:6" ht="14.95" customHeight="1" thickBot="1" x14ac:dyDescent="0.3">
      <c r="A55" s="14" t="s">
        <v>565</v>
      </c>
      <c r="B55" s="13" t="s">
        <v>21</v>
      </c>
      <c r="C55" s="445">
        <f>Bonarsco6ntries</f>
        <v>0</v>
      </c>
      <c r="D55" s="55" t="s">
        <v>579</v>
      </c>
      <c r="E55" s="90" t="s">
        <v>27</v>
      </c>
      <c r="F55" s="446">
        <f>Arbeyfra6npts</f>
        <v>0</v>
      </c>
    </row>
    <row r="56" spans="1:6" ht="14.95" customHeight="1" thickBot="1" x14ac:dyDescent="0.3">
      <c r="A56" s="14" t="s">
        <v>408</v>
      </c>
      <c r="B56" s="13" t="s">
        <v>20</v>
      </c>
      <c r="C56" s="445">
        <f>Dalyeng6ntries</f>
        <v>0</v>
      </c>
      <c r="D56" s="55" t="s">
        <v>509</v>
      </c>
      <c r="E56" s="90" t="s">
        <v>20</v>
      </c>
      <c r="F56" s="446">
        <f>atkindavieseng6npts</f>
        <v>0</v>
      </c>
    </row>
    <row r="57" spans="1:6" ht="14.95" customHeight="1" thickBot="1" x14ac:dyDescent="0.3">
      <c r="A57" s="14" t="s">
        <v>211</v>
      </c>
      <c r="B57" s="13" t="s">
        <v>27</v>
      </c>
      <c r="C57" s="445">
        <v>0</v>
      </c>
      <c r="D57" s="55" t="s">
        <v>402</v>
      </c>
      <c r="E57" s="90" t="s">
        <v>27</v>
      </c>
      <c r="F57" s="446">
        <v>0</v>
      </c>
    </row>
    <row r="58" spans="1:6" ht="14.95" customHeight="1" thickBot="1" x14ac:dyDescent="0.3">
      <c r="A58" s="14" t="s">
        <v>413</v>
      </c>
      <c r="B58" s="13" t="s">
        <v>27</v>
      </c>
      <c r="C58" s="445">
        <f>Boulard_Efra6ntries</f>
        <v>0</v>
      </c>
      <c r="D58" s="55" t="s">
        <v>417</v>
      </c>
      <c r="E58" s="90" t="s">
        <v>21</v>
      </c>
      <c r="F58" s="446">
        <f>Bartlettsco6npts</f>
        <v>0</v>
      </c>
    </row>
    <row r="59" spans="1:6" ht="14.95" customHeight="1" thickBot="1" x14ac:dyDescent="0.3">
      <c r="A59" s="14" t="s">
        <v>754</v>
      </c>
      <c r="B59" s="13" t="s">
        <v>19</v>
      </c>
      <c r="C59" s="445">
        <f>Bairdire6ntries</f>
        <v>0</v>
      </c>
      <c r="D59" s="55" t="s">
        <v>410</v>
      </c>
      <c r="E59" s="90" t="s">
        <v>20</v>
      </c>
      <c r="F59" s="446">
        <v>0</v>
      </c>
    </row>
    <row r="60" spans="1:6" ht="14.95" customHeight="1" thickBot="1" x14ac:dyDescent="0.3">
      <c r="A60" s="14" t="s">
        <v>736</v>
      </c>
      <c r="B60" s="13" t="s">
        <v>20</v>
      </c>
      <c r="C60" s="445">
        <f>Burtoneng6ntries</f>
        <v>0</v>
      </c>
      <c r="D60" s="55" t="s">
        <v>743</v>
      </c>
      <c r="E60" s="90" t="s">
        <v>27</v>
      </c>
      <c r="F60" s="446">
        <f>Bigotfra6npts</f>
        <v>0</v>
      </c>
    </row>
    <row r="61" spans="1:6" ht="14.95" customHeight="1" thickBot="1" x14ac:dyDescent="0.3">
      <c r="A61" s="14" t="s">
        <v>961</v>
      </c>
      <c r="B61" s="13" t="s">
        <v>23</v>
      </c>
      <c r="C61" s="445">
        <f>Biggarwal6ntries</f>
        <v>0</v>
      </c>
      <c r="D61" s="55" t="s">
        <v>565</v>
      </c>
      <c r="E61" s="90" t="s">
        <v>21</v>
      </c>
      <c r="F61" s="446">
        <f>Bonarsco6npts</f>
        <v>0</v>
      </c>
    </row>
    <row r="62" spans="1:6" ht="14.95" customHeight="1" thickBot="1" x14ac:dyDescent="0.3">
      <c r="A62" s="14" t="s">
        <v>386</v>
      </c>
      <c r="B62" s="13" t="s">
        <v>23</v>
      </c>
      <c r="C62" s="445">
        <f>BashamWAL6NTRIES</f>
        <v>0</v>
      </c>
      <c r="D62" s="55" t="s">
        <v>408</v>
      </c>
      <c r="E62" s="90" t="s">
        <v>20</v>
      </c>
      <c r="F62" s="446">
        <f>Dalyeng6npts</f>
        <v>0</v>
      </c>
    </row>
    <row r="63" spans="1:6" ht="14.95" customHeight="1" thickBot="1" x14ac:dyDescent="0.3">
      <c r="A63" s="14" t="s">
        <v>572</v>
      </c>
      <c r="B63" s="13" t="s">
        <v>20</v>
      </c>
      <c r="C63" s="445">
        <f>CarsonEeng6ntries</f>
        <v>0</v>
      </c>
      <c r="D63" s="55" t="s">
        <v>211</v>
      </c>
      <c r="E63" s="90" t="s">
        <v>27</v>
      </c>
      <c r="F63" s="446">
        <v>0</v>
      </c>
    </row>
    <row r="64" spans="1:6" ht="14.95" customHeight="1" thickBot="1" x14ac:dyDescent="0.3">
      <c r="A64" s="14" t="s">
        <v>752</v>
      </c>
      <c r="B64" s="13" t="s">
        <v>27</v>
      </c>
      <c r="C64" s="445">
        <f>Chambonfra6ntries</f>
        <v>0</v>
      </c>
      <c r="D64" s="55" t="s">
        <v>413</v>
      </c>
      <c r="E64" s="90" t="s">
        <v>27</v>
      </c>
      <c r="F64" s="446">
        <f>Boulard_Efra6npts</f>
        <v>0</v>
      </c>
    </row>
    <row r="65" spans="1:6" ht="14.95" customHeight="1" thickBot="1" x14ac:dyDescent="0.3">
      <c r="A65" s="14" t="s">
        <v>747</v>
      </c>
      <c r="B65" s="13" t="s">
        <v>27</v>
      </c>
      <c r="C65" s="445">
        <f>DupontFRA6NTRIES</f>
        <v>0</v>
      </c>
      <c r="D65" s="55" t="s">
        <v>754</v>
      </c>
      <c r="E65" s="90" t="s">
        <v>19</v>
      </c>
      <c r="F65" s="446">
        <f>Bairdire6npts</f>
        <v>0</v>
      </c>
    </row>
    <row r="66" spans="1:6" ht="14.95" customHeight="1" thickBot="1" x14ac:dyDescent="0.3">
      <c r="A66" s="14" t="s">
        <v>582</v>
      </c>
      <c r="B66" s="13" t="s">
        <v>19</v>
      </c>
      <c r="C66" s="445">
        <f>Corriganire6ntries</f>
        <v>0</v>
      </c>
      <c r="D66" s="55" t="s">
        <v>736</v>
      </c>
      <c r="E66" s="90" t="s">
        <v>20</v>
      </c>
      <c r="F66" s="446">
        <f>Burtoneng6npts</f>
        <v>0</v>
      </c>
    </row>
    <row r="67" spans="1:6" ht="14.95" customHeight="1" thickBot="1" x14ac:dyDescent="0.3">
      <c r="A67" s="14" t="s">
        <v>738</v>
      </c>
      <c r="B67" s="13" t="s">
        <v>19</v>
      </c>
      <c r="C67" s="445">
        <f>Croninire6ntries</f>
        <v>0</v>
      </c>
      <c r="D67" s="55" t="s">
        <v>961</v>
      </c>
      <c r="E67" s="90" t="s">
        <v>23</v>
      </c>
      <c r="F67" s="446">
        <f>Biggarwal6npts</f>
        <v>0</v>
      </c>
    </row>
    <row r="68" spans="1:6" ht="14.95" customHeight="1" thickBot="1" x14ac:dyDescent="0.3">
      <c r="A68" s="14" t="s">
        <v>746</v>
      </c>
      <c r="B68" s="13" t="s">
        <v>23</v>
      </c>
      <c r="C68" s="445">
        <f>Crabbwal6ntries</f>
        <v>0</v>
      </c>
      <c r="D68" s="55" t="s">
        <v>386</v>
      </c>
      <c r="E68" s="90" t="s">
        <v>23</v>
      </c>
      <c r="F68" s="446">
        <f>BashamWAL6NPTS</f>
        <v>0</v>
      </c>
    </row>
    <row r="69" spans="1:6" ht="14.95" customHeight="1" thickBot="1" x14ac:dyDescent="0.3">
      <c r="A69" s="14" t="s">
        <v>868</v>
      </c>
      <c r="B69" s="13" t="s">
        <v>23</v>
      </c>
      <c r="C69" s="445">
        <f>Dallavallewal6ntries</f>
        <v>0</v>
      </c>
      <c r="D69" s="55" t="s">
        <v>572</v>
      </c>
      <c r="E69" s="90" t="s">
        <v>20</v>
      </c>
      <c r="F69" s="446">
        <f>CarsonEeng6npts</f>
        <v>0</v>
      </c>
    </row>
    <row r="70" spans="1:6" ht="14.95" customHeight="1" thickBot="1" x14ac:dyDescent="0.3">
      <c r="A70" s="14" t="s">
        <v>569</v>
      </c>
      <c r="B70" s="13" t="s">
        <v>19</v>
      </c>
      <c r="C70" s="445">
        <f>Daltonire6ntries</f>
        <v>0</v>
      </c>
      <c r="D70" s="55" t="s">
        <v>752</v>
      </c>
      <c r="E70" s="90" t="s">
        <v>27</v>
      </c>
      <c r="F70" s="446">
        <f>Chambonfra6npts</f>
        <v>0</v>
      </c>
    </row>
    <row r="71" spans="1:6" ht="14.95" customHeight="1" thickBot="1" x14ac:dyDescent="0.3">
      <c r="A71" s="14" t="s">
        <v>588</v>
      </c>
      <c r="B71" s="13" t="s">
        <v>27</v>
      </c>
      <c r="C71" s="445">
        <f>Fickoufra6ntries</f>
        <v>0</v>
      </c>
      <c r="D71" s="55" t="s">
        <v>747</v>
      </c>
      <c r="E71" s="90" t="s">
        <v>27</v>
      </c>
      <c r="F71" s="446">
        <f>DupontFRA6NPTS</f>
        <v>0</v>
      </c>
    </row>
    <row r="72" spans="1:6" ht="14.95" customHeight="1" thickBot="1" x14ac:dyDescent="0.3">
      <c r="A72" s="14" t="s">
        <v>739</v>
      </c>
      <c r="B72" s="13" t="s">
        <v>19</v>
      </c>
      <c r="C72" s="445">
        <f>Conanire6ntries</f>
        <v>0</v>
      </c>
      <c r="D72" s="55" t="s">
        <v>582</v>
      </c>
      <c r="E72" s="90" t="s">
        <v>19</v>
      </c>
      <c r="F72" s="446">
        <f>Corriganire6npts</f>
        <v>0</v>
      </c>
    </row>
    <row r="73" spans="1:6" ht="14.95" customHeight="1" thickBot="1" x14ac:dyDescent="0.3">
      <c r="A73" s="14" t="s">
        <v>192</v>
      </c>
      <c r="B73" s="13" t="s">
        <v>20</v>
      </c>
      <c r="C73" s="445">
        <f>Dowengtries</f>
        <v>0</v>
      </c>
      <c r="D73" s="55" t="s">
        <v>738</v>
      </c>
      <c r="E73" s="90" t="s">
        <v>19</v>
      </c>
      <c r="F73" s="446">
        <f>Croninire6npts</f>
        <v>0</v>
      </c>
    </row>
    <row r="74" spans="1:6" ht="14.95" customHeight="1" thickBot="1" x14ac:dyDescent="0.3">
      <c r="A74" s="14" t="s">
        <v>401</v>
      </c>
      <c r="B74" s="13" t="s">
        <v>27</v>
      </c>
      <c r="C74" s="445">
        <f>EscuderoFRA6NTRIES</f>
        <v>0</v>
      </c>
      <c r="D74" s="55" t="s">
        <v>746</v>
      </c>
      <c r="E74" s="90" t="s">
        <v>23</v>
      </c>
      <c r="F74" s="446">
        <f>Crabbwal6npts</f>
        <v>0</v>
      </c>
    </row>
    <row r="75" spans="1:6" ht="14.95" customHeight="1" thickBot="1" x14ac:dyDescent="0.3">
      <c r="A75" s="14" t="s">
        <v>420</v>
      </c>
      <c r="B75" s="13" t="s">
        <v>23</v>
      </c>
      <c r="C75" s="445">
        <v>0</v>
      </c>
      <c r="D75" s="55" t="s">
        <v>868</v>
      </c>
      <c r="E75" s="90" t="s">
        <v>23</v>
      </c>
      <c r="F75" s="446">
        <f>Dallavallewal6npts</f>
        <v>0</v>
      </c>
    </row>
    <row r="76" spans="1:6" ht="14.95" customHeight="1" thickBot="1" x14ac:dyDescent="0.3">
      <c r="A76" s="14" t="s">
        <v>595</v>
      </c>
      <c r="B76" s="13" t="s">
        <v>20</v>
      </c>
      <c r="C76" s="445">
        <f>Feaunatieng6ntries</f>
        <v>0</v>
      </c>
      <c r="D76" s="55" t="s">
        <v>569</v>
      </c>
      <c r="E76" s="90" t="s">
        <v>19</v>
      </c>
      <c r="F76" s="446">
        <f>Daltonire6npts</f>
        <v>0</v>
      </c>
    </row>
    <row r="77" spans="1:6" ht="14.95" customHeight="1" thickBot="1" x14ac:dyDescent="0.3">
      <c r="A77" s="14" t="s">
        <v>583</v>
      </c>
      <c r="B77" s="13" t="s">
        <v>22</v>
      </c>
      <c r="C77" s="445">
        <f>Fedrighiita6ntries</f>
        <v>0</v>
      </c>
      <c r="D77" s="55" t="s">
        <v>588</v>
      </c>
      <c r="E77" s="90" t="s">
        <v>27</v>
      </c>
      <c r="F77" s="446">
        <f>Fickoufra6npts</f>
        <v>0</v>
      </c>
    </row>
    <row r="78" spans="1:6" ht="14.95" customHeight="1" thickBot="1" x14ac:dyDescent="0.3">
      <c r="A78" s="14" t="s">
        <v>676</v>
      </c>
      <c r="B78" s="13" t="s">
        <v>27</v>
      </c>
      <c r="C78" s="445">
        <f>Feleu_Tfra6Ntries</f>
        <v>0</v>
      </c>
      <c r="D78" s="55" t="s">
        <v>739</v>
      </c>
      <c r="E78" s="90" t="s">
        <v>19</v>
      </c>
      <c r="F78" s="446">
        <f>Conanire6npts</f>
        <v>0</v>
      </c>
    </row>
    <row r="79" spans="1:6" ht="14.95" thickBot="1" x14ac:dyDescent="0.3">
      <c r="A79" s="14" t="s">
        <v>412</v>
      </c>
      <c r="B79" s="13" t="s">
        <v>27</v>
      </c>
      <c r="C79" s="445">
        <v>0</v>
      </c>
      <c r="D79" s="55" t="s">
        <v>192</v>
      </c>
      <c r="E79" s="90" t="s">
        <v>20</v>
      </c>
      <c r="F79" s="446">
        <f>Dowengpts</f>
        <v>0</v>
      </c>
    </row>
    <row r="80" spans="1:6" ht="14.95" thickBot="1" x14ac:dyDescent="0.3">
      <c r="A80" s="14" t="s">
        <v>513</v>
      </c>
      <c r="B80" s="13" t="s">
        <v>23</v>
      </c>
      <c r="C80" s="445">
        <f>Flemingwal6ntries</f>
        <v>0</v>
      </c>
      <c r="D80" s="55" t="s">
        <v>401</v>
      </c>
      <c r="E80" s="90" t="s">
        <v>27</v>
      </c>
      <c r="F80" s="446">
        <f>EscuderoFRA6NPTS</f>
        <v>0</v>
      </c>
    </row>
    <row r="81" spans="1:6" ht="14.95" thickBot="1" x14ac:dyDescent="0.3">
      <c r="A81" s="14" t="s">
        <v>400</v>
      </c>
      <c r="B81" s="13" t="s">
        <v>27</v>
      </c>
      <c r="C81" s="445">
        <v>0</v>
      </c>
      <c r="D81" s="55" t="s">
        <v>420</v>
      </c>
      <c r="E81" s="90" t="s">
        <v>23</v>
      </c>
      <c r="F81" s="446">
        <v>0</v>
      </c>
    </row>
    <row r="82" spans="1:6" ht="14.95" thickBot="1" x14ac:dyDescent="0.3">
      <c r="A82" s="14" t="s">
        <v>571</v>
      </c>
      <c r="B82" s="13" t="s">
        <v>19</v>
      </c>
      <c r="C82" s="445">
        <f>Conwayire6ntries</f>
        <v>0</v>
      </c>
      <c r="D82" s="55" t="s">
        <v>595</v>
      </c>
      <c r="E82" s="90" t="s">
        <v>20</v>
      </c>
      <c r="F82" s="446">
        <f>Feaunatieng6npts</f>
        <v>0</v>
      </c>
    </row>
    <row r="83" spans="1:6" ht="14.95" thickBot="1" x14ac:dyDescent="0.3">
      <c r="A83" s="14" t="s">
        <v>390</v>
      </c>
      <c r="B83" s="13" t="s">
        <v>22</v>
      </c>
      <c r="C83" s="445">
        <v>0</v>
      </c>
      <c r="D83" s="55" t="s">
        <v>583</v>
      </c>
      <c r="E83" s="90" t="s">
        <v>22</v>
      </c>
      <c r="F83" s="446">
        <f>Fedrighiita6npts</f>
        <v>0</v>
      </c>
    </row>
    <row r="84" spans="1:6" ht="14.95" thickBot="1" x14ac:dyDescent="0.3">
      <c r="A84" s="14" t="s">
        <v>388</v>
      </c>
      <c r="B84" s="13" t="s">
        <v>19</v>
      </c>
      <c r="C84" s="445">
        <v>0</v>
      </c>
      <c r="D84" s="55" t="s">
        <v>676</v>
      </c>
      <c r="E84" s="90" t="s">
        <v>27</v>
      </c>
      <c r="F84" s="446">
        <f>Feleu_Tfra6npts</f>
        <v>0</v>
      </c>
    </row>
    <row r="85" spans="1:6" ht="14.95" thickBot="1" x14ac:dyDescent="0.3">
      <c r="A85" s="14" t="s">
        <v>750</v>
      </c>
      <c r="B85" s="13" t="s">
        <v>21</v>
      </c>
      <c r="C85" s="445">
        <f>HarrisSCO6NTRIES</f>
        <v>0</v>
      </c>
      <c r="D85" s="55" t="s">
        <v>412</v>
      </c>
      <c r="E85" s="90" t="s">
        <v>27</v>
      </c>
      <c r="F85" s="446">
        <v>0</v>
      </c>
    </row>
    <row r="86" spans="1:6" ht="14.95" thickBot="1" x14ac:dyDescent="0.3">
      <c r="A86" s="14" t="s">
        <v>580</v>
      </c>
      <c r="B86" s="13" t="s">
        <v>20</v>
      </c>
      <c r="C86" s="445">
        <f>Galliganeng6ntries</f>
        <v>0</v>
      </c>
      <c r="D86" s="55" t="s">
        <v>513</v>
      </c>
      <c r="E86" s="90" t="s">
        <v>23</v>
      </c>
      <c r="F86" s="446">
        <f>Flemingwal6npts</f>
        <v>0</v>
      </c>
    </row>
    <row r="87" spans="1:6" ht="14.95" thickBot="1" x14ac:dyDescent="0.3">
      <c r="A87" s="14" t="s">
        <v>518</v>
      </c>
      <c r="B87" s="13" t="s">
        <v>23</v>
      </c>
      <c r="C87" s="445">
        <f>Georgewal6ntries</f>
        <v>0</v>
      </c>
      <c r="D87" s="55" t="s">
        <v>400</v>
      </c>
      <c r="E87" s="90" t="s">
        <v>27</v>
      </c>
      <c r="F87" s="446">
        <v>0</v>
      </c>
    </row>
    <row r="88" spans="1:6" ht="14.95" thickBot="1" x14ac:dyDescent="0.3">
      <c r="A88" s="14" t="s">
        <v>404</v>
      </c>
      <c r="B88" s="13" t="s">
        <v>21</v>
      </c>
      <c r="C88" s="445">
        <f>Grantsco6ntries</f>
        <v>0</v>
      </c>
      <c r="D88" s="55" t="s">
        <v>571</v>
      </c>
      <c r="E88" s="90" t="s">
        <v>19</v>
      </c>
      <c r="F88" s="446">
        <f>Conwayire6npts</f>
        <v>0</v>
      </c>
    </row>
    <row r="89" spans="1:6" ht="14.95" thickBot="1" x14ac:dyDescent="0.3">
      <c r="A89" s="14" t="s">
        <v>525</v>
      </c>
      <c r="B89" s="13" t="s">
        <v>22</v>
      </c>
      <c r="C89" s="445">
        <f>Granzottoita6ntries</f>
        <v>0</v>
      </c>
      <c r="D89" s="55" t="s">
        <v>390</v>
      </c>
      <c r="E89" s="90" t="s">
        <v>22</v>
      </c>
      <c r="F89" s="446">
        <v>0</v>
      </c>
    </row>
    <row r="90" spans="1:6" ht="14.95" thickBot="1" x14ac:dyDescent="0.3">
      <c r="A90" s="14" t="s">
        <v>596</v>
      </c>
      <c r="B90" s="13" t="s">
        <v>27</v>
      </c>
      <c r="C90" s="445">
        <f>Grisezfra6ntries</f>
        <v>0</v>
      </c>
      <c r="D90" s="55" t="s">
        <v>388</v>
      </c>
      <c r="E90" s="90" t="s">
        <v>19</v>
      </c>
      <c r="F90" s="446">
        <v>0</v>
      </c>
    </row>
    <row r="91" spans="1:6" ht="14.95" thickBot="1" x14ac:dyDescent="0.3">
      <c r="A91" s="14" t="s">
        <v>753</v>
      </c>
      <c r="B91" s="13" t="s">
        <v>23</v>
      </c>
      <c r="C91" s="445">
        <f>Bluckwal6ntries</f>
        <v>0</v>
      </c>
      <c r="D91" s="55" t="s">
        <v>750</v>
      </c>
      <c r="E91" s="90" t="s">
        <v>21</v>
      </c>
      <c r="F91" s="446">
        <f>HarrisSCO6NPTS</f>
        <v>0</v>
      </c>
    </row>
    <row r="92" spans="1:6" ht="14.95" thickBot="1" x14ac:dyDescent="0.3">
      <c r="A92" s="14" t="s">
        <v>201</v>
      </c>
      <c r="B92" s="13" t="s">
        <v>23</v>
      </c>
      <c r="C92" s="445">
        <v>0</v>
      </c>
      <c r="D92" s="55" t="s">
        <v>580</v>
      </c>
      <c r="E92" s="90" t="s">
        <v>20</v>
      </c>
      <c r="F92" s="446">
        <f>Galliganeng6npts</f>
        <v>0</v>
      </c>
    </row>
    <row r="93" spans="1:6" ht="14.95" thickBot="1" x14ac:dyDescent="0.3">
      <c r="A93" s="14" t="s">
        <v>575</v>
      </c>
      <c r="B93" s="13" t="s">
        <v>20</v>
      </c>
      <c r="C93" s="445">
        <f>Harrisoneng6ntries</f>
        <v>0</v>
      </c>
      <c r="D93" s="55" t="s">
        <v>404</v>
      </c>
      <c r="E93" s="90" t="s">
        <v>21</v>
      </c>
      <c r="F93" s="446">
        <f>Grantsco6npts</f>
        <v>0</v>
      </c>
    </row>
    <row r="94" spans="1:6" ht="14.95" thickBot="1" x14ac:dyDescent="0.3">
      <c r="A94" s="14" t="s">
        <v>382</v>
      </c>
      <c r="B94" s="13" t="s">
        <v>20</v>
      </c>
      <c r="C94" s="445">
        <v>0</v>
      </c>
      <c r="D94" s="55" t="s">
        <v>525</v>
      </c>
      <c r="E94" s="90" t="s">
        <v>22</v>
      </c>
      <c r="F94" s="446">
        <f>Granzottoita6npts</f>
        <v>0</v>
      </c>
    </row>
    <row r="95" spans="1:6" ht="14.95" thickBot="1" x14ac:dyDescent="0.3">
      <c r="A95" s="14" t="s">
        <v>207</v>
      </c>
      <c r="B95" s="13" t="s">
        <v>27</v>
      </c>
      <c r="C95" s="445">
        <v>0</v>
      </c>
      <c r="D95" s="55" t="s">
        <v>596</v>
      </c>
      <c r="E95" s="90" t="s">
        <v>27</v>
      </c>
      <c r="F95" s="446">
        <f>Grisezfra6npts</f>
        <v>0</v>
      </c>
    </row>
    <row r="96" spans="1:6" ht="14.95" thickBot="1" x14ac:dyDescent="0.3">
      <c r="A96" s="14" t="s">
        <v>586</v>
      </c>
      <c r="B96" s="13" t="s">
        <v>19</v>
      </c>
      <c r="C96" s="445">
        <f>Higginsire6ntries</f>
        <v>0</v>
      </c>
      <c r="D96" s="55" t="s">
        <v>753</v>
      </c>
      <c r="E96" s="90" t="s">
        <v>23</v>
      </c>
      <c r="F96" s="446">
        <f>Bluckwal6npts</f>
        <v>0</v>
      </c>
    </row>
    <row r="97" spans="1:6" ht="14.95" thickBot="1" x14ac:dyDescent="0.3">
      <c r="A97" s="14" t="s">
        <v>592</v>
      </c>
      <c r="B97" s="13" t="s">
        <v>23</v>
      </c>
      <c r="C97" s="445">
        <f>Hopkinswal6ntries</f>
        <v>0</v>
      </c>
      <c r="D97" s="55" t="s">
        <v>201</v>
      </c>
      <c r="E97" s="90" t="s">
        <v>23</v>
      </c>
      <c r="F97" s="446">
        <v>0</v>
      </c>
    </row>
    <row r="98" spans="1:6" ht="14.95" thickBot="1" x14ac:dyDescent="0.3">
      <c r="A98" s="14" t="s">
        <v>593</v>
      </c>
      <c r="B98" s="13" t="s">
        <v>20</v>
      </c>
      <c r="C98" s="445">
        <f>Huntereng6ntries</f>
        <v>0</v>
      </c>
      <c r="D98" s="55" t="s">
        <v>382</v>
      </c>
      <c r="E98" s="90" t="s">
        <v>20</v>
      </c>
      <c r="F98" s="446">
        <v>0</v>
      </c>
    </row>
    <row r="99" spans="1:6" ht="14.95" thickBot="1" x14ac:dyDescent="0.3">
      <c r="A99" s="14" t="s">
        <v>581</v>
      </c>
      <c r="B99" s="13" t="s">
        <v>19</v>
      </c>
      <c r="C99" s="445">
        <f>Hansenire6nries</f>
        <v>0</v>
      </c>
      <c r="D99" s="55" t="s">
        <v>207</v>
      </c>
      <c r="E99" s="90" t="s">
        <v>27</v>
      </c>
      <c r="F99" s="446">
        <v>0</v>
      </c>
    </row>
    <row r="100" spans="1:6" ht="14.95" thickBot="1" x14ac:dyDescent="0.3">
      <c r="A100" s="14" t="s">
        <v>591</v>
      </c>
      <c r="B100" s="13" t="s">
        <v>27</v>
      </c>
      <c r="C100" s="445">
        <f>Kondefra6ntries</f>
        <v>0</v>
      </c>
      <c r="D100" s="55" t="s">
        <v>586</v>
      </c>
      <c r="E100" s="90" t="s">
        <v>19</v>
      </c>
      <c r="F100" s="446">
        <f>Higginsire6npts</f>
        <v>0</v>
      </c>
    </row>
    <row r="101" spans="1:6" ht="14.95" thickBot="1" x14ac:dyDescent="0.3">
      <c r="A101" s="14" t="s">
        <v>426</v>
      </c>
      <c r="B101" s="13" t="s">
        <v>23</v>
      </c>
      <c r="C101" s="445">
        <v>0</v>
      </c>
      <c r="D101" s="55" t="s">
        <v>592</v>
      </c>
      <c r="E101" s="90" t="s">
        <v>23</v>
      </c>
      <c r="F101" s="446">
        <f>Hopkinswal6npts</f>
        <v>0</v>
      </c>
    </row>
    <row r="102" spans="1:6" ht="14.95" thickBot="1" x14ac:dyDescent="0.3">
      <c r="A102" s="14" t="s">
        <v>173</v>
      </c>
      <c r="B102" s="13" t="s">
        <v>23</v>
      </c>
      <c r="C102" s="445">
        <v>0</v>
      </c>
      <c r="D102" s="55" t="s">
        <v>593</v>
      </c>
      <c r="E102" s="90" t="s">
        <v>20</v>
      </c>
      <c r="F102" s="446">
        <f>Huntereng6npts</f>
        <v>0</v>
      </c>
    </row>
    <row r="103" spans="1:6" ht="14.95" thickBot="1" x14ac:dyDescent="0.3">
      <c r="A103" s="14" t="s">
        <v>185</v>
      </c>
      <c r="B103" s="13" t="s">
        <v>23</v>
      </c>
      <c r="C103" s="445">
        <v>0</v>
      </c>
      <c r="D103" s="55" t="s">
        <v>581</v>
      </c>
      <c r="E103" s="90" t="s">
        <v>19</v>
      </c>
      <c r="F103" s="446">
        <f>Hansenire6npts</f>
        <v>0</v>
      </c>
    </row>
    <row r="104" spans="1:6" ht="14.95" customHeight="1" thickBot="1" x14ac:dyDescent="0.3">
      <c r="A104" s="14" t="s">
        <v>199</v>
      </c>
      <c r="B104" s="13" t="s">
        <v>27</v>
      </c>
      <c r="C104" s="445">
        <f>Llorensfra6ntries</f>
        <v>0</v>
      </c>
      <c r="D104" s="55" t="s">
        <v>591</v>
      </c>
      <c r="E104" s="90" t="s">
        <v>27</v>
      </c>
      <c r="F104" s="446">
        <f>Kondefra6npts</f>
        <v>0</v>
      </c>
    </row>
    <row r="105" spans="1:6" ht="14.95" thickBot="1" x14ac:dyDescent="0.3">
      <c r="A105" s="14" t="s">
        <v>406</v>
      </c>
      <c r="B105" s="13" t="s">
        <v>20</v>
      </c>
      <c r="C105" s="445">
        <f>MacDonaldeng6ntries</f>
        <v>0</v>
      </c>
      <c r="D105" s="55" t="s">
        <v>426</v>
      </c>
      <c r="E105" s="90" t="s">
        <v>23</v>
      </c>
      <c r="F105" s="446">
        <v>0</v>
      </c>
    </row>
    <row r="106" spans="1:6" ht="14.95" thickBot="1" x14ac:dyDescent="0.3">
      <c r="A106" s="14" t="s">
        <v>422</v>
      </c>
      <c r="B106" s="13" t="s">
        <v>21</v>
      </c>
      <c r="C106" s="445">
        <v>0</v>
      </c>
      <c r="D106" s="55" t="s">
        <v>173</v>
      </c>
      <c r="E106" s="90" t="s">
        <v>23</v>
      </c>
      <c r="F106" s="446">
        <v>0</v>
      </c>
    </row>
    <row r="107" spans="1:6" ht="14.95" thickBot="1" x14ac:dyDescent="0.3">
      <c r="A107" s="14" t="s">
        <v>576</v>
      </c>
      <c r="B107" s="13" t="s">
        <v>21</v>
      </c>
      <c r="C107" s="445">
        <f>Martinsco6ntries</f>
        <v>0</v>
      </c>
      <c r="D107" s="55" t="s">
        <v>185</v>
      </c>
      <c r="E107" s="90" t="s">
        <v>23</v>
      </c>
      <c r="F107" s="446">
        <v>0</v>
      </c>
    </row>
    <row r="108" spans="1:6" ht="14.95" thickBot="1" x14ac:dyDescent="0.3">
      <c r="A108" s="14" t="s">
        <v>204</v>
      </c>
      <c r="B108" s="13" t="s">
        <v>20</v>
      </c>
      <c r="C108" s="445">
        <f>Sincklereng6ntries</f>
        <v>0</v>
      </c>
      <c r="D108" s="55" t="s">
        <v>199</v>
      </c>
      <c r="E108" s="90" t="s">
        <v>27</v>
      </c>
      <c r="F108" s="446">
        <f>Llorensfra6npts</f>
        <v>0</v>
      </c>
    </row>
    <row r="109" spans="1:6" ht="14.95" thickBot="1" x14ac:dyDescent="0.3">
      <c r="A109" s="14" t="s">
        <v>423</v>
      </c>
      <c r="B109" s="13" t="s">
        <v>21</v>
      </c>
      <c r="C109" s="445">
        <f>McGhiesco6ntries</f>
        <v>0</v>
      </c>
      <c r="D109" s="55" t="s">
        <v>406</v>
      </c>
      <c r="E109" s="90" t="s">
        <v>20</v>
      </c>
      <c r="F109" s="446">
        <f>MacDonaldeng6npts</f>
        <v>0</v>
      </c>
    </row>
    <row r="110" spans="1:6" ht="14.95" thickBot="1" x14ac:dyDescent="0.3">
      <c r="A110" s="14" t="s">
        <v>760</v>
      </c>
      <c r="B110" s="13" t="s">
        <v>21</v>
      </c>
      <c r="C110" s="445">
        <f>McLachlansco6ntries</f>
        <v>0</v>
      </c>
      <c r="D110" s="55" t="s">
        <v>422</v>
      </c>
      <c r="E110" s="90" t="s">
        <v>21</v>
      </c>
      <c r="F110" s="446">
        <v>0</v>
      </c>
    </row>
    <row r="111" spans="1:6" ht="14.95" thickBot="1" x14ac:dyDescent="0.3">
      <c r="A111" s="14" t="s">
        <v>418</v>
      </c>
      <c r="B111" s="13" t="s">
        <v>21</v>
      </c>
      <c r="C111" s="445">
        <v>0</v>
      </c>
      <c r="D111" s="55" t="s">
        <v>576</v>
      </c>
      <c r="E111" s="90" t="s">
        <v>21</v>
      </c>
      <c r="F111" s="446">
        <f>Martinsco6npts</f>
        <v>0</v>
      </c>
    </row>
    <row r="112" spans="1:6" ht="14.95" thickBot="1" x14ac:dyDescent="0.3">
      <c r="A112" s="14" t="s">
        <v>87</v>
      </c>
      <c r="B112" s="13" t="s">
        <v>27</v>
      </c>
      <c r="C112" s="445">
        <f>Menager_Mfra6ntries</f>
        <v>0</v>
      </c>
      <c r="D112" s="55" t="s">
        <v>204</v>
      </c>
      <c r="E112" s="90" t="s">
        <v>20</v>
      </c>
      <c r="F112" s="446">
        <f>Sincklereng6npts</f>
        <v>0</v>
      </c>
    </row>
    <row r="113" spans="1:6" ht="14.95" thickBot="1" x14ac:dyDescent="0.3">
      <c r="A113" s="14" t="s">
        <v>86</v>
      </c>
      <c r="B113" s="13" t="s">
        <v>27</v>
      </c>
      <c r="C113" s="445">
        <f>Villierefra6ntries</f>
        <v>0</v>
      </c>
      <c r="D113" s="55" t="s">
        <v>423</v>
      </c>
      <c r="E113" s="90" t="s">
        <v>21</v>
      </c>
      <c r="F113" s="446">
        <f>McGhiesco6npts</f>
        <v>0</v>
      </c>
    </row>
    <row r="114" spans="1:6" ht="14.95" thickBot="1" x14ac:dyDescent="0.3">
      <c r="A114" s="14" t="s">
        <v>409</v>
      </c>
      <c r="B114" s="13" t="s">
        <v>20</v>
      </c>
      <c r="C114" s="445">
        <f>Muireng6ntries</f>
        <v>0</v>
      </c>
      <c r="D114" s="55" t="s">
        <v>760</v>
      </c>
      <c r="E114" s="90" t="s">
        <v>21</v>
      </c>
      <c r="F114" s="446">
        <f>McLachlansco6npts</f>
        <v>0</v>
      </c>
    </row>
    <row r="115" spans="1:6" ht="14.95" thickBot="1" x14ac:dyDescent="0.3">
      <c r="A115" s="14" t="s">
        <v>524</v>
      </c>
      <c r="B115" s="13" t="s">
        <v>22</v>
      </c>
      <c r="C115" s="445">
        <f>Muzzoita6ntries</f>
        <v>0</v>
      </c>
      <c r="D115" s="55" t="s">
        <v>418</v>
      </c>
      <c r="E115" s="90" t="s">
        <v>21</v>
      </c>
      <c r="F115" s="446">
        <v>0</v>
      </c>
    </row>
    <row r="116" spans="1:6" ht="14.95" thickBot="1" x14ac:dyDescent="0.3">
      <c r="A116" s="14" t="s">
        <v>194</v>
      </c>
      <c r="B116" s="13" t="s">
        <v>21</v>
      </c>
      <c r="C116" s="445">
        <f>Nelsonsco6ntries</f>
        <v>0</v>
      </c>
      <c r="D116" s="55" t="s">
        <v>87</v>
      </c>
      <c r="E116" s="90" t="s">
        <v>27</v>
      </c>
      <c r="F116" s="446">
        <f>Menager_Mfra6npts</f>
        <v>0</v>
      </c>
    </row>
    <row r="117" spans="1:6" ht="14.95" thickBot="1" x14ac:dyDescent="0.3">
      <c r="A117" s="14" t="s">
        <v>394</v>
      </c>
      <c r="B117" s="13" t="s">
        <v>19</v>
      </c>
      <c r="C117" s="445">
        <f>O_Brienire6ntries</f>
        <v>0</v>
      </c>
      <c r="D117" s="55" t="s">
        <v>86</v>
      </c>
      <c r="E117" s="90" t="s">
        <v>27</v>
      </c>
      <c r="F117" s="446">
        <f>Villierefra6npts</f>
        <v>0</v>
      </c>
    </row>
    <row r="118" spans="1:6" ht="14.95" thickBot="1" x14ac:dyDescent="0.3">
      <c r="A118" s="14" t="s">
        <v>727</v>
      </c>
      <c r="B118" s="13" t="s">
        <v>27</v>
      </c>
      <c r="C118" s="445">
        <f>OkembaFra6Ntries</f>
        <v>0</v>
      </c>
      <c r="D118" s="55" t="s">
        <v>409</v>
      </c>
      <c r="E118" s="90" t="s">
        <v>20</v>
      </c>
      <c r="F118" s="446">
        <f>Muireng6npts</f>
        <v>0</v>
      </c>
    </row>
    <row r="119" spans="1:6" ht="14.95" thickBot="1" x14ac:dyDescent="0.3">
      <c r="A119" s="14" t="s">
        <v>564</v>
      </c>
      <c r="B119" s="13" t="s">
        <v>21</v>
      </c>
      <c r="C119" s="445">
        <f>Orrsco6ntries</f>
        <v>0</v>
      </c>
      <c r="D119" s="55" t="s">
        <v>524</v>
      </c>
      <c r="E119" s="90" t="s">
        <v>22</v>
      </c>
      <c r="F119" s="446">
        <f>Muzzoita6npts</f>
        <v>0</v>
      </c>
    </row>
    <row r="120" spans="1:6" ht="14.95" thickBot="1" x14ac:dyDescent="0.3">
      <c r="A120" s="14" t="s">
        <v>63</v>
      </c>
      <c r="B120" s="13" t="s">
        <v>20</v>
      </c>
      <c r="C120" s="445">
        <v>0</v>
      </c>
      <c r="D120" s="55" t="s">
        <v>727</v>
      </c>
      <c r="E120" s="90" t="s">
        <v>27</v>
      </c>
      <c r="F120" s="446">
        <f>Okembafra6Npts</f>
        <v>0</v>
      </c>
    </row>
    <row r="121" spans="1:6" ht="14.95" thickBot="1" x14ac:dyDescent="0.3">
      <c r="A121" s="14" t="s">
        <v>208</v>
      </c>
      <c r="B121" s="13" t="s">
        <v>20</v>
      </c>
      <c r="C121" s="445">
        <f>Penalty_Trieseng6ntries</f>
        <v>0</v>
      </c>
      <c r="D121" s="55" t="s">
        <v>564</v>
      </c>
      <c r="E121" s="90" t="s">
        <v>21</v>
      </c>
      <c r="F121" s="446">
        <f>Orrsco6npts</f>
        <v>0</v>
      </c>
    </row>
    <row r="122" spans="1:6" ht="14.95" thickBot="1" x14ac:dyDescent="0.3">
      <c r="A122" s="14" t="s">
        <v>208</v>
      </c>
      <c r="B122" s="13" t="s">
        <v>27</v>
      </c>
      <c r="C122" s="445">
        <f>Penalty_Triesfra6ntries</f>
        <v>0</v>
      </c>
      <c r="D122" s="55" t="s">
        <v>63</v>
      </c>
      <c r="E122" s="90" t="s">
        <v>20</v>
      </c>
      <c r="F122" s="446">
        <v>0</v>
      </c>
    </row>
    <row r="123" spans="1:6" ht="14.95" thickBot="1" x14ac:dyDescent="0.3">
      <c r="A123" s="14" t="s">
        <v>208</v>
      </c>
      <c r="B123" s="13" t="s">
        <v>19</v>
      </c>
      <c r="C123" s="445">
        <f>Penalty_Triesire6ntries</f>
        <v>0</v>
      </c>
      <c r="D123" s="55" t="s">
        <v>208</v>
      </c>
      <c r="E123" s="90" t="s">
        <v>20</v>
      </c>
      <c r="F123" s="446">
        <f>Penalty_Trieseng6npts</f>
        <v>0</v>
      </c>
    </row>
    <row r="124" spans="1:6" ht="14.95" thickBot="1" x14ac:dyDescent="0.3">
      <c r="A124" s="14" t="s">
        <v>506</v>
      </c>
      <c r="B124" s="13" t="s">
        <v>23</v>
      </c>
      <c r="C124" s="445">
        <f>Phillipswal6ntries</f>
        <v>0</v>
      </c>
      <c r="D124" s="55" t="s">
        <v>208</v>
      </c>
      <c r="E124" s="90" t="s">
        <v>27</v>
      </c>
      <c r="F124" s="446">
        <f>Penalty_Triesfra6npts</f>
        <v>0</v>
      </c>
    </row>
    <row r="125" spans="1:6" ht="14.95" thickBot="1" x14ac:dyDescent="0.3">
      <c r="A125" s="14" t="s">
        <v>573</v>
      </c>
      <c r="B125" s="13" t="s">
        <v>20</v>
      </c>
      <c r="C125" s="445">
        <f>Powellengtries</f>
        <v>0</v>
      </c>
      <c r="D125" s="55" t="s">
        <v>208</v>
      </c>
      <c r="E125" s="90" t="s">
        <v>19</v>
      </c>
      <c r="F125" s="446">
        <f>Penalty_Triesire6npts</f>
        <v>0</v>
      </c>
    </row>
    <row r="126" spans="1:6" ht="14.95" thickBot="1" x14ac:dyDescent="0.3">
      <c r="A126" s="14" t="s">
        <v>405</v>
      </c>
      <c r="B126" s="13" t="s">
        <v>23</v>
      </c>
      <c r="C126" s="445">
        <f>Pyrswal6ntries</f>
        <v>0</v>
      </c>
      <c r="D126" s="55" t="s">
        <v>506</v>
      </c>
      <c r="E126" s="90" t="s">
        <v>23</v>
      </c>
      <c r="F126" s="446">
        <f>Phillipswal6npts</f>
        <v>0</v>
      </c>
    </row>
    <row r="127" spans="1:6" ht="14.95" thickBot="1" x14ac:dyDescent="0.3">
      <c r="A127" s="14" t="s">
        <v>567</v>
      </c>
      <c r="B127" s="13" t="s">
        <v>27</v>
      </c>
      <c r="C127" s="445">
        <f>Queyroifra6ntries</f>
        <v>0</v>
      </c>
      <c r="D127" s="55" t="s">
        <v>573</v>
      </c>
      <c r="E127" s="90" t="s">
        <v>20</v>
      </c>
      <c r="F127" s="446">
        <f>Powellengpts</f>
        <v>0</v>
      </c>
    </row>
    <row r="128" spans="1:6" ht="14.95" thickBot="1" x14ac:dyDescent="0.3">
      <c r="A128" s="14" t="s">
        <v>566</v>
      </c>
      <c r="B128" s="13" t="s">
        <v>27</v>
      </c>
      <c r="C128" s="445">
        <f>Sansusfra6ntries</f>
        <v>0</v>
      </c>
      <c r="D128" s="55" t="s">
        <v>405</v>
      </c>
      <c r="E128" s="90" t="s">
        <v>23</v>
      </c>
      <c r="F128" s="446">
        <f>Pyrswal6npts</f>
        <v>0</v>
      </c>
    </row>
    <row r="129" spans="1:6" ht="14.95" thickBot="1" x14ac:dyDescent="0.3">
      <c r="A129" s="14" t="s">
        <v>526</v>
      </c>
      <c r="B129" s="13" t="s">
        <v>22</v>
      </c>
      <c r="C129" s="445">
        <f>Rigoniita6ntries</f>
        <v>0</v>
      </c>
      <c r="D129" s="55" t="s">
        <v>566</v>
      </c>
      <c r="E129" s="90" t="s">
        <v>27</v>
      </c>
      <c r="F129" s="446">
        <f>Sansusfra6npts</f>
        <v>0</v>
      </c>
    </row>
    <row r="130" spans="1:6" ht="14.95" thickBot="1" x14ac:dyDescent="0.3">
      <c r="A130" s="14" t="s">
        <v>416</v>
      </c>
      <c r="B130" s="13" t="s">
        <v>20</v>
      </c>
      <c r="C130" s="445">
        <f>Rowlandengtries</f>
        <v>0</v>
      </c>
      <c r="D130" s="55" t="s">
        <v>526</v>
      </c>
      <c r="E130" s="90" t="s">
        <v>22</v>
      </c>
      <c r="F130" s="446">
        <f>Rigoniita6npts</f>
        <v>0</v>
      </c>
    </row>
    <row r="131" spans="1:6" ht="14.95" thickBot="1" x14ac:dyDescent="0.3">
      <c r="A131" s="14" t="s">
        <v>725</v>
      </c>
      <c r="B131" s="13" t="s">
        <v>20</v>
      </c>
      <c r="C131" s="445">
        <f>Scarrattengtries</f>
        <v>0</v>
      </c>
      <c r="D131" s="55" t="s">
        <v>725</v>
      </c>
      <c r="E131" s="90" t="s">
        <v>20</v>
      </c>
      <c r="F131" s="446">
        <f>Scarrattengpts</f>
        <v>0</v>
      </c>
    </row>
    <row r="132" spans="1:6" ht="14.95" thickBot="1" x14ac:dyDescent="0.3">
      <c r="A132" s="14" t="s">
        <v>732</v>
      </c>
      <c r="B132" s="13" t="s">
        <v>23</v>
      </c>
      <c r="C132" s="445">
        <f>Scoblewal6ntries</f>
        <v>0</v>
      </c>
      <c r="D132" s="55" t="s">
        <v>732</v>
      </c>
      <c r="E132" s="90" t="s">
        <v>23</v>
      </c>
      <c r="F132" s="446">
        <f>Scoblewal6npts</f>
        <v>0</v>
      </c>
    </row>
    <row r="133" spans="1:6" ht="14.95" thickBot="1" x14ac:dyDescent="0.3">
      <c r="A133" s="14" t="s">
        <v>724</v>
      </c>
      <c r="B133" s="13" t="s">
        <v>22</v>
      </c>
      <c r="C133" s="445">
        <f>Sgorbiniita6ntries</f>
        <v>0</v>
      </c>
      <c r="D133" s="55" t="s">
        <v>724</v>
      </c>
      <c r="E133" s="90" t="s">
        <v>22</v>
      </c>
      <c r="F133" s="446">
        <f>Sgorbiniits6npts</f>
        <v>0</v>
      </c>
    </row>
    <row r="134" spans="1:6" ht="14.95" thickBot="1" x14ac:dyDescent="0.3">
      <c r="A134" s="14" t="s">
        <v>198</v>
      </c>
      <c r="B134" s="13" t="s">
        <v>22</v>
      </c>
      <c r="C134" s="445">
        <f>Sillariita6ntries</f>
        <v>0</v>
      </c>
      <c r="D134" s="55" t="s">
        <v>198</v>
      </c>
      <c r="E134" s="90" t="s">
        <v>22</v>
      </c>
      <c r="F134" s="446">
        <f>Sillariita6npts</f>
        <v>0</v>
      </c>
    </row>
    <row r="135" spans="1:6" ht="14.95" thickBot="1" x14ac:dyDescent="0.3">
      <c r="A135" s="14" t="s">
        <v>203</v>
      </c>
      <c r="B135" s="13" t="s">
        <v>21</v>
      </c>
      <c r="C135" s="445">
        <f>Skeldonscotries</f>
        <v>0</v>
      </c>
      <c r="D135" s="55" t="s">
        <v>203</v>
      </c>
      <c r="E135" s="90" t="s">
        <v>21</v>
      </c>
      <c r="F135" s="446">
        <f>Skeldonscopts</f>
        <v>0</v>
      </c>
    </row>
    <row r="136" spans="1:6" ht="14.95" thickBot="1" x14ac:dyDescent="0.3">
      <c r="A136" s="14" t="s">
        <v>31</v>
      </c>
      <c r="B136" s="13" t="s">
        <v>21</v>
      </c>
      <c r="C136" s="445">
        <v>0</v>
      </c>
      <c r="D136" s="55" t="s">
        <v>31</v>
      </c>
      <c r="E136" s="90" t="s">
        <v>21</v>
      </c>
      <c r="F136" s="446">
        <v>0</v>
      </c>
    </row>
    <row r="137" spans="1:6" ht="14.95" thickBot="1" x14ac:dyDescent="0.3">
      <c r="A137" s="14" t="s">
        <v>411</v>
      </c>
      <c r="B137" s="13" t="s">
        <v>22</v>
      </c>
      <c r="C137" s="445">
        <f>Stefanita6ntries</f>
        <v>0</v>
      </c>
      <c r="D137" s="55" t="s">
        <v>411</v>
      </c>
      <c r="E137" s="90" t="s">
        <v>22</v>
      </c>
      <c r="F137" s="446">
        <f>Stefanita6npts</f>
        <v>0</v>
      </c>
    </row>
    <row r="138" spans="1:6" ht="14.95" thickBot="1" x14ac:dyDescent="0.3">
      <c r="A138" s="14" t="s">
        <v>598</v>
      </c>
      <c r="B138" s="13" t="s">
        <v>22</v>
      </c>
      <c r="C138" s="445">
        <f>Stevaninita6ntries</f>
        <v>0</v>
      </c>
      <c r="D138" s="55" t="s">
        <v>598</v>
      </c>
      <c r="E138" s="90" t="s">
        <v>22</v>
      </c>
      <c r="F138" s="446">
        <f>Stevaninita6npts</f>
        <v>0</v>
      </c>
    </row>
    <row r="139" spans="1:6" ht="14.95" thickBot="1" x14ac:dyDescent="0.3">
      <c r="A139" s="14" t="s">
        <v>415</v>
      </c>
      <c r="B139" s="13" t="s">
        <v>20</v>
      </c>
      <c r="C139" s="445">
        <f>Tallingeng6ntries</f>
        <v>0</v>
      </c>
      <c r="D139" s="55" t="s">
        <v>415</v>
      </c>
      <c r="E139" s="90" t="s">
        <v>20</v>
      </c>
      <c r="F139" s="446">
        <f>Tallingeng6npts</f>
        <v>0</v>
      </c>
    </row>
    <row r="140" spans="1:6" ht="14.95" thickBot="1" x14ac:dyDescent="0.3">
      <c r="A140" s="14" t="s">
        <v>536</v>
      </c>
      <c r="B140" s="13" t="s">
        <v>21</v>
      </c>
      <c r="C140" s="445">
        <f>Thomsonsco6ntries</f>
        <v>0</v>
      </c>
      <c r="D140" s="55" t="s">
        <v>536</v>
      </c>
      <c r="E140" s="90" t="s">
        <v>21</v>
      </c>
      <c r="F140" s="446">
        <f>Thomsonsco6npts</f>
        <v>0</v>
      </c>
    </row>
    <row r="141" spans="1:6" ht="14.95" thickBot="1" x14ac:dyDescent="0.3">
      <c r="A141" s="14" t="s">
        <v>407</v>
      </c>
      <c r="B141" s="13" t="s">
        <v>22</v>
      </c>
      <c r="C141" s="445">
        <v>0</v>
      </c>
      <c r="D141" s="55" t="s">
        <v>407</v>
      </c>
      <c r="E141" s="90" t="s">
        <v>22</v>
      </c>
      <c r="F141" s="446">
        <v>0</v>
      </c>
    </row>
    <row r="142" spans="1:6" ht="14.95" thickBot="1" x14ac:dyDescent="0.3">
      <c r="A142" s="14" t="s">
        <v>385</v>
      </c>
      <c r="B142" s="13" t="s">
        <v>20</v>
      </c>
      <c r="C142" s="445">
        <v>0</v>
      </c>
      <c r="D142" s="55" t="s">
        <v>385</v>
      </c>
      <c r="E142" s="90" t="s">
        <v>20</v>
      </c>
      <c r="F142" s="446">
        <v>0</v>
      </c>
    </row>
    <row r="143" spans="1:6" ht="14.95" thickBot="1" x14ac:dyDescent="0.3">
      <c r="A143" s="14" t="s">
        <v>679</v>
      </c>
      <c r="B143" s="13" t="s">
        <v>22</v>
      </c>
      <c r="C143" s="445">
        <f>Turaniita6ntries</f>
        <v>0</v>
      </c>
      <c r="D143" s="55" t="s">
        <v>679</v>
      </c>
      <c r="E143" s="90" t="s">
        <v>22</v>
      </c>
      <c r="F143" s="446">
        <f>Turaniita6npts</f>
        <v>0</v>
      </c>
    </row>
    <row r="144" spans="1:6" ht="14.95" thickBot="1" x14ac:dyDescent="0.3">
      <c r="A144" s="14" t="s">
        <v>419</v>
      </c>
      <c r="B144" s="13" t="s">
        <v>22</v>
      </c>
      <c r="C144" s="445">
        <v>0</v>
      </c>
      <c r="D144" s="55" t="s">
        <v>419</v>
      </c>
      <c r="E144" s="90" t="s">
        <v>22</v>
      </c>
      <c r="F144" s="446">
        <v>0</v>
      </c>
    </row>
    <row r="145" spans="1:6" ht="14.95" thickBot="1" x14ac:dyDescent="0.3">
      <c r="A145" s="14" t="s">
        <v>393</v>
      </c>
      <c r="B145" s="13" t="s">
        <v>27</v>
      </c>
      <c r="C145" s="445">
        <f>VernierFRA6NTRIES</f>
        <v>0</v>
      </c>
      <c r="D145" s="55" t="s">
        <v>393</v>
      </c>
      <c r="E145" s="90" t="s">
        <v>27</v>
      </c>
      <c r="F145" s="446">
        <f>VernierFRA6NPTS</f>
        <v>0</v>
      </c>
    </row>
    <row r="146" spans="1:6" ht="14.95" thickBot="1" x14ac:dyDescent="0.3">
      <c r="A146" s="14" t="s">
        <v>741</v>
      </c>
      <c r="B146" s="13" t="s">
        <v>19</v>
      </c>
      <c r="C146" s="445">
        <f>Wallire6ntries</f>
        <v>0</v>
      </c>
      <c r="D146" s="55" t="s">
        <v>741</v>
      </c>
      <c r="E146" s="90" t="s">
        <v>19</v>
      </c>
      <c r="F146" s="446">
        <f>Wallire6npts</f>
        <v>0</v>
      </c>
    </row>
    <row r="147" spans="1:6" ht="14.95" thickBot="1" x14ac:dyDescent="0.3">
      <c r="A147" s="14" t="s">
        <v>574</v>
      </c>
      <c r="B147" s="13" t="s">
        <v>20</v>
      </c>
      <c r="C147" s="445">
        <f>Wardeng6ntries</f>
        <v>0</v>
      </c>
      <c r="D147" s="55" t="s">
        <v>574</v>
      </c>
      <c r="E147" s="90" t="s">
        <v>20</v>
      </c>
      <c r="F147" s="446">
        <f>Wardeng6npts</f>
        <v>0</v>
      </c>
    </row>
    <row r="148" spans="1:6" x14ac:dyDescent="0.25">
      <c r="C148">
        <f>SUM(C4:C147)</f>
        <v>53</v>
      </c>
      <c r="F148">
        <f>SUM(F4:F147)</f>
        <v>348</v>
      </c>
    </row>
    <row r="149" spans="1:6" x14ac:dyDescent="0.25">
      <c r="A149" s="2"/>
    </row>
    <row r="150" spans="1:6" ht="16.3" x14ac:dyDescent="0.3">
      <c r="A150" s="388" t="s">
        <v>10</v>
      </c>
    </row>
  </sheetData>
  <sortState xmlns:xlrd2="http://schemas.microsoft.com/office/spreadsheetml/2017/richdata2" ref="G4:K13">
    <sortCondition sortBy="fontColor" ref="J4:J13" dxfId="5"/>
    <sortCondition descending="1" ref="K4:K13"/>
    <sortCondition descending="1" ref="J4:J13"/>
    <sortCondition ref="G4:G13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92"/>
  <sheetViews>
    <sheetView workbookViewId="0">
      <selection activeCell="G29" sqref="G29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4" width="4.5" customWidth="1"/>
    <col min="5" max="5" width="4.75" customWidth="1"/>
    <col min="6" max="6" width="16.5" customWidth="1"/>
    <col min="7" max="7" width="4.5" customWidth="1"/>
    <col min="8" max="8" width="4.875" customWidth="1"/>
    <col min="9" max="9" width="4.5" customWidth="1"/>
    <col min="10" max="10" width="4.75" customWidth="1"/>
    <col min="11" max="11" width="14.5" customWidth="1"/>
    <col min="12" max="29" width="5.5" customWidth="1"/>
    <col min="30" max="32" width="5.625" customWidth="1"/>
  </cols>
  <sheetData>
    <row r="1" spans="1:32" ht="17" thickBot="1" x14ac:dyDescent="0.35">
      <c r="A1" s="632" t="s">
        <v>1008</v>
      </c>
      <c r="B1" s="633"/>
      <c r="C1" s="633"/>
      <c r="D1" s="633"/>
      <c r="E1" s="633"/>
      <c r="F1" s="633"/>
      <c r="G1" s="633"/>
      <c r="H1" s="633"/>
      <c r="I1" s="633"/>
      <c r="J1" s="634"/>
      <c r="K1" s="635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Y1" s="56"/>
      <c r="Z1" s="56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73" t="s">
        <v>0</v>
      </c>
      <c r="B2" s="290" t="s">
        <v>14</v>
      </c>
      <c r="C2" s="305" t="s">
        <v>720</v>
      </c>
      <c r="D2" s="88" t="s">
        <v>11</v>
      </c>
      <c r="E2" s="74" t="s">
        <v>1</v>
      </c>
      <c r="F2" s="286" t="s">
        <v>2</v>
      </c>
      <c r="G2" s="280" t="s">
        <v>14</v>
      </c>
      <c r="H2" s="148" t="s">
        <v>720</v>
      </c>
      <c r="I2" s="368" t="s">
        <v>11</v>
      </c>
      <c r="J2" s="177" t="s">
        <v>1</v>
      </c>
      <c r="K2" s="636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Y2" s="56"/>
      <c r="Z2" s="56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40" t="s">
        <v>180</v>
      </c>
      <c r="B3" s="291">
        <v>0</v>
      </c>
      <c r="C3" s="384">
        <v>0</v>
      </c>
      <c r="D3" s="42">
        <v>0</v>
      </c>
      <c r="E3" s="41">
        <f t="shared" ref="E3:E45" si="0">SUM(B3:D3)</f>
        <v>0</v>
      </c>
      <c r="F3" s="287" t="s">
        <v>180</v>
      </c>
      <c r="G3" s="281">
        <v>2</v>
      </c>
      <c r="H3" s="149">
        <v>0</v>
      </c>
      <c r="I3" s="369">
        <v>0</v>
      </c>
      <c r="J3" s="178">
        <f t="shared" ref="J3:J45" si="1">SUM(G3:I3)</f>
        <v>2</v>
      </c>
      <c r="K3" s="4"/>
      <c r="L3" s="1" t="s">
        <v>17</v>
      </c>
      <c r="M3" s="1" t="s">
        <v>5</v>
      </c>
      <c r="N3" s="1" t="s">
        <v>6</v>
      </c>
      <c r="O3" s="72" t="s">
        <v>17</v>
      </c>
      <c r="P3" s="1" t="s">
        <v>5</v>
      </c>
      <c r="Q3" s="1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Y3" s="56"/>
      <c r="Z3" s="56"/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thickBot="1" x14ac:dyDescent="0.3">
      <c r="A4" s="40" t="s">
        <v>700</v>
      </c>
      <c r="B4" s="291">
        <v>0</v>
      </c>
      <c r="C4" s="384">
        <v>0</v>
      </c>
      <c r="D4" s="42">
        <v>0</v>
      </c>
      <c r="E4" s="41">
        <f t="shared" si="0"/>
        <v>0</v>
      </c>
      <c r="F4" s="287" t="s">
        <v>700</v>
      </c>
      <c r="G4" s="281">
        <v>0</v>
      </c>
      <c r="H4" s="149">
        <v>0</v>
      </c>
      <c r="I4" s="369">
        <v>0</v>
      </c>
      <c r="J4" s="178">
        <f t="shared" si="1"/>
        <v>0</v>
      </c>
      <c r="K4" s="108" t="s">
        <v>180</v>
      </c>
      <c r="L4" s="41">
        <v>1</v>
      </c>
      <c r="M4" s="41">
        <v>2</v>
      </c>
      <c r="N4" s="43">
        <f t="shared" ref="N4:N5" si="2">SUM(L4/M4)*100</f>
        <v>50</v>
      </c>
      <c r="O4" s="41" t="s">
        <v>8</v>
      </c>
      <c r="P4" s="41" t="s">
        <v>8</v>
      </c>
      <c r="Q4" s="43" t="s">
        <v>8</v>
      </c>
      <c r="R4" s="41">
        <v>-1</v>
      </c>
      <c r="S4" s="59">
        <v>12</v>
      </c>
      <c r="T4" s="59">
        <v>21</v>
      </c>
      <c r="U4" s="117">
        <v>57.142857142857139</v>
      </c>
      <c r="V4" s="59">
        <v>17</v>
      </c>
      <c r="W4" s="59">
        <v>25</v>
      </c>
      <c r="X4" s="117">
        <f>SUM(V4/W4)*100</f>
        <v>68</v>
      </c>
      <c r="Y4" s="56"/>
      <c r="Z4" s="56"/>
      <c r="AA4" s="260">
        <v>18</v>
      </c>
      <c r="AB4" s="59">
        <v>25</v>
      </c>
      <c r="AC4" s="117">
        <f>SUM(AA4/AB4)*100</f>
        <v>72</v>
      </c>
      <c r="AD4" s="260">
        <v>4</v>
      </c>
      <c r="AE4" s="59">
        <v>6</v>
      </c>
      <c r="AF4" s="117">
        <f>SUM(AD4/AE4)*100</f>
        <v>66.666666666666657</v>
      </c>
    </row>
    <row r="5" spans="1:32" ht="14.95" thickBot="1" x14ac:dyDescent="0.3">
      <c r="A5" s="40" t="s">
        <v>166</v>
      </c>
      <c r="B5" s="291">
        <v>0</v>
      </c>
      <c r="C5" s="384">
        <v>0</v>
      </c>
      <c r="D5" s="42">
        <v>0</v>
      </c>
      <c r="E5" s="41">
        <f t="shared" si="0"/>
        <v>0</v>
      </c>
      <c r="F5" s="287" t="s">
        <v>166</v>
      </c>
      <c r="G5" s="281">
        <v>0</v>
      </c>
      <c r="H5" s="149">
        <v>0</v>
      </c>
      <c r="I5" s="369">
        <v>0</v>
      </c>
      <c r="J5" s="178">
        <f t="shared" si="1"/>
        <v>0</v>
      </c>
      <c r="K5" s="108" t="s">
        <v>4</v>
      </c>
      <c r="L5" s="41">
        <v>1</v>
      </c>
      <c r="M5" s="41">
        <v>1</v>
      </c>
      <c r="N5" s="43">
        <f t="shared" si="2"/>
        <v>100</v>
      </c>
      <c r="O5" s="41" t="s">
        <v>8</v>
      </c>
      <c r="P5" s="41" t="s">
        <v>8</v>
      </c>
      <c r="Q5" s="43" t="s">
        <v>8</v>
      </c>
      <c r="R5" s="41">
        <v>1</v>
      </c>
      <c r="S5" s="59">
        <v>0</v>
      </c>
      <c r="T5" s="59">
        <v>1</v>
      </c>
      <c r="U5" s="117">
        <v>0</v>
      </c>
      <c r="V5" s="59">
        <v>4</v>
      </c>
      <c r="W5" s="59">
        <v>5</v>
      </c>
      <c r="X5" s="117">
        <f>SUM(V5/W5)*100</f>
        <v>80</v>
      </c>
      <c r="Y5" s="56"/>
      <c r="Z5" s="56"/>
      <c r="AA5" s="260">
        <v>5</v>
      </c>
      <c r="AB5" s="59">
        <v>7</v>
      </c>
      <c r="AC5" s="117">
        <f>SUM(AA5/AB5)*100</f>
        <v>71.428571428571431</v>
      </c>
      <c r="AD5" s="260" t="s">
        <v>8</v>
      </c>
      <c r="AE5" s="59" t="s">
        <v>8</v>
      </c>
      <c r="AF5" s="117" t="s">
        <v>8</v>
      </c>
    </row>
    <row r="6" spans="1:32" ht="14.95" thickBot="1" x14ac:dyDescent="0.3">
      <c r="A6" s="40" t="s">
        <v>631</v>
      </c>
      <c r="B6" s="291">
        <v>0</v>
      </c>
      <c r="C6" s="384">
        <v>0</v>
      </c>
      <c r="D6" s="42">
        <v>0</v>
      </c>
      <c r="E6" s="41">
        <f t="shared" si="0"/>
        <v>0</v>
      </c>
      <c r="F6" s="287" t="s">
        <v>631</v>
      </c>
      <c r="G6" s="281">
        <v>0</v>
      </c>
      <c r="H6" s="149">
        <v>0</v>
      </c>
      <c r="I6" s="369">
        <v>0</v>
      </c>
      <c r="J6" s="178">
        <f t="shared" si="1"/>
        <v>0</v>
      </c>
      <c r="K6" s="108" t="s">
        <v>54</v>
      </c>
      <c r="L6" s="41" t="s">
        <v>8</v>
      </c>
      <c r="M6" s="41" t="s">
        <v>8</v>
      </c>
      <c r="N6" s="43" t="s">
        <v>8</v>
      </c>
      <c r="O6" s="41" t="s">
        <v>8</v>
      </c>
      <c r="P6" s="41" t="s">
        <v>8</v>
      </c>
      <c r="Q6" s="43" t="s">
        <v>8</v>
      </c>
      <c r="R6" s="41">
        <v>-1</v>
      </c>
      <c r="S6" s="59" t="s">
        <v>8</v>
      </c>
      <c r="T6" s="59" t="s">
        <v>8</v>
      </c>
      <c r="U6" s="117" t="s">
        <v>8</v>
      </c>
      <c r="V6" s="59">
        <v>0</v>
      </c>
      <c r="W6" s="59">
        <v>1</v>
      </c>
      <c r="X6" s="117">
        <f>SUM(V6/W6)*100</f>
        <v>0</v>
      </c>
      <c r="Y6" s="56"/>
      <c r="Z6" s="56"/>
      <c r="AA6" s="260" t="s">
        <v>8</v>
      </c>
      <c r="AB6" s="59" t="s">
        <v>8</v>
      </c>
      <c r="AC6" s="117" t="s">
        <v>8</v>
      </c>
      <c r="AD6" s="260" t="s">
        <v>8</v>
      </c>
      <c r="AE6" s="59" t="s">
        <v>8</v>
      </c>
      <c r="AF6" s="117" t="s">
        <v>8</v>
      </c>
    </row>
    <row r="7" spans="1:32" ht="14.95" thickBot="1" x14ac:dyDescent="0.3">
      <c r="A7" s="40" t="s">
        <v>745</v>
      </c>
      <c r="B7" s="291">
        <v>0</v>
      </c>
      <c r="C7" s="384">
        <v>0</v>
      </c>
      <c r="D7" s="42">
        <v>0</v>
      </c>
      <c r="E7" s="41">
        <f t="shared" si="0"/>
        <v>0</v>
      </c>
      <c r="F7" s="287" t="s">
        <v>745</v>
      </c>
      <c r="G7" s="281">
        <v>0</v>
      </c>
      <c r="H7" s="149">
        <v>0</v>
      </c>
      <c r="I7" s="369">
        <v>0</v>
      </c>
      <c r="J7" s="178">
        <f t="shared" si="1"/>
        <v>0</v>
      </c>
      <c r="K7" s="40" t="s">
        <v>190</v>
      </c>
      <c r="L7" s="41" t="s">
        <v>8</v>
      </c>
      <c r="M7" s="41" t="s">
        <v>8</v>
      </c>
      <c r="N7" s="43" t="s">
        <v>8</v>
      </c>
      <c r="O7" s="41" t="s">
        <v>8</v>
      </c>
      <c r="P7" s="41" t="s">
        <v>8</v>
      </c>
      <c r="Q7" s="43" t="s">
        <v>8</v>
      </c>
      <c r="R7" s="41">
        <v>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Y7" s="56"/>
      <c r="Z7" s="56"/>
      <c r="AA7" s="260">
        <v>1</v>
      </c>
      <c r="AB7" s="59">
        <v>1</v>
      </c>
      <c r="AC7" s="117">
        <f>SUM(AA7/AB7)*100</f>
        <v>100</v>
      </c>
      <c r="AD7" s="260">
        <v>2</v>
      </c>
      <c r="AE7" s="59">
        <v>5</v>
      </c>
      <c r="AF7" s="117">
        <f>SUM(AD7/AE7)*100</f>
        <v>40</v>
      </c>
    </row>
    <row r="8" spans="1:32" ht="14.95" thickBot="1" x14ac:dyDescent="0.3">
      <c r="A8" s="40" t="s">
        <v>867</v>
      </c>
      <c r="B8" s="291">
        <v>0</v>
      </c>
      <c r="C8" s="384">
        <v>0</v>
      </c>
      <c r="D8" s="42">
        <v>0</v>
      </c>
      <c r="E8" s="41">
        <f t="shared" si="0"/>
        <v>0</v>
      </c>
      <c r="F8" s="287" t="s">
        <v>867</v>
      </c>
      <c r="G8" s="281">
        <v>0</v>
      </c>
      <c r="H8" s="149">
        <v>0</v>
      </c>
      <c r="I8" s="369">
        <v>0</v>
      </c>
      <c r="J8" s="178">
        <f t="shared" si="1"/>
        <v>0</v>
      </c>
      <c r="R8" s="7"/>
      <c r="S8" s="56"/>
      <c r="T8" s="56"/>
      <c r="U8" s="56"/>
      <c r="V8" s="56"/>
      <c r="W8" s="56"/>
    </row>
    <row r="9" spans="1:32" ht="14.95" thickBot="1" x14ac:dyDescent="0.3">
      <c r="A9" s="40" t="s">
        <v>149</v>
      </c>
      <c r="B9" s="291">
        <v>0</v>
      </c>
      <c r="C9" s="384">
        <v>0</v>
      </c>
      <c r="D9" s="42">
        <v>0</v>
      </c>
      <c r="E9" s="41">
        <f t="shared" si="0"/>
        <v>0</v>
      </c>
      <c r="F9" s="287" t="s">
        <v>149</v>
      </c>
      <c r="G9" s="281">
        <v>0</v>
      </c>
      <c r="H9" s="149">
        <v>0</v>
      </c>
      <c r="I9" s="369">
        <v>0</v>
      </c>
      <c r="J9" s="178">
        <f t="shared" si="1"/>
        <v>0</v>
      </c>
      <c r="K9" s="563" t="s">
        <v>13</v>
      </c>
      <c r="L9" s="502">
        <v>2026</v>
      </c>
      <c r="M9" s="503"/>
      <c r="N9" s="504"/>
      <c r="O9" s="516">
        <v>2025</v>
      </c>
      <c r="P9" s="517"/>
      <c r="Q9" s="518"/>
      <c r="R9" s="516">
        <v>2024</v>
      </c>
      <c r="S9" s="517"/>
      <c r="T9" s="518"/>
      <c r="U9" s="516">
        <v>2023</v>
      </c>
      <c r="V9" s="517"/>
      <c r="W9" s="518"/>
      <c r="X9" s="56"/>
      <c r="Y9" s="56"/>
      <c r="Z9" s="56"/>
      <c r="AA9" s="516">
        <v>2022</v>
      </c>
      <c r="AB9" s="517"/>
      <c r="AC9" s="518"/>
    </row>
    <row r="10" spans="1:32" ht="14.95" customHeight="1" thickBot="1" x14ac:dyDescent="0.3">
      <c r="A10" s="40" t="s">
        <v>167</v>
      </c>
      <c r="B10" s="291">
        <v>0</v>
      </c>
      <c r="C10" s="384">
        <v>0</v>
      </c>
      <c r="D10" s="42">
        <v>0</v>
      </c>
      <c r="E10" s="41">
        <f t="shared" si="0"/>
        <v>0</v>
      </c>
      <c r="F10" s="287" t="s">
        <v>167</v>
      </c>
      <c r="G10" s="281">
        <v>0</v>
      </c>
      <c r="H10" s="149">
        <v>0</v>
      </c>
      <c r="I10" s="369">
        <v>0</v>
      </c>
      <c r="J10" s="178">
        <f t="shared" si="1"/>
        <v>0</v>
      </c>
      <c r="K10" s="564"/>
      <c r="L10" s="505"/>
      <c r="M10" s="506"/>
      <c r="N10" s="507"/>
      <c r="O10" s="519"/>
      <c r="P10" s="520"/>
      <c r="Q10" s="521"/>
      <c r="R10" s="519"/>
      <c r="S10" s="520"/>
      <c r="T10" s="521"/>
      <c r="U10" s="519"/>
      <c r="V10" s="520"/>
      <c r="W10" s="521"/>
      <c r="X10" s="56"/>
      <c r="Y10" s="56"/>
      <c r="Z10" s="56"/>
      <c r="AA10" s="519"/>
      <c r="AB10" s="520"/>
      <c r="AC10" s="521"/>
    </row>
    <row r="11" spans="1:32" ht="14.95" customHeight="1" thickBot="1" x14ac:dyDescent="0.3">
      <c r="A11" s="40" t="s">
        <v>4</v>
      </c>
      <c r="B11" s="291">
        <v>0</v>
      </c>
      <c r="C11" s="384">
        <v>0</v>
      </c>
      <c r="D11" s="42">
        <v>0</v>
      </c>
      <c r="E11" s="41">
        <f t="shared" si="0"/>
        <v>0</v>
      </c>
      <c r="F11" s="287" t="s">
        <v>4</v>
      </c>
      <c r="G11" s="281">
        <v>2</v>
      </c>
      <c r="H11" s="149">
        <v>0</v>
      </c>
      <c r="I11" s="369">
        <v>0</v>
      </c>
      <c r="J11" s="178">
        <f t="shared" si="1"/>
        <v>2</v>
      </c>
      <c r="K11" s="277"/>
      <c r="L11" s="1" t="s">
        <v>17</v>
      </c>
      <c r="M11" s="1" t="s">
        <v>5</v>
      </c>
      <c r="N11" s="1" t="s">
        <v>6</v>
      </c>
      <c r="O11" s="59" t="s">
        <v>17</v>
      </c>
      <c r="P11" s="59" t="s">
        <v>5</v>
      </c>
      <c r="Q11" s="59" t="s">
        <v>6</v>
      </c>
      <c r="R11" s="59" t="s">
        <v>17</v>
      </c>
      <c r="S11" s="59" t="s">
        <v>5</v>
      </c>
      <c r="T11" s="59" t="s">
        <v>6</v>
      </c>
      <c r="U11" s="59" t="s">
        <v>17</v>
      </c>
      <c r="V11" s="59" t="s">
        <v>5</v>
      </c>
      <c r="W11" s="59" t="s">
        <v>6</v>
      </c>
      <c r="X11" s="56"/>
      <c r="Y11" s="56"/>
      <c r="Z11" s="56"/>
      <c r="AA11" s="260" t="s">
        <v>17</v>
      </c>
      <c r="AB11" s="59" t="s">
        <v>5</v>
      </c>
      <c r="AC11" s="59" t="s">
        <v>6</v>
      </c>
    </row>
    <row r="12" spans="1:32" ht="14.95" customHeight="1" thickBot="1" x14ac:dyDescent="0.3">
      <c r="A12" s="40" t="s">
        <v>168</v>
      </c>
      <c r="B12" s="291">
        <v>0</v>
      </c>
      <c r="C12" s="384">
        <v>0</v>
      </c>
      <c r="D12" s="42">
        <v>0</v>
      </c>
      <c r="E12" s="41">
        <f t="shared" si="0"/>
        <v>0</v>
      </c>
      <c r="F12" s="287" t="s">
        <v>168</v>
      </c>
      <c r="G12" s="281">
        <v>0</v>
      </c>
      <c r="H12" s="149">
        <v>0</v>
      </c>
      <c r="I12" s="369">
        <v>0</v>
      </c>
      <c r="J12" s="178">
        <f t="shared" si="1"/>
        <v>0</v>
      </c>
      <c r="K12" s="108" t="s">
        <v>180</v>
      </c>
      <c r="L12" s="41">
        <v>1</v>
      </c>
      <c r="M12" s="41">
        <v>2</v>
      </c>
      <c r="N12" s="43">
        <f t="shared" ref="N12:N13" si="3">SUM(L12/M12)*100</f>
        <v>50</v>
      </c>
      <c r="O12" s="59">
        <v>8</v>
      </c>
      <c r="P12" s="59">
        <v>11</v>
      </c>
      <c r="Q12" s="117">
        <v>72.727272727272734</v>
      </c>
      <c r="R12" s="59">
        <v>5</v>
      </c>
      <c r="S12" s="59">
        <v>6</v>
      </c>
      <c r="T12" s="117">
        <f>SUM(R12/S12)*100</f>
        <v>83.333333333333343</v>
      </c>
      <c r="U12" s="59">
        <v>10</v>
      </c>
      <c r="V12" s="59">
        <v>15</v>
      </c>
      <c r="W12" s="117">
        <f>SUM(U12/V12)*100</f>
        <v>66.666666666666657</v>
      </c>
      <c r="X12" s="56"/>
      <c r="Y12" s="56"/>
      <c r="Z12" s="56"/>
      <c r="AA12" s="260">
        <v>2</v>
      </c>
      <c r="AB12" s="59">
        <v>3</v>
      </c>
      <c r="AC12" s="117">
        <f>SUM(AA12/AB12)*100</f>
        <v>66.666666666666657</v>
      </c>
    </row>
    <row r="13" spans="1:32" ht="14.95" customHeight="1" thickBot="1" x14ac:dyDescent="0.3">
      <c r="A13" s="40" t="s">
        <v>169</v>
      </c>
      <c r="B13" s="291">
        <v>0</v>
      </c>
      <c r="C13" s="384">
        <v>0</v>
      </c>
      <c r="D13" s="42">
        <v>0</v>
      </c>
      <c r="E13" s="41">
        <f t="shared" si="0"/>
        <v>0</v>
      </c>
      <c r="F13" s="287" t="s">
        <v>169</v>
      </c>
      <c r="G13" s="281">
        <v>0</v>
      </c>
      <c r="H13" s="149">
        <v>0</v>
      </c>
      <c r="I13" s="369">
        <v>0</v>
      </c>
      <c r="J13" s="178">
        <f t="shared" si="1"/>
        <v>0</v>
      </c>
      <c r="K13" s="108" t="s">
        <v>4</v>
      </c>
      <c r="L13" s="41">
        <v>1</v>
      </c>
      <c r="M13" s="41">
        <v>1</v>
      </c>
      <c r="N13" s="43">
        <f t="shared" si="3"/>
        <v>100</v>
      </c>
      <c r="O13" s="59" t="s">
        <v>8</v>
      </c>
      <c r="P13" s="59" t="s">
        <v>8</v>
      </c>
      <c r="Q13" s="117" t="s">
        <v>8</v>
      </c>
      <c r="R13" s="59">
        <v>3</v>
      </c>
      <c r="S13" s="59">
        <v>4</v>
      </c>
      <c r="T13" s="117">
        <f>SUM(R13/S13)*100</f>
        <v>75</v>
      </c>
      <c r="U13" s="59" t="s">
        <v>8</v>
      </c>
      <c r="V13" s="59" t="s">
        <v>8</v>
      </c>
      <c r="W13" s="117" t="s">
        <v>8</v>
      </c>
      <c r="X13" s="56"/>
      <c r="Y13" s="56"/>
      <c r="Z13" s="56"/>
      <c r="AA13" s="260" t="s">
        <v>8</v>
      </c>
      <c r="AB13" s="59" t="s">
        <v>8</v>
      </c>
      <c r="AC13" s="117" t="s">
        <v>8</v>
      </c>
    </row>
    <row r="14" spans="1:32" ht="14.95" customHeight="1" thickBot="1" x14ac:dyDescent="0.3">
      <c r="A14" s="40" t="s">
        <v>181</v>
      </c>
      <c r="B14" s="291">
        <v>0</v>
      </c>
      <c r="C14" s="384">
        <v>0</v>
      </c>
      <c r="D14" s="42">
        <v>0</v>
      </c>
      <c r="E14" s="41">
        <f t="shared" si="0"/>
        <v>0</v>
      </c>
      <c r="F14" s="287" t="s">
        <v>181</v>
      </c>
      <c r="G14" s="281">
        <v>0</v>
      </c>
      <c r="H14" s="149">
        <v>0</v>
      </c>
      <c r="I14" s="369">
        <v>0</v>
      </c>
      <c r="J14" s="178">
        <f t="shared" si="1"/>
        <v>0</v>
      </c>
      <c r="K14" s="108" t="s">
        <v>54</v>
      </c>
      <c r="L14" s="41" t="s">
        <v>8</v>
      </c>
      <c r="M14" s="41" t="s">
        <v>8</v>
      </c>
      <c r="N14" s="43" t="s">
        <v>8</v>
      </c>
      <c r="O14" s="59" t="s">
        <v>8</v>
      </c>
      <c r="P14" s="59" t="s">
        <v>8</v>
      </c>
      <c r="Q14" s="117" t="s">
        <v>8</v>
      </c>
      <c r="R14" s="59">
        <v>0</v>
      </c>
      <c r="S14" s="59">
        <v>1</v>
      </c>
      <c r="T14" s="117">
        <f>SUM(R14/S14)*100</f>
        <v>0</v>
      </c>
      <c r="U14" s="59" t="s">
        <v>8</v>
      </c>
      <c r="V14" s="59" t="s">
        <v>8</v>
      </c>
      <c r="W14" s="117" t="s">
        <v>8</v>
      </c>
      <c r="X14" s="56"/>
      <c r="Y14" s="56"/>
      <c r="Z14" s="56"/>
      <c r="AA14" s="260" t="s">
        <v>8</v>
      </c>
      <c r="AB14" s="59" t="s">
        <v>8</v>
      </c>
      <c r="AC14" s="117" t="s">
        <v>8</v>
      </c>
    </row>
    <row r="15" spans="1:32" ht="14.95" customHeight="1" thickBot="1" x14ac:dyDescent="0.3">
      <c r="A15" s="40" t="s">
        <v>632</v>
      </c>
      <c r="B15" s="291">
        <v>0</v>
      </c>
      <c r="C15" s="384">
        <v>0</v>
      </c>
      <c r="D15" s="42">
        <v>0</v>
      </c>
      <c r="E15" s="41">
        <f t="shared" si="0"/>
        <v>0</v>
      </c>
      <c r="F15" s="287" t="s">
        <v>632</v>
      </c>
      <c r="G15" s="281">
        <v>0</v>
      </c>
      <c r="H15" s="149">
        <v>0</v>
      </c>
      <c r="I15" s="369">
        <v>0</v>
      </c>
      <c r="J15" s="178">
        <f t="shared" si="1"/>
        <v>0</v>
      </c>
      <c r="K15" s="106" t="s">
        <v>190</v>
      </c>
      <c r="L15" s="41" t="s">
        <v>8</v>
      </c>
      <c r="M15" s="41" t="s">
        <v>8</v>
      </c>
      <c r="N15" s="43" t="s">
        <v>8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 t="s">
        <v>8</v>
      </c>
      <c r="V15" s="59" t="s">
        <v>8</v>
      </c>
      <c r="W15" s="117" t="s">
        <v>8</v>
      </c>
      <c r="X15" s="56"/>
      <c r="Y15" s="44"/>
      <c r="Z15" s="44"/>
      <c r="AA15" s="260">
        <v>2</v>
      </c>
      <c r="AB15" s="59">
        <v>5</v>
      </c>
      <c r="AC15" s="117">
        <f>SUM(AA15/AB15)*100</f>
        <v>40</v>
      </c>
    </row>
    <row r="16" spans="1:32" ht="14.95" customHeight="1" thickBot="1" x14ac:dyDescent="0.3">
      <c r="A16" s="40" t="s">
        <v>587</v>
      </c>
      <c r="B16" s="291">
        <v>0</v>
      </c>
      <c r="C16" s="384">
        <v>0</v>
      </c>
      <c r="D16" s="42">
        <v>0</v>
      </c>
      <c r="E16" s="41">
        <f t="shared" si="0"/>
        <v>0</v>
      </c>
      <c r="F16" s="287" t="s">
        <v>587</v>
      </c>
      <c r="G16" s="281">
        <v>0</v>
      </c>
      <c r="H16" s="149">
        <v>0</v>
      </c>
      <c r="I16" s="369">
        <v>0</v>
      </c>
      <c r="J16" s="178">
        <f t="shared" si="1"/>
        <v>0</v>
      </c>
      <c r="K16" s="8"/>
      <c r="L16" s="24"/>
      <c r="M16" s="24"/>
      <c r="N16" s="25"/>
      <c r="S16" s="56"/>
      <c r="T16" s="56"/>
    </row>
    <row r="17" spans="1:23" ht="14.95" customHeight="1" thickBot="1" x14ac:dyDescent="0.3">
      <c r="A17" s="40" t="s">
        <v>170</v>
      </c>
      <c r="B17" s="291">
        <v>0</v>
      </c>
      <c r="C17" s="384">
        <v>0</v>
      </c>
      <c r="D17" s="42">
        <v>0</v>
      </c>
      <c r="E17" s="41">
        <f t="shared" si="0"/>
        <v>0</v>
      </c>
      <c r="F17" s="287" t="s">
        <v>170</v>
      </c>
      <c r="G17" s="281">
        <v>0</v>
      </c>
      <c r="H17" s="149">
        <v>0</v>
      </c>
      <c r="I17" s="369">
        <v>0</v>
      </c>
      <c r="J17" s="178">
        <f t="shared" si="1"/>
        <v>0</v>
      </c>
      <c r="K17" s="528" t="s">
        <v>345</v>
      </c>
      <c r="L17" s="516">
        <v>2025</v>
      </c>
      <c r="M17" s="517"/>
      <c r="N17" s="518"/>
      <c r="O17" s="516">
        <v>2022</v>
      </c>
      <c r="P17" s="517"/>
      <c r="Q17" s="518"/>
      <c r="V17" s="56"/>
      <c r="W17" s="56"/>
    </row>
    <row r="18" spans="1:23" ht="14.95" customHeight="1" thickBot="1" x14ac:dyDescent="0.3">
      <c r="A18" s="40" t="s">
        <v>171</v>
      </c>
      <c r="B18" s="291">
        <v>0</v>
      </c>
      <c r="C18" s="384">
        <v>0</v>
      </c>
      <c r="D18" s="42">
        <v>0</v>
      </c>
      <c r="E18" s="41">
        <f t="shared" si="0"/>
        <v>0</v>
      </c>
      <c r="F18" s="287" t="s">
        <v>171</v>
      </c>
      <c r="G18" s="281">
        <v>0</v>
      </c>
      <c r="H18" s="149">
        <v>0</v>
      </c>
      <c r="I18" s="369">
        <v>0</v>
      </c>
      <c r="J18" s="178">
        <f t="shared" si="1"/>
        <v>0</v>
      </c>
      <c r="K18" s="529"/>
      <c r="L18" s="519"/>
      <c r="M18" s="520"/>
      <c r="N18" s="521"/>
      <c r="O18" s="519"/>
      <c r="P18" s="520"/>
      <c r="Q18" s="521"/>
      <c r="V18" s="56"/>
      <c r="W18" s="56"/>
    </row>
    <row r="19" spans="1:23" ht="14.95" customHeight="1" thickBot="1" x14ac:dyDescent="0.3">
      <c r="A19" s="40" t="s">
        <v>172</v>
      </c>
      <c r="B19" s="291">
        <v>1</v>
      </c>
      <c r="C19" s="384">
        <v>0</v>
      </c>
      <c r="D19" s="42">
        <v>0</v>
      </c>
      <c r="E19" s="41">
        <f t="shared" si="0"/>
        <v>1</v>
      </c>
      <c r="F19" s="287" t="s">
        <v>172</v>
      </c>
      <c r="G19" s="281">
        <v>5</v>
      </c>
      <c r="H19" s="149">
        <v>0</v>
      </c>
      <c r="I19" s="369">
        <v>0</v>
      </c>
      <c r="J19" s="178">
        <f t="shared" si="1"/>
        <v>5</v>
      </c>
      <c r="K19" s="300"/>
      <c r="L19" s="59" t="s">
        <v>17</v>
      </c>
      <c r="M19" s="59" t="s">
        <v>5</v>
      </c>
      <c r="N19" s="59" t="s">
        <v>6</v>
      </c>
      <c r="O19" s="59" t="s">
        <v>17</v>
      </c>
      <c r="P19" s="59" t="s">
        <v>5</v>
      </c>
      <c r="Q19" s="59" t="s">
        <v>6</v>
      </c>
      <c r="R19" s="24"/>
      <c r="S19" s="24"/>
      <c r="T19" s="25"/>
      <c r="V19" s="56"/>
      <c r="W19" s="56"/>
    </row>
    <row r="20" spans="1:23" ht="14.95" customHeight="1" thickBot="1" x14ac:dyDescent="0.3">
      <c r="A20" s="40" t="s">
        <v>873</v>
      </c>
      <c r="B20" s="291">
        <v>0</v>
      </c>
      <c r="C20" s="384">
        <v>0</v>
      </c>
      <c r="D20" s="42">
        <v>0</v>
      </c>
      <c r="E20" s="41">
        <f t="shared" si="0"/>
        <v>0</v>
      </c>
      <c r="F20" s="287" t="s">
        <v>873</v>
      </c>
      <c r="G20" s="281">
        <v>0</v>
      </c>
      <c r="H20" s="149">
        <v>0</v>
      </c>
      <c r="I20" s="369">
        <v>0</v>
      </c>
      <c r="J20" s="178">
        <f t="shared" si="1"/>
        <v>0</v>
      </c>
      <c r="K20" s="108" t="s">
        <v>180</v>
      </c>
      <c r="L20" s="59">
        <v>1</v>
      </c>
      <c r="M20" s="59">
        <v>6</v>
      </c>
      <c r="N20" s="117">
        <f>SUM(L20/M20)*100</f>
        <v>16.666666666666664</v>
      </c>
      <c r="O20" s="59">
        <v>2</v>
      </c>
      <c r="P20" s="59">
        <v>3</v>
      </c>
      <c r="Q20" s="117">
        <v>67</v>
      </c>
      <c r="S20" s="24"/>
      <c r="T20" s="24"/>
      <c r="V20" s="56"/>
      <c r="W20" s="56"/>
    </row>
    <row r="21" spans="1:23" ht="14.95" customHeight="1" thickBot="1" x14ac:dyDescent="0.3">
      <c r="A21" s="40" t="s">
        <v>651</v>
      </c>
      <c r="B21" s="291">
        <v>0</v>
      </c>
      <c r="C21" s="384">
        <v>0</v>
      </c>
      <c r="D21" s="42">
        <v>0</v>
      </c>
      <c r="E21" s="41">
        <f t="shared" si="0"/>
        <v>0</v>
      </c>
      <c r="F21" s="287" t="s">
        <v>651</v>
      </c>
      <c r="G21" s="281">
        <v>0</v>
      </c>
      <c r="H21" s="149">
        <v>0</v>
      </c>
      <c r="I21" s="369">
        <v>0</v>
      </c>
      <c r="J21" s="178">
        <f t="shared" si="1"/>
        <v>0</v>
      </c>
      <c r="K21" s="108" t="s">
        <v>4</v>
      </c>
      <c r="L21" s="185">
        <v>0</v>
      </c>
      <c r="M21" s="59">
        <v>1</v>
      </c>
      <c r="N21" s="117">
        <f t="shared" ref="N21" si="4">SUM(L21/M21)*100</f>
        <v>0</v>
      </c>
      <c r="O21" s="59" t="s">
        <v>8</v>
      </c>
      <c r="P21" s="59" t="s">
        <v>8</v>
      </c>
      <c r="Q21" s="117" t="s">
        <v>8</v>
      </c>
      <c r="S21" s="24"/>
      <c r="T21" s="24"/>
      <c r="V21" s="56"/>
      <c r="W21" s="56"/>
    </row>
    <row r="22" spans="1:23" ht="14.95" customHeight="1" thickBot="1" x14ac:dyDescent="0.3">
      <c r="A22" s="40" t="s">
        <v>182</v>
      </c>
      <c r="B22" s="291">
        <v>0</v>
      </c>
      <c r="C22" s="384">
        <v>0</v>
      </c>
      <c r="D22" s="42">
        <v>0</v>
      </c>
      <c r="E22" s="41">
        <f t="shared" si="0"/>
        <v>0</v>
      </c>
      <c r="F22" s="287" t="s">
        <v>182</v>
      </c>
      <c r="G22" s="281">
        <v>0</v>
      </c>
      <c r="H22" s="149">
        <v>0</v>
      </c>
      <c r="I22" s="369">
        <v>0</v>
      </c>
      <c r="J22" s="178">
        <f t="shared" si="1"/>
        <v>0</v>
      </c>
      <c r="S22" s="56"/>
      <c r="T22" s="56"/>
    </row>
    <row r="23" spans="1:23" ht="14.95" customHeight="1" thickBot="1" x14ac:dyDescent="0.3">
      <c r="A23" s="40" t="s">
        <v>184</v>
      </c>
      <c r="B23" s="291">
        <v>0</v>
      </c>
      <c r="C23" s="384">
        <v>0</v>
      </c>
      <c r="D23" s="42">
        <v>0</v>
      </c>
      <c r="E23" s="41">
        <f t="shared" si="0"/>
        <v>0</v>
      </c>
      <c r="F23" s="287" t="s">
        <v>184</v>
      </c>
      <c r="G23" s="281">
        <v>0</v>
      </c>
      <c r="H23" s="149">
        <v>0</v>
      </c>
      <c r="I23" s="369">
        <v>0</v>
      </c>
      <c r="J23" s="178">
        <f t="shared" si="1"/>
        <v>0</v>
      </c>
      <c r="K23" s="546" t="s">
        <v>500</v>
      </c>
      <c r="L23" s="530">
        <v>2026</v>
      </c>
      <c r="M23" s="531"/>
      <c r="N23" s="532"/>
      <c r="O23" s="516">
        <v>2024</v>
      </c>
      <c r="P23" s="517"/>
      <c r="Q23" s="518"/>
      <c r="R23" s="516">
        <v>2023</v>
      </c>
      <c r="S23" s="517"/>
      <c r="T23" s="518"/>
    </row>
    <row r="24" spans="1:23" ht="14.95" customHeight="1" thickBot="1" x14ac:dyDescent="0.3">
      <c r="A24" s="40" t="s">
        <v>173</v>
      </c>
      <c r="B24" s="291">
        <v>0</v>
      </c>
      <c r="C24" s="384">
        <v>0</v>
      </c>
      <c r="D24" s="42">
        <v>0</v>
      </c>
      <c r="E24" s="41">
        <f t="shared" si="0"/>
        <v>0</v>
      </c>
      <c r="F24" s="287" t="s">
        <v>173</v>
      </c>
      <c r="G24" s="281">
        <v>0</v>
      </c>
      <c r="H24" s="149">
        <v>0</v>
      </c>
      <c r="I24" s="369">
        <v>0</v>
      </c>
      <c r="J24" s="178">
        <f t="shared" si="1"/>
        <v>0</v>
      </c>
      <c r="K24" s="547"/>
      <c r="L24" s="533"/>
      <c r="M24" s="534"/>
      <c r="N24" s="535"/>
      <c r="O24" s="519"/>
      <c r="P24" s="520"/>
      <c r="Q24" s="521"/>
      <c r="R24" s="519"/>
      <c r="S24" s="520"/>
      <c r="T24" s="521"/>
    </row>
    <row r="25" spans="1:23" ht="14.95" customHeight="1" thickBot="1" x14ac:dyDescent="0.3">
      <c r="A25" s="40" t="s">
        <v>183</v>
      </c>
      <c r="B25" s="291">
        <v>0</v>
      </c>
      <c r="C25" s="384">
        <v>0</v>
      </c>
      <c r="D25" s="42">
        <v>0</v>
      </c>
      <c r="E25" s="41">
        <f t="shared" si="0"/>
        <v>0</v>
      </c>
      <c r="F25" s="287" t="s">
        <v>183</v>
      </c>
      <c r="G25" s="281">
        <v>0</v>
      </c>
      <c r="H25" s="149">
        <v>0</v>
      </c>
      <c r="I25" s="369">
        <v>0</v>
      </c>
      <c r="J25" s="178">
        <f t="shared" si="1"/>
        <v>0</v>
      </c>
      <c r="K25" s="221"/>
      <c r="L25" s="29" t="s">
        <v>17</v>
      </c>
      <c r="M25" s="29" t="s">
        <v>5</v>
      </c>
      <c r="N25" s="29" t="s">
        <v>6</v>
      </c>
      <c r="O25" s="59" t="s">
        <v>17</v>
      </c>
      <c r="P25" s="59" t="s">
        <v>5</v>
      </c>
      <c r="Q25" s="59" t="s">
        <v>6</v>
      </c>
      <c r="R25" s="59" t="s">
        <v>17</v>
      </c>
      <c r="S25" s="59" t="s">
        <v>5</v>
      </c>
      <c r="T25" s="59" t="s">
        <v>6</v>
      </c>
    </row>
    <row r="26" spans="1:23" ht="14.95" customHeight="1" thickBot="1" x14ac:dyDescent="0.3">
      <c r="A26" s="40" t="s">
        <v>185</v>
      </c>
      <c r="B26" s="291">
        <v>0</v>
      </c>
      <c r="C26" s="384">
        <v>0</v>
      </c>
      <c r="D26" s="42">
        <v>0</v>
      </c>
      <c r="E26" s="41">
        <f t="shared" si="0"/>
        <v>0</v>
      </c>
      <c r="F26" s="287" t="s">
        <v>185</v>
      </c>
      <c r="G26" s="281">
        <v>0</v>
      </c>
      <c r="H26" s="149">
        <v>0</v>
      </c>
      <c r="I26" s="369">
        <v>0</v>
      </c>
      <c r="J26" s="178">
        <f t="shared" si="1"/>
        <v>0</v>
      </c>
      <c r="K26" s="108" t="s">
        <v>180</v>
      </c>
      <c r="L26" s="41" t="s">
        <v>8</v>
      </c>
      <c r="M26" s="41" t="s">
        <v>8</v>
      </c>
      <c r="N26" s="43" t="s">
        <v>8</v>
      </c>
      <c r="O26" s="59">
        <v>2</v>
      </c>
      <c r="P26" s="59">
        <v>5</v>
      </c>
      <c r="Q26" s="117">
        <f>SUM(O26/P26)*100</f>
        <v>40</v>
      </c>
      <c r="R26" s="59">
        <v>4</v>
      </c>
      <c r="S26" s="59">
        <v>5</v>
      </c>
      <c r="T26" s="117">
        <f>SUM(R26/S26)*100</f>
        <v>80</v>
      </c>
    </row>
    <row r="27" spans="1:23" ht="14.95" customHeight="1" thickBot="1" x14ac:dyDescent="0.3">
      <c r="A27" s="40" t="s">
        <v>930</v>
      </c>
      <c r="B27" s="291">
        <v>0</v>
      </c>
      <c r="C27" s="384">
        <v>0</v>
      </c>
      <c r="D27" s="42">
        <v>0</v>
      </c>
      <c r="E27" s="41">
        <f t="shared" si="0"/>
        <v>0</v>
      </c>
      <c r="F27" s="287" t="s">
        <v>930</v>
      </c>
      <c r="G27" s="281">
        <v>0</v>
      </c>
      <c r="H27" s="149">
        <v>0</v>
      </c>
      <c r="I27" s="369">
        <v>0</v>
      </c>
      <c r="J27" s="178">
        <f t="shared" si="1"/>
        <v>0</v>
      </c>
      <c r="K27" s="108" t="s">
        <v>4</v>
      </c>
      <c r="L27" s="41" t="s">
        <v>8</v>
      </c>
      <c r="M27" s="41" t="s">
        <v>8</v>
      </c>
      <c r="N27" s="43" t="s">
        <v>8</v>
      </c>
      <c r="O27" s="59" t="s">
        <v>8</v>
      </c>
      <c r="P27" s="59" t="s">
        <v>8</v>
      </c>
      <c r="Q27" s="117" t="s">
        <v>8</v>
      </c>
      <c r="R27" s="59">
        <v>0</v>
      </c>
      <c r="S27" s="59">
        <v>1</v>
      </c>
      <c r="T27" s="117">
        <f>SUM(R27/S27)*100</f>
        <v>0</v>
      </c>
    </row>
    <row r="28" spans="1:23" ht="14.95" customHeight="1" thickBot="1" x14ac:dyDescent="0.3">
      <c r="A28" s="40" t="s">
        <v>186</v>
      </c>
      <c r="B28" s="291">
        <v>0</v>
      </c>
      <c r="C28" s="384">
        <v>0</v>
      </c>
      <c r="D28" s="42">
        <v>0</v>
      </c>
      <c r="E28" s="41">
        <f t="shared" si="0"/>
        <v>0</v>
      </c>
      <c r="F28" s="287" t="s">
        <v>186</v>
      </c>
      <c r="G28" s="281">
        <v>0</v>
      </c>
      <c r="H28" s="149">
        <v>0</v>
      </c>
      <c r="I28" s="369">
        <v>0</v>
      </c>
      <c r="J28" s="178">
        <f t="shared" si="1"/>
        <v>0</v>
      </c>
      <c r="K28" s="40" t="s">
        <v>190</v>
      </c>
      <c r="L28" s="41" t="s">
        <v>8</v>
      </c>
      <c r="M28" s="41" t="s">
        <v>8</v>
      </c>
      <c r="N28" s="43" t="s">
        <v>8</v>
      </c>
      <c r="O28" s="59" t="s">
        <v>8</v>
      </c>
      <c r="P28" s="59" t="s">
        <v>8</v>
      </c>
      <c r="Q28" s="117" t="s">
        <v>8</v>
      </c>
      <c r="R28" s="59">
        <v>1</v>
      </c>
      <c r="S28" s="59">
        <v>1</v>
      </c>
      <c r="T28" s="117">
        <f>SUM(R28/S28)*100</f>
        <v>100</v>
      </c>
    </row>
    <row r="29" spans="1:23" ht="14.95" customHeight="1" thickBot="1" x14ac:dyDescent="0.3">
      <c r="A29" s="40" t="s">
        <v>208</v>
      </c>
      <c r="B29" s="291">
        <v>1</v>
      </c>
      <c r="C29" s="384">
        <v>0</v>
      </c>
      <c r="D29" s="42">
        <v>0</v>
      </c>
      <c r="E29" s="41">
        <f t="shared" si="0"/>
        <v>1</v>
      </c>
      <c r="F29" s="287" t="s">
        <v>208</v>
      </c>
      <c r="G29" s="281">
        <v>7</v>
      </c>
      <c r="H29" s="149">
        <v>0</v>
      </c>
      <c r="I29" s="369">
        <v>0</v>
      </c>
      <c r="J29" s="178">
        <f t="shared" si="1"/>
        <v>7</v>
      </c>
    </row>
    <row r="30" spans="1:23" ht="14.95" customHeight="1" thickBot="1" x14ac:dyDescent="0.3">
      <c r="A30" s="40" t="s">
        <v>175</v>
      </c>
      <c r="B30" s="291">
        <v>0</v>
      </c>
      <c r="C30" s="384">
        <v>0</v>
      </c>
      <c r="D30" s="42">
        <v>0</v>
      </c>
      <c r="E30" s="41">
        <f t="shared" si="0"/>
        <v>0</v>
      </c>
      <c r="F30" s="287" t="s">
        <v>175</v>
      </c>
      <c r="G30" s="281">
        <v>0</v>
      </c>
      <c r="H30" s="149">
        <v>0</v>
      </c>
      <c r="I30" s="369">
        <v>0</v>
      </c>
      <c r="J30" s="178">
        <f t="shared" si="1"/>
        <v>0</v>
      </c>
    </row>
    <row r="31" spans="1:23" ht="14.95" customHeight="1" thickBot="1" x14ac:dyDescent="0.3">
      <c r="A31" s="40" t="s">
        <v>174</v>
      </c>
      <c r="B31" s="291">
        <v>0</v>
      </c>
      <c r="C31" s="384">
        <v>0</v>
      </c>
      <c r="D31" s="42">
        <v>0</v>
      </c>
      <c r="E31" s="41">
        <f t="shared" si="0"/>
        <v>0</v>
      </c>
      <c r="F31" s="287" t="s">
        <v>174</v>
      </c>
      <c r="G31" s="281">
        <v>0</v>
      </c>
      <c r="H31" s="149">
        <v>0</v>
      </c>
      <c r="I31" s="369">
        <v>0</v>
      </c>
      <c r="J31" s="178">
        <f t="shared" si="1"/>
        <v>0</v>
      </c>
    </row>
    <row r="32" spans="1:23" ht="14.95" customHeight="1" thickBot="1" x14ac:dyDescent="0.3">
      <c r="A32" s="40" t="s">
        <v>54</v>
      </c>
      <c r="B32" s="291">
        <v>0</v>
      </c>
      <c r="C32" s="384">
        <v>0</v>
      </c>
      <c r="D32" s="42">
        <v>0</v>
      </c>
      <c r="E32" s="41">
        <f t="shared" si="0"/>
        <v>0</v>
      </c>
      <c r="F32" s="287" t="s">
        <v>54</v>
      </c>
      <c r="G32" s="281">
        <v>0</v>
      </c>
      <c r="H32" s="149">
        <v>0</v>
      </c>
      <c r="I32" s="369">
        <v>0</v>
      </c>
      <c r="J32" s="178">
        <f t="shared" si="1"/>
        <v>0</v>
      </c>
    </row>
    <row r="33" spans="1:10" ht="14.95" customHeight="1" thickBot="1" x14ac:dyDescent="0.3">
      <c r="A33" s="40" t="s">
        <v>176</v>
      </c>
      <c r="B33" s="291">
        <v>0</v>
      </c>
      <c r="C33" s="384">
        <v>0</v>
      </c>
      <c r="D33" s="42">
        <v>0</v>
      </c>
      <c r="E33" s="41">
        <f t="shared" si="0"/>
        <v>0</v>
      </c>
      <c r="F33" s="287" t="s">
        <v>176</v>
      </c>
      <c r="G33" s="281">
        <v>0</v>
      </c>
      <c r="H33" s="149">
        <v>0</v>
      </c>
      <c r="I33" s="369">
        <v>0</v>
      </c>
      <c r="J33" s="178">
        <f t="shared" si="1"/>
        <v>0</v>
      </c>
    </row>
    <row r="34" spans="1:10" ht="14.95" customHeight="1" thickBot="1" x14ac:dyDescent="0.3">
      <c r="A34" s="40" t="s">
        <v>652</v>
      </c>
      <c r="B34" s="291">
        <v>0</v>
      </c>
      <c r="C34" s="384">
        <v>0</v>
      </c>
      <c r="D34" s="42">
        <v>0</v>
      </c>
      <c r="E34" s="41">
        <f t="shared" si="0"/>
        <v>0</v>
      </c>
      <c r="F34" s="287" t="s">
        <v>652</v>
      </c>
      <c r="G34" s="281">
        <v>0</v>
      </c>
      <c r="H34" s="149">
        <v>0</v>
      </c>
      <c r="I34" s="369">
        <v>0</v>
      </c>
      <c r="J34" s="178">
        <f t="shared" si="1"/>
        <v>0</v>
      </c>
    </row>
    <row r="35" spans="1:10" ht="14.95" customHeight="1" thickBot="1" x14ac:dyDescent="0.3">
      <c r="A35" s="40" t="s">
        <v>177</v>
      </c>
      <c r="B35" s="291">
        <v>0</v>
      </c>
      <c r="C35" s="384">
        <v>0</v>
      </c>
      <c r="D35" s="42">
        <v>0</v>
      </c>
      <c r="E35" s="41">
        <f t="shared" si="0"/>
        <v>0</v>
      </c>
      <c r="F35" s="287" t="s">
        <v>177</v>
      </c>
      <c r="G35" s="281">
        <v>0</v>
      </c>
      <c r="H35" s="149">
        <v>0</v>
      </c>
      <c r="I35" s="369">
        <v>0</v>
      </c>
      <c r="J35" s="178">
        <f t="shared" si="1"/>
        <v>0</v>
      </c>
    </row>
    <row r="36" spans="1:10" ht="14.95" thickBot="1" x14ac:dyDescent="0.3">
      <c r="A36" s="40" t="s">
        <v>66</v>
      </c>
      <c r="B36" s="291">
        <v>0</v>
      </c>
      <c r="C36" s="384">
        <v>0</v>
      </c>
      <c r="D36" s="42">
        <v>0</v>
      </c>
      <c r="E36" s="41">
        <f t="shared" si="0"/>
        <v>0</v>
      </c>
      <c r="F36" s="287" t="s">
        <v>66</v>
      </c>
      <c r="G36" s="281">
        <v>0</v>
      </c>
      <c r="H36" s="149">
        <v>0</v>
      </c>
      <c r="I36" s="369">
        <v>0</v>
      </c>
      <c r="J36" s="178">
        <f t="shared" si="1"/>
        <v>0</v>
      </c>
    </row>
    <row r="37" spans="1:10" ht="14.95" thickBot="1" x14ac:dyDescent="0.3">
      <c r="A37" s="40" t="s">
        <v>178</v>
      </c>
      <c r="B37" s="291">
        <v>0</v>
      </c>
      <c r="C37" s="384">
        <v>0</v>
      </c>
      <c r="D37" s="42">
        <v>0</v>
      </c>
      <c r="E37" s="41">
        <f t="shared" si="0"/>
        <v>0</v>
      </c>
      <c r="F37" s="287" t="s">
        <v>178</v>
      </c>
      <c r="G37" s="281">
        <v>0</v>
      </c>
      <c r="H37" s="149">
        <v>0</v>
      </c>
      <c r="I37" s="369">
        <v>0</v>
      </c>
      <c r="J37" s="178">
        <f t="shared" si="1"/>
        <v>0</v>
      </c>
    </row>
    <row r="38" spans="1:10" ht="14.95" thickBot="1" x14ac:dyDescent="0.3">
      <c r="A38" s="40" t="s">
        <v>188</v>
      </c>
      <c r="B38" s="291">
        <v>0</v>
      </c>
      <c r="C38" s="384">
        <v>0</v>
      </c>
      <c r="D38" s="42">
        <v>0</v>
      </c>
      <c r="E38" s="41">
        <f t="shared" si="0"/>
        <v>0</v>
      </c>
      <c r="F38" s="287" t="s">
        <v>188</v>
      </c>
      <c r="G38" s="281">
        <v>0</v>
      </c>
      <c r="H38" s="149">
        <v>0</v>
      </c>
      <c r="I38" s="369">
        <v>0</v>
      </c>
      <c r="J38" s="178">
        <f t="shared" si="1"/>
        <v>0</v>
      </c>
    </row>
    <row r="39" spans="1:10" ht="14.95" thickBot="1" x14ac:dyDescent="0.3">
      <c r="A39" s="40" t="s">
        <v>187</v>
      </c>
      <c r="B39" s="291">
        <v>0</v>
      </c>
      <c r="C39" s="384">
        <v>0</v>
      </c>
      <c r="D39" s="42">
        <v>0</v>
      </c>
      <c r="E39" s="41">
        <f t="shared" si="0"/>
        <v>0</v>
      </c>
      <c r="F39" s="287" t="s">
        <v>187</v>
      </c>
      <c r="G39" s="281">
        <v>0</v>
      </c>
      <c r="H39" s="149">
        <v>0</v>
      </c>
      <c r="I39" s="369">
        <v>0</v>
      </c>
      <c r="J39" s="178">
        <f t="shared" si="1"/>
        <v>0</v>
      </c>
    </row>
    <row r="40" spans="1:10" ht="14.95" thickBot="1" x14ac:dyDescent="0.3">
      <c r="A40" s="40" t="s">
        <v>189</v>
      </c>
      <c r="B40" s="291">
        <v>0</v>
      </c>
      <c r="C40" s="384">
        <v>0</v>
      </c>
      <c r="D40" s="42">
        <v>0</v>
      </c>
      <c r="E40" s="41">
        <f t="shared" si="0"/>
        <v>0</v>
      </c>
      <c r="F40" s="287" t="s">
        <v>189</v>
      </c>
      <c r="G40" s="281">
        <v>0</v>
      </c>
      <c r="H40" s="149">
        <v>0</v>
      </c>
      <c r="I40" s="369">
        <v>0</v>
      </c>
      <c r="J40" s="178">
        <f t="shared" si="1"/>
        <v>0</v>
      </c>
    </row>
    <row r="41" spans="1:10" ht="14.95" thickBot="1" x14ac:dyDescent="0.3">
      <c r="A41" s="40" t="s">
        <v>18</v>
      </c>
      <c r="B41" s="291">
        <v>0</v>
      </c>
      <c r="C41" s="384">
        <v>0</v>
      </c>
      <c r="D41" s="42">
        <v>0</v>
      </c>
      <c r="E41" s="41">
        <f t="shared" si="0"/>
        <v>0</v>
      </c>
      <c r="F41" s="287" t="s">
        <v>18</v>
      </c>
      <c r="G41" s="281">
        <v>0</v>
      </c>
      <c r="H41" s="149">
        <v>0</v>
      </c>
      <c r="I41" s="369">
        <v>0</v>
      </c>
      <c r="J41" s="178">
        <f t="shared" si="1"/>
        <v>0</v>
      </c>
    </row>
    <row r="42" spans="1:10" ht="14.95" thickBot="1" x14ac:dyDescent="0.3">
      <c r="A42" s="40" t="s">
        <v>179</v>
      </c>
      <c r="B42" s="291">
        <v>1</v>
      </c>
      <c r="C42" s="384">
        <v>0</v>
      </c>
      <c r="D42" s="42">
        <v>0</v>
      </c>
      <c r="E42" s="41">
        <f t="shared" si="0"/>
        <v>1</v>
      </c>
      <c r="F42" s="287" t="s">
        <v>179</v>
      </c>
      <c r="G42" s="281">
        <v>5</v>
      </c>
      <c r="H42" s="149">
        <v>0</v>
      </c>
      <c r="I42" s="369">
        <v>0</v>
      </c>
      <c r="J42" s="178">
        <f t="shared" si="1"/>
        <v>5</v>
      </c>
    </row>
    <row r="43" spans="1:10" ht="14.95" thickBot="1" x14ac:dyDescent="0.3">
      <c r="A43" s="40" t="s">
        <v>645</v>
      </c>
      <c r="B43" s="291">
        <v>0</v>
      </c>
      <c r="C43" s="384">
        <v>0</v>
      </c>
      <c r="D43" s="42">
        <v>0</v>
      </c>
      <c r="E43" s="41">
        <f t="shared" si="0"/>
        <v>0</v>
      </c>
      <c r="F43" s="287" t="s">
        <v>645</v>
      </c>
      <c r="G43" s="281">
        <v>0</v>
      </c>
      <c r="H43" s="149">
        <v>0</v>
      </c>
      <c r="I43" s="369">
        <v>0</v>
      </c>
      <c r="J43" s="178">
        <f t="shared" si="1"/>
        <v>0</v>
      </c>
    </row>
    <row r="44" spans="1:10" ht="14.95" thickBot="1" x14ac:dyDescent="0.3">
      <c r="A44" s="40" t="s">
        <v>344</v>
      </c>
      <c r="B44" s="291">
        <v>1</v>
      </c>
      <c r="C44" s="384">
        <v>0</v>
      </c>
      <c r="D44" s="42">
        <v>0</v>
      </c>
      <c r="E44" s="41">
        <f t="shared" si="0"/>
        <v>1</v>
      </c>
      <c r="F44" s="292" t="s">
        <v>344</v>
      </c>
      <c r="G44" s="281">
        <v>5</v>
      </c>
      <c r="H44" s="149">
        <v>0</v>
      </c>
      <c r="I44" s="369">
        <v>0</v>
      </c>
      <c r="J44" s="178">
        <f t="shared" si="1"/>
        <v>5</v>
      </c>
    </row>
    <row r="45" spans="1:10" ht="14.95" thickBot="1" x14ac:dyDescent="0.3">
      <c r="A45" s="40" t="s">
        <v>3</v>
      </c>
      <c r="B45" s="291">
        <f>SUM(B3:B44)</f>
        <v>4</v>
      </c>
      <c r="C45" s="384">
        <f>SUM(C3:C44)</f>
        <v>0</v>
      </c>
      <c r="D45" s="42">
        <f>SUM(D3:D44)</f>
        <v>0</v>
      </c>
      <c r="E45" s="41">
        <f t="shared" si="0"/>
        <v>4</v>
      </c>
      <c r="F45" s="292" t="s">
        <v>3</v>
      </c>
      <c r="G45" s="281">
        <f>SUM(G3:G44)</f>
        <v>26</v>
      </c>
      <c r="H45" s="149">
        <f>SUM(H3:H44)</f>
        <v>0</v>
      </c>
      <c r="I45" s="369">
        <f>SUM(I3:I44)</f>
        <v>0</v>
      </c>
      <c r="J45" s="178">
        <f t="shared" si="1"/>
        <v>26</v>
      </c>
    </row>
    <row r="46" spans="1:10" x14ac:dyDescent="0.25">
      <c r="B46" s="10"/>
      <c r="C46" s="10"/>
      <c r="F46" s="7"/>
      <c r="G46" s="11"/>
      <c r="H46" s="11"/>
      <c r="I46" s="7"/>
    </row>
    <row r="47" spans="1:10" ht="14.95" customHeight="1" thickBot="1" x14ac:dyDescent="0.3">
      <c r="A47" t="s">
        <v>7</v>
      </c>
      <c r="B47" s="10"/>
      <c r="C47" s="10"/>
      <c r="F47" s="6"/>
      <c r="G47" s="5"/>
      <c r="H47" s="5"/>
      <c r="I47" s="6"/>
      <c r="J47" s="6"/>
    </row>
    <row r="48" spans="1:10" ht="14.95" thickBot="1" x14ac:dyDescent="0.3">
      <c r="A48" s="73" t="s">
        <v>0</v>
      </c>
      <c r="B48" s="290" t="s">
        <v>14</v>
      </c>
      <c r="C48" s="305" t="s">
        <v>720</v>
      </c>
      <c r="D48" s="88" t="s">
        <v>11</v>
      </c>
      <c r="E48" s="74" t="s">
        <v>1</v>
      </c>
      <c r="F48" s="286" t="s">
        <v>2</v>
      </c>
      <c r="G48" s="280" t="s">
        <v>14</v>
      </c>
      <c r="H48" s="148" t="s">
        <v>720</v>
      </c>
      <c r="I48" s="368" t="s">
        <v>11</v>
      </c>
      <c r="J48" s="177" t="s">
        <v>1</v>
      </c>
    </row>
    <row r="49" spans="1:10" ht="14.95" thickBot="1" x14ac:dyDescent="0.3">
      <c r="A49" s="40" t="s">
        <v>172</v>
      </c>
      <c r="B49" s="291">
        <v>1</v>
      </c>
      <c r="C49" s="384">
        <v>0</v>
      </c>
      <c r="D49" s="42">
        <v>0</v>
      </c>
      <c r="E49" s="41">
        <f t="shared" ref="E49:E90" si="5">SUM(B49:D49)</f>
        <v>1</v>
      </c>
      <c r="F49" s="287" t="s">
        <v>208</v>
      </c>
      <c r="G49" s="281">
        <v>7</v>
      </c>
      <c r="H49" s="149">
        <v>0</v>
      </c>
      <c r="I49" s="369">
        <v>0</v>
      </c>
      <c r="J49" s="178">
        <f t="shared" ref="J49:J90" si="6">SUM(G49:I49)</f>
        <v>7</v>
      </c>
    </row>
    <row r="50" spans="1:10" ht="14.95" thickBot="1" x14ac:dyDescent="0.3">
      <c r="A50" s="40" t="s">
        <v>208</v>
      </c>
      <c r="B50" s="291">
        <v>1</v>
      </c>
      <c r="C50" s="384">
        <v>0</v>
      </c>
      <c r="D50" s="42">
        <v>0</v>
      </c>
      <c r="E50" s="41">
        <f t="shared" si="5"/>
        <v>1</v>
      </c>
      <c r="F50" s="287" t="s">
        <v>172</v>
      </c>
      <c r="G50" s="281">
        <v>5</v>
      </c>
      <c r="H50" s="149">
        <v>0</v>
      </c>
      <c r="I50" s="369">
        <v>0</v>
      </c>
      <c r="J50" s="178">
        <f t="shared" si="6"/>
        <v>5</v>
      </c>
    </row>
    <row r="51" spans="1:10" ht="14.95" thickBot="1" x14ac:dyDescent="0.3">
      <c r="A51" s="40" t="s">
        <v>179</v>
      </c>
      <c r="B51" s="291">
        <v>1</v>
      </c>
      <c r="C51" s="384">
        <v>0</v>
      </c>
      <c r="D51" s="42">
        <v>0</v>
      </c>
      <c r="E51" s="41">
        <f t="shared" si="5"/>
        <v>1</v>
      </c>
      <c r="F51" s="287" t="s">
        <v>179</v>
      </c>
      <c r="G51" s="281">
        <v>5</v>
      </c>
      <c r="H51" s="149">
        <v>0</v>
      </c>
      <c r="I51" s="369">
        <v>0</v>
      </c>
      <c r="J51" s="178">
        <f t="shared" si="6"/>
        <v>5</v>
      </c>
    </row>
    <row r="52" spans="1:10" ht="14.95" thickBot="1" x14ac:dyDescent="0.3">
      <c r="A52" s="40" t="s">
        <v>344</v>
      </c>
      <c r="B52" s="291">
        <v>1</v>
      </c>
      <c r="C52" s="384">
        <v>0</v>
      </c>
      <c r="D52" s="42">
        <v>0</v>
      </c>
      <c r="E52" s="41">
        <f t="shared" si="5"/>
        <v>1</v>
      </c>
      <c r="F52" s="287" t="s">
        <v>344</v>
      </c>
      <c r="G52" s="281">
        <v>5</v>
      </c>
      <c r="H52" s="149">
        <v>0</v>
      </c>
      <c r="I52" s="369">
        <v>0</v>
      </c>
      <c r="J52" s="178">
        <f t="shared" si="6"/>
        <v>5</v>
      </c>
    </row>
    <row r="53" spans="1:10" ht="14.95" thickBot="1" x14ac:dyDescent="0.3">
      <c r="A53" s="40" t="s">
        <v>180</v>
      </c>
      <c r="B53" s="291">
        <v>0</v>
      </c>
      <c r="C53" s="384">
        <v>0</v>
      </c>
      <c r="D53" s="42">
        <v>0</v>
      </c>
      <c r="E53" s="41">
        <f t="shared" si="5"/>
        <v>0</v>
      </c>
      <c r="F53" s="287" t="s">
        <v>180</v>
      </c>
      <c r="G53" s="281">
        <v>2</v>
      </c>
      <c r="H53" s="149">
        <v>0</v>
      </c>
      <c r="I53" s="369">
        <v>0</v>
      </c>
      <c r="J53" s="178">
        <f t="shared" si="6"/>
        <v>2</v>
      </c>
    </row>
    <row r="54" spans="1:10" ht="14.95" thickBot="1" x14ac:dyDescent="0.3">
      <c r="A54" s="40" t="s">
        <v>700</v>
      </c>
      <c r="B54" s="291">
        <v>0</v>
      </c>
      <c r="C54" s="384">
        <v>0</v>
      </c>
      <c r="D54" s="42">
        <v>0</v>
      </c>
      <c r="E54" s="41">
        <f t="shared" si="5"/>
        <v>0</v>
      </c>
      <c r="F54" s="287" t="s">
        <v>4</v>
      </c>
      <c r="G54" s="281">
        <v>2</v>
      </c>
      <c r="H54" s="149">
        <v>0</v>
      </c>
      <c r="I54" s="369">
        <v>0</v>
      </c>
      <c r="J54" s="178">
        <f t="shared" si="6"/>
        <v>2</v>
      </c>
    </row>
    <row r="55" spans="1:10" ht="14.95" thickBot="1" x14ac:dyDescent="0.3">
      <c r="A55" s="40" t="s">
        <v>166</v>
      </c>
      <c r="B55" s="291">
        <v>0</v>
      </c>
      <c r="C55" s="384">
        <v>0</v>
      </c>
      <c r="D55" s="42">
        <v>0</v>
      </c>
      <c r="E55" s="41">
        <f t="shared" si="5"/>
        <v>0</v>
      </c>
      <c r="F55" s="287" t="s">
        <v>700</v>
      </c>
      <c r="G55" s="281">
        <v>0</v>
      </c>
      <c r="H55" s="149">
        <v>0</v>
      </c>
      <c r="I55" s="369">
        <v>0</v>
      </c>
      <c r="J55" s="178">
        <f t="shared" si="6"/>
        <v>0</v>
      </c>
    </row>
    <row r="56" spans="1:10" ht="14.95" thickBot="1" x14ac:dyDescent="0.3">
      <c r="A56" s="40" t="s">
        <v>631</v>
      </c>
      <c r="B56" s="291">
        <v>0</v>
      </c>
      <c r="C56" s="384">
        <v>0</v>
      </c>
      <c r="D56" s="42">
        <v>0</v>
      </c>
      <c r="E56" s="41">
        <f t="shared" si="5"/>
        <v>0</v>
      </c>
      <c r="F56" s="287" t="s">
        <v>166</v>
      </c>
      <c r="G56" s="281">
        <v>0</v>
      </c>
      <c r="H56" s="149">
        <v>0</v>
      </c>
      <c r="I56" s="369">
        <v>0</v>
      </c>
      <c r="J56" s="178">
        <f t="shared" si="6"/>
        <v>0</v>
      </c>
    </row>
    <row r="57" spans="1:10" ht="14.95" thickBot="1" x14ac:dyDescent="0.3">
      <c r="A57" s="40" t="s">
        <v>745</v>
      </c>
      <c r="B57" s="291">
        <v>0</v>
      </c>
      <c r="C57" s="384">
        <v>0</v>
      </c>
      <c r="D57" s="42">
        <v>0</v>
      </c>
      <c r="E57" s="41">
        <f t="shared" si="5"/>
        <v>0</v>
      </c>
      <c r="F57" s="287" t="s">
        <v>631</v>
      </c>
      <c r="G57" s="281">
        <v>0</v>
      </c>
      <c r="H57" s="149">
        <v>0</v>
      </c>
      <c r="I57" s="369">
        <v>0</v>
      </c>
      <c r="J57" s="178">
        <f t="shared" si="6"/>
        <v>0</v>
      </c>
    </row>
    <row r="58" spans="1:10" ht="14.95" thickBot="1" x14ac:dyDescent="0.3">
      <c r="A58" s="40" t="s">
        <v>867</v>
      </c>
      <c r="B58" s="291">
        <v>0</v>
      </c>
      <c r="C58" s="384">
        <v>0</v>
      </c>
      <c r="D58" s="42">
        <v>0</v>
      </c>
      <c r="E58" s="41">
        <f t="shared" si="5"/>
        <v>0</v>
      </c>
      <c r="F58" s="287" t="s">
        <v>745</v>
      </c>
      <c r="G58" s="281">
        <v>0</v>
      </c>
      <c r="H58" s="149">
        <v>0</v>
      </c>
      <c r="I58" s="369">
        <v>0</v>
      </c>
      <c r="J58" s="178">
        <f t="shared" si="6"/>
        <v>0</v>
      </c>
    </row>
    <row r="59" spans="1:10" ht="14.95" thickBot="1" x14ac:dyDescent="0.3">
      <c r="A59" s="40" t="s">
        <v>149</v>
      </c>
      <c r="B59" s="291">
        <v>0</v>
      </c>
      <c r="C59" s="384">
        <v>0</v>
      </c>
      <c r="D59" s="42">
        <v>0</v>
      </c>
      <c r="E59" s="41">
        <f t="shared" si="5"/>
        <v>0</v>
      </c>
      <c r="F59" s="287" t="s">
        <v>867</v>
      </c>
      <c r="G59" s="281">
        <v>0</v>
      </c>
      <c r="H59" s="149">
        <v>0</v>
      </c>
      <c r="I59" s="369">
        <v>0</v>
      </c>
      <c r="J59" s="178">
        <f t="shared" si="6"/>
        <v>0</v>
      </c>
    </row>
    <row r="60" spans="1:10" ht="14.95" thickBot="1" x14ac:dyDescent="0.3">
      <c r="A60" s="40" t="s">
        <v>167</v>
      </c>
      <c r="B60" s="291">
        <v>0</v>
      </c>
      <c r="C60" s="384">
        <v>0</v>
      </c>
      <c r="D60" s="42">
        <v>0</v>
      </c>
      <c r="E60" s="41">
        <f t="shared" si="5"/>
        <v>0</v>
      </c>
      <c r="F60" s="287" t="s">
        <v>149</v>
      </c>
      <c r="G60" s="281">
        <v>0</v>
      </c>
      <c r="H60" s="149">
        <v>0</v>
      </c>
      <c r="I60" s="369">
        <v>0</v>
      </c>
      <c r="J60" s="178">
        <f t="shared" si="6"/>
        <v>0</v>
      </c>
    </row>
    <row r="61" spans="1:10" ht="14.95" thickBot="1" x14ac:dyDescent="0.3">
      <c r="A61" s="40" t="s">
        <v>4</v>
      </c>
      <c r="B61" s="291">
        <v>0</v>
      </c>
      <c r="C61" s="384">
        <v>0</v>
      </c>
      <c r="D61" s="42">
        <v>0</v>
      </c>
      <c r="E61" s="41">
        <f t="shared" si="5"/>
        <v>0</v>
      </c>
      <c r="F61" s="287" t="s">
        <v>167</v>
      </c>
      <c r="G61" s="281">
        <v>0</v>
      </c>
      <c r="H61" s="149">
        <v>0</v>
      </c>
      <c r="I61" s="369">
        <v>0</v>
      </c>
      <c r="J61" s="178">
        <f t="shared" si="6"/>
        <v>0</v>
      </c>
    </row>
    <row r="62" spans="1:10" ht="14.95" thickBot="1" x14ac:dyDescent="0.3">
      <c r="A62" s="40" t="s">
        <v>168</v>
      </c>
      <c r="B62" s="291">
        <v>0</v>
      </c>
      <c r="C62" s="384">
        <v>0</v>
      </c>
      <c r="D62" s="42">
        <v>0</v>
      </c>
      <c r="E62" s="41">
        <f t="shared" si="5"/>
        <v>0</v>
      </c>
      <c r="F62" s="287" t="s">
        <v>168</v>
      </c>
      <c r="G62" s="281">
        <v>0</v>
      </c>
      <c r="H62" s="149">
        <v>0</v>
      </c>
      <c r="I62" s="369">
        <v>0</v>
      </c>
      <c r="J62" s="178">
        <f t="shared" si="6"/>
        <v>0</v>
      </c>
    </row>
    <row r="63" spans="1:10" ht="14.95" thickBot="1" x14ac:dyDescent="0.3">
      <c r="A63" s="40" t="s">
        <v>169</v>
      </c>
      <c r="B63" s="291">
        <v>0</v>
      </c>
      <c r="C63" s="384">
        <v>0</v>
      </c>
      <c r="D63" s="42">
        <v>0</v>
      </c>
      <c r="E63" s="41">
        <f t="shared" si="5"/>
        <v>0</v>
      </c>
      <c r="F63" s="287" t="s">
        <v>169</v>
      </c>
      <c r="G63" s="281">
        <v>0</v>
      </c>
      <c r="H63" s="149">
        <v>0</v>
      </c>
      <c r="I63" s="369">
        <v>0</v>
      </c>
      <c r="J63" s="178">
        <f t="shared" si="6"/>
        <v>0</v>
      </c>
    </row>
    <row r="64" spans="1:10" ht="14.95" thickBot="1" x14ac:dyDescent="0.3">
      <c r="A64" s="40" t="s">
        <v>181</v>
      </c>
      <c r="B64" s="291">
        <v>0</v>
      </c>
      <c r="C64" s="384">
        <v>0</v>
      </c>
      <c r="D64" s="42">
        <v>0</v>
      </c>
      <c r="E64" s="41">
        <f t="shared" si="5"/>
        <v>0</v>
      </c>
      <c r="F64" s="287" t="s">
        <v>181</v>
      </c>
      <c r="G64" s="281">
        <v>0</v>
      </c>
      <c r="H64" s="149">
        <v>0</v>
      </c>
      <c r="I64" s="369">
        <v>0</v>
      </c>
      <c r="J64" s="178">
        <f t="shared" si="6"/>
        <v>0</v>
      </c>
    </row>
    <row r="65" spans="1:10" ht="14.95" thickBot="1" x14ac:dyDescent="0.3">
      <c r="A65" s="40" t="s">
        <v>632</v>
      </c>
      <c r="B65" s="291">
        <v>0</v>
      </c>
      <c r="C65" s="384">
        <v>0</v>
      </c>
      <c r="D65" s="42">
        <v>0</v>
      </c>
      <c r="E65" s="41">
        <f t="shared" si="5"/>
        <v>0</v>
      </c>
      <c r="F65" s="287" t="s">
        <v>632</v>
      </c>
      <c r="G65" s="281">
        <v>0</v>
      </c>
      <c r="H65" s="149">
        <v>0</v>
      </c>
      <c r="I65" s="369">
        <v>0</v>
      </c>
      <c r="J65" s="178">
        <f t="shared" si="6"/>
        <v>0</v>
      </c>
    </row>
    <row r="66" spans="1:10" ht="14.95" thickBot="1" x14ac:dyDescent="0.3">
      <c r="A66" s="40" t="s">
        <v>587</v>
      </c>
      <c r="B66" s="291">
        <v>0</v>
      </c>
      <c r="C66" s="384">
        <v>0</v>
      </c>
      <c r="D66" s="42">
        <v>0</v>
      </c>
      <c r="E66" s="41">
        <f t="shared" si="5"/>
        <v>0</v>
      </c>
      <c r="F66" s="287" t="s">
        <v>587</v>
      </c>
      <c r="G66" s="281">
        <v>0</v>
      </c>
      <c r="H66" s="149">
        <v>0</v>
      </c>
      <c r="I66" s="369">
        <v>0</v>
      </c>
      <c r="J66" s="178">
        <f t="shared" si="6"/>
        <v>0</v>
      </c>
    </row>
    <row r="67" spans="1:10" ht="14.95" thickBot="1" x14ac:dyDescent="0.3">
      <c r="A67" s="40" t="s">
        <v>170</v>
      </c>
      <c r="B67" s="291">
        <v>0</v>
      </c>
      <c r="C67" s="384">
        <v>0</v>
      </c>
      <c r="D67" s="42">
        <v>0</v>
      </c>
      <c r="E67" s="41">
        <f t="shared" si="5"/>
        <v>0</v>
      </c>
      <c r="F67" s="287" t="s">
        <v>170</v>
      </c>
      <c r="G67" s="281">
        <v>0</v>
      </c>
      <c r="H67" s="149">
        <v>0</v>
      </c>
      <c r="I67" s="369">
        <v>0</v>
      </c>
      <c r="J67" s="178">
        <f t="shared" si="6"/>
        <v>0</v>
      </c>
    </row>
    <row r="68" spans="1:10" ht="14.95" thickBot="1" x14ac:dyDescent="0.3">
      <c r="A68" s="40" t="s">
        <v>171</v>
      </c>
      <c r="B68" s="291">
        <v>0</v>
      </c>
      <c r="C68" s="384">
        <v>0</v>
      </c>
      <c r="D68" s="42">
        <v>0</v>
      </c>
      <c r="E68" s="41">
        <f t="shared" si="5"/>
        <v>0</v>
      </c>
      <c r="F68" s="287" t="s">
        <v>171</v>
      </c>
      <c r="G68" s="281">
        <v>0</v>
      </c>
      <c r="H68" s="149">
        <v>0</v>
      </c>
      <c r="I68" s="369">
        <v>0</v>
      </c>
      <c r="J68" s="178">
        <f t="shared" si="6"/>
        <v>0</v>
      </c>
    </row>
    <row r="69" spans="1:10" ht="14.95" thickBot="1" x14ac:dyDescent="0.3">
      <c r="A69" s="40" t="s">
        <v>873</v>
      </c>
      <c r="B69" s="291">
        <v>0</v>
      </c>
      <c r="C69" s="384">
        <v>0</v>
      </c>
      <c r="D69" s="42">
        <v>0</v>
      </c>
      <c r="E69" s="41">
        <f t="shared" si="5"/>
        <v>0</v>
      </c>
      <c r="F69" s="287" t="s">
        <v>873</v>
      </c>
      <c r="G69" s="281">
        <v>0</v>
      </c>
      <c r="H69" s="149">
        <v>0</v>
      </c>
      <c r="I69" s="369">
        <v>0</v>
      </c>
      <c r="J69" s="178">
        <f t="shared" si="6"/>
        <v>0</v>
      </c>
    </row>
    <row r="70" spans="1:10" ht="14.95" thickBot="1" x14ac:dyDescent="0.3">
      <c r="A70" s="40" t="s">
        <v>651</v>
      </c>
      <c r="B70" s="291">
        <v>0</v>
      </c>
      <c r="C70" s="384">
        <v>0</v>
      </c>
      <c r="D70" s="42">
        <v>0</v>
      </c>
      <c r="E70" s="41">
        <f t="shared" si="5"/>
        <v>0</v>
      </c>
      <c r="F70" s="287" t="s">
        <v>651</v>
      </c>
      <c r="G70" s="281">
        <v>0</v>
      </c>
      <c r="H70" s="149">
        <v>0</v>
      </c>
      <c r="I70" s="369">
        <v>0</v>
      </c>
      <c r="J70" s="178">
        <f t="shared" si="6"/>
        <v>0</v>
      </c>
    </row>
    <row r="71" spans="1:10" ht="14.95" thickBot="1" x14ac:dyDescent="0.3">
      <c r="A71" s="40" t="s">
        <v>182</v>
      </c>
      <c r="B71" s="291">
        <v>0</v>
      </c>
      <c r="C71" s="384">
        <v>0</v>
      </c>
      <c r="D71" s="42">
        <v>0</v>
      </c>
      <c r="E71" s="41">
        <f t="shared" si="5"/>
        <v>0</v>
      </c>
      <c r="F71" s="287" t="s">
        <v>182</v>
      </c>
      <c r="G71" s="281">
        <v>0</v>
      </c>
      <c r="H71" s="149">
        <v>0</v>
      </c>
      <c r="I71" s="369">
        <v>0</v>
      </c>
      <c r="J71" s="178">
        <f t="shared" si="6"/>
        <v>0</v>
      </c>
    </row>
    <row r="72" spans="1:10" ht="14.95" thickBot="1" x14ac:dyDescent="0.3">
      <c r="A72" s="40" t="s">
        <v>184</v>
      </c>
      <c r="B72" s="291">
        <v>0</v>
      </c>
      <c r="C72" s="384">
        <v>0</v>
      </c>
      <c r="D72" s="42">
        <v>0</v>
      </c>
      <c r="E72" s="41">
        <f t="shared" si="5"/>
        <v>0</v>
      </c>
      <c r="F72" s="287" t="s">
        <v>184</v>
      </c>
      <c r="G72" s="281">
        <v>0</v>
      </c>
      <c r="H72" s="149">
        <v>0</v>
      </c>
      <c r="I72" s="369">
        <v>0</v>
      </c>
      <c r="J72" s="178">
        <f t="shared" si="6"/>
        <v>0</v>
      </c>
    </row>
    <row r="73" spans="1:10" ht="14.95" thickBot="1" x14ac:dyDescent="0.3">
      <c r="A73" s="40" t="s">
        <v>173</v>
      </c>
      <c r="B73" s="291">
        <v>0</v>
      </c>
      <c r="C73" s="384">
        <v>0</v>
      </c>
      <c r="D73" s="42">
        <v>0</v>
      </c>
      <c r="E73" s="41">
        <f t="shared" si="5"/>
        <v>0</v>
      </c>
      <c r="F73" s="287" t="s">
        <v>173</v>
      </c>
      <c r="G73" s="281">
        <v>0</v>
      </c>
      <c r="H73" s="149">
        <v>0</v>
      </c>
      <c r="I73" s="369">
        <v>0</v>
      </c>
      <c r="J73" s="178">
        <f t="shared" si="6"/>
        <v>0</v>
      </c>
    </row>
    <row r="74" spans="1:10" ht="14.95" thickBot="1" x14ac:dyDescent="0.3">
      <c r="A74" s="40" t="s">
        <v>183</v>
      </c>
      <c r="B74" s="291">
        <v>0</v>
      </c>
      <c r="C74" s="384">
        <v>0</v>
      </c>
      <c r="D74" s="42">
        <v>0</v>
      </c>
      <c r="E74" s="41">
        <f t="shared" si="5"/>
        <v>0</v>
      </c>
      <c r="F74" s="287" t="s">
        <v>183</v>
      </c>
      <c r="G74" s="281">
        <v>0</v>
      </c>
      <c r="H74" s="149">
        <v>0</v>
      </c>
      <c r="I74" s="369">
        <v>0</v>
      </c>
      <c r="J74" s="178">
        <f t="shared" si="6"/>
        <v>0</v>
      </c>
    </row>
    <row r="75" spans="1:10" ht="14.95" thickBot="1" x14ac:dyDescent="0.3">
      <c r="A75" s="40" t="s">
        <v>185</v>
      </c>
      <c r="B75" s="291">
        <v>0</v>
      </c>
      <c r="C75" s="384">
        <v>0</v>
      </c>
      <c r="D75" s="42">
        <v>0</v>
      </c>
      <c r="E75" s="41">
        <f t="shared" si="5"/>
        <v>0</v>
      </c>
      <c r="F75" s="287" t="s">
        <v>185</v>
      </c>
      <c r="G75" s="281">
        <v>0</v>
      </c>
      <c r="H75" s="149">
        <v>0</v>
      </c>
      <c r="I75" s="369">
        <v>0</v>
      </c>
      <c r="J75" s="178">
        <f t="shared" si="6"/>
        <v>0</v>
      </c>
    </row>
    <row r="76" spans="1:10" ht="14.95" thickBot="1" x14ac:dyDescent="0.3">
      <c r="A76" s="40" t="s">
        <v>930</v>
      </c>
      <c r="B76" s="291">
        <v>0</v>
      </c>
      <c r="C76" s="384">
        <v>0</v>
      </c>
      <c r="D76" s="42">
        <v>0</v>
      </c>
      <c r="E76" s="41">
        <f t="shared" si="5"/>
        <v>0</v>
      </c>
      <c r="F76" s="287" t="s">
        <v>930</v>
      </c>
      <c r="G76" s="281">
        <v>0</v>
      </c>
      <c r="H76" s="149">
        <v>0</v>
      </c>
      <c r="I76" s="369">
        <v>0</v>
      </c>
      <c r="J76" s="178">
        <f t="shared" si="6"/>
        <v>0</v>
      </c>
    </row>
    <row r="77" spans="1:10" ht="14.95" thickBot="1" x14ac:dyDescent="0.3">
      <c r="A77" s="40" t="s">
        <v>186</v>
      </c>
      <c r="B77" s="291">
        <v>0</v>
      </c>
      <c r="C77" s="384">
        <v>0</v>
      </c>
      <c r="D77" s="42">
        <v>0</v>
      </c>
      <c r="E77" s="41">
        <f t="shared" si="5"/>
        <v>0</v>
      </c>
      <c r="F77" s="287" t="s">
        <v>186</v>
      </c>
      <c r="G77" s="281">
        <v>0</v>
      </c>
      <c r="H77" s="149">
        <v>0</v>
      </c>
      <c r="I77" s="369">
        <v>0</v>
      </c>
      <c r="J77" s="178">
        <f t="shared" si="6"/>
        <v>0</v>
      </c>
    </row>
    <row r="78" spans="1:10" ht="14.95" thickBot="1" x14ac:dyDescent="0.3">
      <c r="A78" s="40" t="s">
        <v>175</v>
      </c>
      <c r="B78" s="291">
        <v>0</v>
      </c>
      <c r="C78" s="384">
        <v>0</v>
      </c>
      <c r="D78" s="42">
        <v>0</v>
      </c>
      <c r="E78" s="41">
        <f t="shared" si="5"/>
        <v>0</v>
      </c>
      <c r="F78" s="287" t="s">
        <v>175</v>
      </c>
      <c r="G78" s="281">
        <v>0</v>
      </c>
      <c r="H78" s="149">
        <v>0</v>
      </c>
      <c r="I78" s="369">
        <v>0</v>
      </c>
      <c r="J78" s="178">
        <f t="shared" si="6"/>
        <v>0</v>
      </c>
    </row>
    <row r="79" spans="1:10" ht="14.95" thickBot="1" x14ac:dyDescent="0.3">
      <c r="A79" s="40" t="s">
        <v>174</v>
      </c>
      <c r="B79" s="291">
        <v>0</v>
      </c>
      <c r="C79" s="384">
        <v>0</v>
      </c>
      <c r="D79" s="42">
        <v>0</v>
      </c>
      <c r="E79" s="41">
        <f t="shared" si="5"/>
        <v>0</v>
      </c>
      <c r="F79" s="287" t="s">
        <v>174</v>
      </c>
      <c r="G79" s="281">
        <v>0</v>
      </c>
      <c r="H79" s="149">
        <v>0</v>
      </c>
      <c r="I79" s="369">
        <v>0</v>
      </c>
      <c r="J79" s="178">
        <f t="shared" si="6"/>
        <v>0</v>
      </c>
    </row>
    <row r="80" spans="1:10" ht="14.95" thickBot="1" x14ac:dyDescent="0.3">
      <c r="A80" s="40" t="s">
        <v>54</v>
      </c>
      <c r="B80" s="291">
        <v>0</v>
      </c>
      <c r="C80" s="384">
        <v>0</v>
      </c>
      <c r="D80" s="42">
        <v>0</v>
      </c>
      <c r="E80" s="41">
        <f t="shared" si="5"/>
        <v>0</v>
      </c>
      <c r="F80" s="287" t="s">
        <v>54</v>
      </c>
      <c r="G80" s="281">
        <v>0</v>
      </c>
      <c r="H80" s="149">
        <v>0</v>
      </c>
      <c r="I80" s="369">
        <v>0</v>
      </c>
      <c r="J80" s="178">
        <f t="shared" si="6"/>
        <v>0</v>
      </c>
    </row>
    <row r="81" spans="1:10" ht="14.95" thickBot="1" x14ac:dyDescent="0.3">
      <c r="A81" s="40" t="s">
        <v>176</v>
      </c>
      <c r="B81" s="291">
        <v>0</v>
      </c>
      <c r="C81" s="384">
        <v>0</v>
      </c>
      <c r="D81" s="42">
        <v>0</v>
      </c>
      <c r="E81" s="41">
        <f t="shared" si="5"/>
        <v>0</v>
      </c>
      <c r="F81" s="287" t="s">
        <v>176</v>
      </c>
      <c r="G81" s="281">
        <v>0</v>
      </c>
      <c r="H81" s="149">
        <v>0</v>
      </c>
      <c r="I81" s="369">
        <v>0</v>
      </c>
      <c r="J81" s="178">
        <f t="shared" si="6"/>
        <v>0</v>
      </c>
    </row>
    <row r="82" spans="1:10" ht="14.95" thickBot="1" x14ac:dyDescent="0.3">
      <c r="A82" s="40" t="s">
        <v>652</v>
      </c>
      <c r="B82" s="291">
        <v>0</v>
      </c>
      <c r="C82" s="384">
        <v>0</v>
      </c>
      <c r="D82" s="42">
        <v>0</v>
      </c>
      <c r="E82" s="41">
        <f t="shared" si="5"/>
        <v>0</v>
      </c>
      <c r="F82" s="287" t="s">
        <v>652</v>
      </c>
      <c r="G82" s="281">
        <v>0</v>
      </c>
      <c r="H82" s="149">
        <v>0</v>
      </c>
      <c r="I82" s="369">
        <v>0</v>
      </c>
      <c r="J82" s="178">
        <f t="shared" si="6"/>
        <v>0</v>
      </c>
    </row>
    <row r="83" spans="1:10" ht="14.95" thickBot="1" x14ac:dyDescent="0.3">
      <c r="A83" s="40" t="s">
        <v>177</v>
      </c>
      <c r="B83" s="291">
        <v>0</v>
      </c>
      <c r="C83" s="384">
        <v>0</v>
      </c>
      <c r="D83" s="42">
        <v>0</v>
      </c>
      <c r="E83" s="41">
        <f t="shared" si="5"/>
        <v>0</v>
      </c>
      <c r="F83" s="287" t="s">
        <v>177</v>
      </c>
      <c r="G83" s="281">
        <v>0</v>
      </c>
      <c r="H83" s="149">
        <v>0</v>
      </c>
      <c r="I83" s="369">
        <v>0</v>
      </c>
      <c r="J83" s="178">
        <f t="shared" si="6"/>
        <v>0</v>
      </c>
    </row>
    <row r="84" spans="1:10" ht="14.95" thickBot="1" x14ac:dyDescent="0.3">
      <c r="A84" s="40" t="s">
        <v>66</v>
      </c>
      <c r="B84" s="291">
        <v>0</v>
      </c>
      <c r="C84" s="384">
        <v>0</v>
      </c>
      <c r="D84" s="42">
        <v>0</v>
      </c>
      <c r="E84" s="41">
        <f t="shared" si="5"/>
        <v>0</v>
      </c>
      <c r="F84" s="287" t="s">
        <v>66</v>
      </c>
      <c r="G84" s="281">
        <v>0</v>
      </c>
      <c r="H84" s="149">
        <v>0</v>
      </c>
      <c r="I84" s="369">
        <v>0</v>
      </c>
      <c r="J84" s="178">
        <f t="shared" si="6"/>
        <v>0</v>
      </c>
    </row>
    <row r="85" spans="1:10" ht="14.95" thickBot="1" x14ac:dyDescent="0.3">
      <c r="A85" s="40" t="s">
        <v>178</v>
      </c>
      <c r="B85" s="291">
        <v>0</v>
      </c>
      <c r="C85" s="384">
        <v>0</v>
      </c>
      <c r="D85" s="42">
        <v>0</v>
      </c>
      <c r="E85" s="41">
        <f t="shared" si="5"/>
        <v>0</v>
      </c>
      <c r="F85" s="287" t="s">
        <v>178</v>
      </c>
      <c r="G85" s="281">
        <v>0</v>
      </c>
      <c r="H85" s="149">
        <v>0</v>
      </c>
      <c r="I85" s="369">
        <v>0</v>
      </c>
      <c r="J85" s="178">
        <f t="shared" si="6"/>
        <v>0</v>
      </c>
    </row>
    <row r="86" spans="1:10" ht="14.95" thickBot="1" x14ac:dyDescent="0.3">
      <c r="A86" s="40" t="s">
        <v>188</v>
      </c>
      <c r="B86" s="291">
        <v>0</v>
      </c>
      <c r="C86" s="384">
        <v>0</v>
      </c>
      <c r="D86" s="42">
        <v>0</v>
      </c>
      <c r="E86" s="41">
        <f t="shared" si="5"/>
        <v>0</v>
      </c>
      <c r="F86" s="287" t="s">
        <v>188</v>
      </c>
      <c r="G86" s="281">
        <v>0</v>
      </c>
      <c r="H86" s="149">
        <v>0</v>
      </c>
      <c r="I86" s="369">
        <v>0</v>
      </c>
      <c r="J86" s="178">
        <f t="shared" si="6"/>
        <v>0</v>
      </c>
    </row>
    <row r="87" spans="1:10" ht="14.95" thickBot="1" x14ac:dyDescent="0.3">
      <c r="A87" s="40" t="s">
        <v>187</v>
      </c>
      <c r="B87" s="291">
        <v>0</v>
      </c>
      <c r="C87" s="384">
        <v>0</v>
      </c>
      <c r="D87" s="42">
        <v>0</v>
      </c>
      <c r="E87" s="41">
        <f t="shared" si="5"/>
        <v>0</v>
      </c>
      <c r="F87" s="287" t="s">
        <v>187</v>
      </c>
      <c r="G87" s="281">
        <v>0</v>
      </c>
      <c r="H87" s="149">
        <v>0</v>
      </c>
      <c r="I87" s="369">
        <v>0</v>
      </c>
      <c r="J87" s="178">
        <f t="shared" si="6"/>
        <v>0</v>
      </c>
    </row>
    <row r="88" spans="1:10" ht="14.95" thickBot="1" x14ac:dyDescent="0.3">
      <c r="A88" s="40" t="s">
        <v>189</v>
      </c>
      <c r="B88" s="291">
        <v>0</v>
      </c>
      <c r="C88" s="384">
        <v>0</v>
      </c>
      <c r="D88" s="42">
        <v>0</v>
      </c>
      <c r="E88" s="41">
        <f t="shared" si="5"/>
        <v>0</v>
      </c>
      <c r="F88" s="287" t="s">
        <v>189</v>
      </c>
      <c r="G88" s="281">
        <v>0</v>
      </c>
      <c r="H88" s="149">
        <v>0</v>
      </c>
      <c r="I88" s="369">
        <v>0</v>
      </c>
      <c r="J88" s="178">
        <f t="shared" si="6"/>
        <v>0</v>
      </c>
    </row>
    <row r="89" spans="1:10" ht="14.95" thickBot="1" x14ac:dyDescent="0.3">
      <c r="A89" s="40" t="s">
        <v>18</v>
      </c>
      <c r="B89" s="291">
        <v>0</v>
      </c>
      <c r="C89" s="384">
        <v>0</v>
      </c>
      <c r="D89" s="42">
        <v>0</v>
      </c>
      <c r="E89" s="41">
        <f t="shared" si="5"/>
        <v>0</v>
      </c>
      <c r="F89" s="287" t="s">
        <v>18</v>
      </c>
      <c r="G89" s="281">
        <v>0</v>
      </c>
      <c r="H89" s="149">
        <v>0</v>
      </c>
      <c r="I89" s="369">
        <v>0</v>
      </c>
      <c r="J89" s="178">
        <f t="shared" si="6"/>
        <v>0</v>
      </c>
    </row>
    <row r="90" spans="1:10" ht="14.95" thickBot="1" x14ac:dyDescent="0.3">
      <c r="A90" s="40" t="s">
        <v>645</v>
      </c>
      <c r="B90" s="291">
        <v>0</v>
      </c>
      <c r="C90" s="384">
        <v>0</v>
      </c>
      <c r="D90" s="42">
        <v>0</v>
      </c>
      <c r="E90" s="41">
        <f t="shared" si="5"/>
        <v>0</v>
      </c>
      <c r="F90" s="292" t="s">
        <v>645</v>
      </c>
      <c r="G90" s="281">
        <v>0</v>
      </c>
      <c r="H90" s="149">
        <v>0</v>
      </c>
      <c r="I90" s="369">
        <v>0</v>
      </c>
      <c r="J90" s="178">
        <f t="shared" si="6"/>
        <v>0</v>
      </c>
    </row>
    <row r="91" spans="1:10" ht="14.95" thickBot="1" x14ac:dyDescent="0.3">
      <c r="A91" s="40" t="s">
        <v>3</v>
      </c>
      <c r="B91" s="291">
        <f>SUM(B49:B90)</f>
        <v>4</v>
      </c>
      <c r="C91" s="384">
        <f>SUM(C49:C90)</f>
        <v>0</v>
      </c>
      <c r="D91" s="42">
        <f>SUM(D49:D90)</f>
        <v>0</v>
      </c>
      <c r="E91" s="41">
        <f t="shared" ref="E91" si="7">SUM(B91:D91)</f>
        <v>4</v>
      </c>
      <c r="F91" s="292" t="s">
        <v>3</v>
      </c>
      <c r="G91" s="281">
        <f>SUM(G49:G90)</f>
        <v>26</v>
      </c>
      <c r="H91" s="149">
        <f>SUM(H49:H90)</f>
        <v>0</v>
      </c>
      <c r="I91" s="369">
        <f>SUM(I49:I90)</f>
        <v>0</v>
      </c>
      <c r="J91" s="178">
        <f t="shared" ref="J91" si="8">SUM(G91:I91)</f>
        <v>26</v>
      </c>
    </row>
    <row r="92" spans="1:10" ht="16.3" x14ac:dyDescent="0.3">
      <c r="A92" s="524" t="s">
        <v>10</v>
      </c>
      <c r="B92" s="524"/>
      <c r="C92" s="524"/>
      <c r="D92" s="525"/>
    </row>
  </sheetData>
  <sortState xmlns:xlrd2="http://schemas.microsoft.com/office/spreadsheetml/2017/richdata2" ref="F49:J90">
    <sortCondition descending="1" ref="J49:J90"/>
  </sortState>
  <mergeCells count="23">
    <mergeCell ref="AD1:AF2"/>
    <mergeCell ref="O9:Q10"/>
    <mergeCell ref="S1:U2"/>
    <mergeCell ref="A1:J1"/>
    <mergeCell ref="L1:N2"/>
    <mergeCell ref="K9:K10"/>
    <mergeCell ref="R1:R2"/>
    <mergeCell ref="O1:Q2"/>
    <mergeCell ref="L9:N10"/>
    <mergeCell ref="K1:K2"/>
    <mergeCell ref="AA1:AC2"/>
    <mergeCell ref="AA9:AC10"/>
    <mergeCell ref="L23:N24"/>
    <mergeCell ref="R9:T10"/>
    <mergeCell ref="O23:Q24"/>
    <mergeCell ref="A92:D92"/>
    <mergeCell ref="V1:X2"/>
    <mergeCell ref="U9:W10"/>
    <mergeCell ref="K17:K18"/>
    <mergeCell ref="O17:Q18"/>
    <mergeCell ref="K23:K24"/>
    <mergeCell ref="L17:N18"/>
    <mergeCell ref="R23:T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86F3-5F9B-4C94-9FC0-D2B3E82550E8}">
  <dimension ref="A1:K285"/>
  <sheetViews>
    <sheetView workbookViewId="0">
      <selection activeCell="U23" sqref="U23"/>
    </sheetView>
  </sheetViews>
  <sheetFormatPr defaultRowHeight="14.3" x14ac:dyDescent="0.25"/>
  <cols>
    <col min="1" max="1" width="20.625" customWidth="1"/>
    <col min="2" max="3" width="5.75" customWidth="1"/>
    <col min="4" max="4" width="20.625" customWidth="1"/>
    <col min="5" max="6" width="5.75" customWidth="1"/>
    <col min="7" max="7" width="17.125" bestFit="1" customWidth="1"/>
    <col min="8" max="10" width="5.75" customWidth="1"/>
    <col min="11" max="11" width="4.875" customWidth="1"/>
  </cols>
  <sheetData>
    <row r="1" spans="1:11" ht="14.95" customHeight="1" x14ac:dyDescent="0.25">
      <c r="A1" s="389" t="s">
        <v>994</v>
      </c>
      <c r="B1" s="389"/>
      <c r="C1" s="389"/>
      <c r="D1" s="390"/>
    </row>
    <row r="2" spans="1:11" ht="14.95" customHeight="1" thickBot="1" x14ac:dyDescent="0.3">
      <c r="A2" s="219" t="s">
        <v>995</v>
      </c>
    </row>
    <row r="3" spans="1:11" ht="14.95" customHeight="1" thickBot="1" x14ac:dyDescent="0.3">
      <c r="A3" s="227" t="s">
        <v>0</v>
      </c>
      <c r="B3" s="228" t="s">
        <v>9</v>
      </c>
      <c r="C3" s="229" t="s">
        <v>9</v>
      </c>
      <c r="D3" s="222" t="s">
        <v>2</v>
      </c>
      <c r="E3" s="222" t="s">
        <v>9</v>
      </c>
      <c r="F3" s="223" t="s">
        <v>9</v>
      </c>
      <c r="G3" s="233" t="s">
        <v>29</v>
      </c>
      <c r="H3" s="233" t="s">
        <v>9</v>
      </c>
      <c r="I3" s="258" t="s">
        <v>25</v>
      </c>
      <c r="J3" s="258" t="s">
        <v>26</v>
      </c>
      <c r="K3" s="258" t="s">
        <v>6</v>
      </c>
    </row>
    <row r="4" spans="1:11" ht="14.95" customHeight="1" thickBot="1" x14ac:dyDescent="0.3">
      <c r="A4" s="230" t="s">
        <v>718</v>
      </c>
      <c r="B4" s="231" t="s">
        <v>542</v>
      </c>
      <c r="C4" s="232">
        <v>0</v>
      </c>
      <c r="D4" s="224" t="s">
        <v>718</v>
      </c>
      <c r="E4" s="225" t="s">
        <v>542</v>
      </c>
      <c r="F4" s="226">
        <v>0</v>
      </c>
      <c r="G4" s="230" t="s">
        <v>193</v>
      </c>
      <c r="H4" s="231" t="s">
        <v>20</v>
      </c>
      <c r="I4" s="218"/>
      <c r="J4" s="107"/>
      <c r="K4" s="234"/>
    </row>
    <row r="5" spans="1:11" ht="14.95" customHeight="1" thickBot="1" x14ac:dyDescent="0.3">
      <c r="A5" s="230" t="s">
        <v>193</v>
      </c>
      <c r="B5" s="231" t="s">
        <v>20</v>
      </c>
      <c r="C5" s="232">
        <f>aitchisonengwxvtries</f>
        <v>0</v>
      </c>
      <c r="D5" s="224" t="s">
        <v>193</v>
      </c>
      <c r="E5" s="225" t="s">
        <v>20</v>
      </c>
      <c r="F5" s="226">
        <f>aitchisonengwxvpts</f>
        <v>0</v>
      </c>
      <c r="G5" s="230" t="s">
        <v>392</v>
      </c>
      <c r="H5" s="231" t="s">
        <v>27</v>
      </c>
      <c r="I5" s="218"/>
      <c r="J5" s="107"/>
      <c r="K5" s="234"/>
    </row>
    <row r="6" spans="1:11" ht="14.95" customHeight="1" thickBot="1" x14ac:dyDescent="0.3">
      <c r="A6" s="230" t="s">
        <v>709</v>
      </c>
      <c r="B6" s="231" t="s">
        <v>702</v>
      </c>
      <c r="C6" s="232">
        <f>alamedaespwxvtries</f>
        <v>0</v>
      </c>
      <c r="D6" s="224" t="s">
        <v>709</v>
      </c>
      <c r="E6" s="225" t="s">
        <v>702</v>
      </c>
      <c r="F6" s="226">
        <f>alamedaespwxvpts</f>
        <v>0</v>
      </c>
      <c r="G6" s="230" t="s">
        <v>706</v>
      </c>
      <c r="H6" s="231" t="s">
        <v>702</v>
      </c>
      <c r="I6" s="218"/>
      <c r="J6" s="107"/>
      <c r="K6" s="234"/>
    </row>
    <row r="7" spans="1:11" ht="14.95" customHeight="1" thickBot="1" x14ac:dyDescent="0.3">
      <c r="A7" s="230" t="s">
        <v>424</v>
      </c>
      <c r="B7" s="231" t="s">
        <v>20</v>
      </c>
      <c r="C7" s="232">
        <f>aldcroftengwxvtries</f>
        <v>0</v>
      </c>
      <c r="D7" s="224" t="s">
        <v>424</v>
      </c>
      <c r="E7" s="225" t="s">
        <v>20</v>
      </c>
      <c r="F7" s="226">
        <f>aldcroftengwxvpts</f>
        <v>0</v>
      </c>
      <c r="G7" s="230" t="s">
        <v>202</v>
      </c>
      <c r="H7" s="231" t="s">
        <v>23</v>
      </c>
      <c r="I7" s="218"/>
      <c r="J7" s="107"/>
      <c r="K7" s="234"/>
    </row>
    <row r="8" spans="1:11" ht="14.95" customHeight="1" thickBot="1" x14ac:dyDescent="0.3">
      <c r="A8" s="230" t="s">
        <v>907</v>
      </c>
      <c r="B8" s="231" t="s">
        <v>325</v>
      </c>
      <c r="C8" s="232">
        <f>amosaauswxvtries</f>
        <v>0</v>
      </c>
      <c r="D8" s="224" t="s">
        <v>907</v>
      </c>
      <c r="E8" s="225" t="s">
        <v>325</v>
      </c>
      <c r="F8" s="226">
        <f>amosaauswxvpts</f>
        <v>0</v>
      </c>
      <c r="G8" s="230" t="s">
        <v>979</v>
      </c>
      <c r="H8" s="231" t="s">
        <v>22</v>
      </c>
      <c r="I8" s="218"/>
      <c r="J8" s="107"/>
      <c r="K8" s="234"/>
    </row>
    <row r="9" spans="1:11" ht="14.95" customHeight="1" thickBot="1" x14ac:dyDescent="0.3">
      <c r="A9" s="230" t="s">
        <v>556</v>
      </c>
      <c r="B9" s="231" t="s">
        <v>527</v>
      </c>
      <c r="C9" s="232">
        <v>0</v>
      </c>
      <c r="D9" s="224" t="s">
        <v>556</v>
      </c>
      <c r="E9" s="225" t="s">
        <v>527</v>
      </c>
      <c r="F9" s="226">
        <v>0</v>
      </c>
      <c r="G9" s="230" t="s">
        <v>403</v>
      </c>
      <c r="H9" s="231" t="s">
        <v>27</v>
      </c>
      <c r="I9" s="218"/>
      <c r="J9" s="218"/>
      <c r="K9" s="234"/>
    </row>
    <row r="10" spans="1:11" ht="14.95" customHeight="1" thickBot="1" x14ac:dyDescent="0.3">
      <c r="A10" s="230" t="s">
        <v>925</v>
      </c>
      <c r="B10" s="231" t="s">
        <v>702</v>
      </c>
      <c r="C10" s="232">
        <f>antolinezespwxvtries</f>
        <v>0</v>
      </c>
      <c r="D10" s="224" t="s">
        <v>925</v>
      </c>
      <c r="E10" s="225" t="s">
        <v>702</v>
      </c>
      <c r="F10" s="226">
        <f>antolinezespwxvpts</f>
        <v>0</v>
      </c>
      <c r="G10" s="230" t="s">
        <v>754</v>
      </c>
      <c r="H10" s="231" t="s">
        <v>19</v>
      </c>
      <c r="I10" s="218"/>
      <c r="J10" s="107"/>
      <c r="K10" s="234"/>
    </row>
    <row r="11" spans="1:11" ht="14.95" customHeight="1" thickBot="1" x14ac:dyDescent="0.3">
      <c r="A11" s="230" t="s">
        <v>579</v>
      </c>
      <c r="B11" s="231" t="s">
        <v>27</v>
      </c>
      <c r="C11" s="232">
        <f>arbeyfrawxvtries</f>
        <v>0</v>
      </c>
      <c r="D11" s="224" t="s">
        <v>579</v>
      </c>
      <c r="E11" s="225" t="s">
        <v>27</v>
      </c>
      <c r="F11" s="226">
        <f>arbeyfrawxvpts</f>
        <v>0</v>
      </c>
      <c r="G11" s="230" t="s">
        <v>441</v>
      </c>
      <c r="H11" s="231" t="s">
        <v>327</v>
      </c>
      <c r="I11" s="218"/>
      <c r="J11" s="107"/>
      <c r="K11" s="234"/>
    </row>
    <row r="12" spans="1:11" ht="14.95" customHeight="1" thickBot="1" x14ac:dyDescent="0.3">
      <c r="A12" s="230" t="s">
        <v>392</v>
      </c>
      <c r="B12" s="231" t="s">
        <v>27</v>
      </c>
      <c r="C12" s="232">
        <f>arbezfrawxtries</f>
        <v>0</v>
      </c>
      <c r="D12" s="224" t="s">
        <v>392</v>
      </c>
      <c r="E12" s="225" t="s">
        <v>27</v>
      </c>
      <c r="F12" s="226">
        <f>arbezfrawxpts</f>
        <v>0</v>
      </c>
      <c r="G12" s="230" t="s">
        <v>468</v>
      </c>
      <c r="H12" s="231" t="s">
        <v>325</v>
      </c>
      <c r="I12" s="218"/>
      <c r="J12" s="107"/>
      <c r="K12" s="234"/>
    </row>
    <row r="13" spans="1:11" ht="14.95" customHeight="1" thickBot="1" x14ac:dyDescent="0.3">
      <c r="A13" s="230" t="s">
        <v>706</v>
      </c>
      <c r="B13" s="231" t="s">
        <v>702</v>
      </c>
      <c r="C13" s="232">
        <f>argudoespwxvtries</f>
        <v>0</v>
      </c>
      <c r="D13" s="224" t="s">
        <v>706</v>
      </c>
      <c r="E13" s="225" t="s">
        <v>702</v>
      </c>
      <c r="F13" s="226">
        <f>argudoespwxvpts</f>
        <v>0</v>
      </c>
      <c r="G13" s="230" t="s">
        <v>471</v>
      </c>
      <c r="H13" s="231" t="s">
        <v>326</v>
      </c>
      <c r="I13" s="218"/>
      <c r="J13" s="218"/>
      <c r="K13" s="234"/>
    </row>
    <row r="14" spans="1:11" ht="14.95" customHeight="1" thickBot="1" x14ac:dyDescent="0.3">
      <c r="A14" s="230" t="s">
        <v>509</v>
      </c>
      <c r="B14" s="231" t="s">
        <v>20</v>
      </c>
      <c r="C14" s="232">
        <f>atkindaviesengwxvtries</f>
        <v>0</v>
      </c>
      <c r="D14" s="224" t="s">
        <v>509</v>
      </c>
      <c r="E14" s="225" t="s">
        <v>20</v>
      </c>
      <c r="F14" s="226">
        <f>atkindaviesengwxvpts</f>
        <v>0</v>
      </c>
      <c r="G14" s="230" t="s">
        <v>553</v>
      </c>
      <c r="H14" s="231" t="s">
        <v>533</v>
      </c>
      <c r="I14" s="218"/>
      <c r="J14" s="218"/>
      <c r="K14" s="234"/>
    </row>
    <row r="15" spans="1:11" ht="14.95" customHeight="1" thickBot="1" x14ac:dyDescent="0.3">
      <c r="A15" s="230" t="s">
        <v>958</v>
      </c>
      <c r="B15" s="231" t="s">
        <v>327</v>
      </c>
      <c r="C15" s="232">
        <f>bargellusawxtries</f>
        <v>0</v>
      </c>
      <c r="D15" s="224" t="s">
        <v>958</v>
      </c>
      <c r="E15" s="225" t="s">
        <v>327</v>
      </c>
      <c r="F15" s="226">
        <f>bargellusawxvpts</f>
        <v>0</v>
      </c>
      <c r="G15" s="230" t="s">
        <v>518</v>
      </c>
      <c r="H15" s="231" t="s">
        <v>23</v>
      </c>
      <c r="I15" s="218"/>
      <c r="J15" s="107"/>
      <c r="K15" s="234"/>
    </row>
    <row r="16" spans="1:11" ht="14.95" customHeight="1" thickBot="1" x14ac:dyDescent="0.3">
      <c r="A16" s="230" t="s">
        <v>417</v>
      </c>
      <c r="B16" s="231" t="s">
        <v>21</v>
      </c>
      <c r="C16" s="232">
        <f>bartlettscowxvtries</f>
        <v>0</v>
      </c>
      <c r="D16" s="224" t="s">
        <v>417</v>
      </c>
      <c r="E16" s="225" t="s">
        <v>21</v>
      </c>
      <c r="F16" s="226">
        <f>bartlettscowxvpts</f>
        <v>0</v>
      </c>
      <c r="G16" s="230" t="s">
        <v>525</v>
      </c>
      <c r="H16" s="231" t="s">
        <v>22</v>
      </c>
      <c r="I16" s="218"/>
      <c r="J16" s="107"/>
      <c r="K16" s="234"/>
    </row>
    <row r="17" spans="1:11" ht="14.95" customHeight="1" thickBot="1" x14ac:dyDescent="0.3">
      <c r="A17" s="230" t="s">
        <v>989</v>
      </c>
      <c r="B17" s="231" t="s">
        <v>324</v>
      </c>
      <c r="C17" s="232">
        <f>bayfieldnzlwxvtries</f>
        <v>0</v>
      </c>
      <c r="D17" s="224" t="s">
        <v>989</v>
      </c>
      <c r="E17" s="225" t="s">
        <v>324</v>
      </c>
      <c r="F17" s="226">
        <f>bayfieldnzlwxvpts</f>
        <v>0</v>
      </c>
      <c r="G17" s="230" t="s">
        <v>575</v>
      </c>
      <c r="H17" s="231" t="s">
        <v>20</v>
      </c>
      <c r="I17" s="218"/>
      <c r="J17" s="218"/>
      <c r="K17" s="234"/>
    </row>
    <row r="18" spans="1:11" ht="14.95" customHeight="1" thickBot="1" x14ac:dyDescent="0.3">
      <c r="A18" s="230" t="s">
        <v>445</v>
      </c>
      <c r="B18" s="231" t="s">
        <v>326</v>
      </c>
      <c r="C18" s="232">
        <v>0</v>
      </c>
      <c r="D18" s="224" t="s">
        <v>445</v>
      </c>
      <c r="E18" s="225" t="s">
        <v>326</v>
      </c>
      <c r="F18" s="226">
        <v>0</v>
      </c>
      <c r="G18" s="230" t="s">
        <v>442</v>
      </c>
      <c r="H18" s="231" t="s">
        <v>327</v>
      </c>
      <c r="I18" s="218"/>
      <c r="J18" s="107"/>
      <c r="K18" s="234"/>
    </row>
    <row r="19" spans="1:11" ht="14.95" customHeight="1" thickBot="1" x14ac:dyDescent="0.3">
      <c r="A19" s="230" t="s">
        <v>522</v>
      </c>
      <c r="B19" s="231" t="s">
        <v>20</v>
      </c>
      <c r="C19" s="232">
        <f>bernengwxvtries</f>
        <v>0</v>
      </c>
      <c r="D19" s="224" t="s">
        <v>522</v>
      </c>
      <c r="E19" s="225" t="s">
        <v>20</v>
      </c>
      <c r="F19" s="226">
        <f>bernengwxvpts</f>
        <v>0</v>
      </c>
      <c r="G19" s="230" t="s">
        <v>454</v>
      </c>
      <c r="H19" s="231" t="s">
        <v>324</v>
      </c>
      <c r="I19" s="218"/>
      <c r="J19" s="218"/>
      <c r="K19" s="234"/>
    </row>
    <row r="20" spans="1:11" ht="14.95" customHeight="1" thickBot="1" x14ac:dyDescent="0.3">
      <c r="A20" s="230" t="s">
        <v>202</v>
      </c>
      <c r="B20" s="231" t="s">
        <v>23</v>
      </c>
      <c r="C20" s="232">
        <f>bevanwalwxvtries</f>
        <v>0</v>
      </c>
      <c r="D20" s="224" t="s">
        <v>202</v>
      </c>
      <c r="E20" s="225" t="s">
        <v>23</v>
      </c>
      <c r="F20" s="226">
        <f>bevanwalwxvpts</f>
        <v>0</v>
      </c>
      <c r="G20" s="230" t="s">
        <v>932</v>
      </c>
      <c r="H20" s="231" t="s">
        <v>667</v>
      </c>
      <c r="I20" s="218"/>
      <c r="J20" s="107"/>
      <c r="K20" s="234"/>
    </row>
    <row r="21" spans="1:11" ht="14.95" customHeight="1" thickBot="1" x14ac:dyDescent="0.3">
      <c r="A21" s="230" t="s">
        <v>979</v>
      </c>
      <c r="B21" s="231" t="s">
        <v>22</v>
      </c>
      <c r="C21" s="232">
        <f>bitonciitawxvtries</f>
        <v>0</v>
      </c>
      <c r="D21" s="224" t="s">
        <v>979</v>
      </c>
      <c r="E21" s="225" t="s">
        <v>22</v>
      </c>
      <c r="F21" s="226">
        <f>bitonciitawxvpts</f>
        <v>0</v>
      </c>
      <c r="G21" s="230" t="s">
        <v>920</v>
      </c>
      <c r="H21" s="231" t="s">
        <v>921</v>
      </c>
      <c r="I21" s="218"/>
      <c r="J21" s="107"/>
      <c r="K21" s="234"/>
    </row>
    <row r="22" spans="1:11" ht="14.95" customHeight="1" thickBot="1" x14ac:dyDescent="0.3">
      <c r="A22" s="230" t="s">
        <v>927</v>
      </c>
      <c r="B22" s="231" t="s">
        <v>702</v>
      </c>
      <c r="C22" s="232">
        <f>blancoespwxvtries</f>
        <v>0</v>
      </c>
      <c r="D22" s="224" t="s">
        <v>927</v>
      </c>
      <c r="E22" s="225" t="s">
        <v>702</v>
      </c>
      <c r="F22" s="226">
        <f>blancoespwxvpts</f>
        <v>0</v>
      </c>
      <c r="G22" s="230" t="s">
        <v>1010</v>
      </c>
      <c r="H22" s="231" t="s">
        <v>667</v>
      </c>
      <c r="I22" s="218"/>
      <c r="J22" s="107"/>
      <c r="K22" s="234"/>
    </row>
    <row r="23" spans="1:11" ht="14.95" customHeight="1" thickBot="1" x14ac:dyDescent="0.3">
      <c r="A23" s="230" t="s">
        <v>714</v>
      </c>
      <c r="B23" s="231" t="s">
        <v>542</v>
      </c>
      <c r="C23" s="232">
        <v>0</v>
      </c>
      <c r="D23" s="224" t="s">
        <v>714</v>
      </c>
      <c r="E23" s="225" t="s">
        <v>542</v>
      </c>
      <c r="F23" s="226">
        <v>0</v>
      </c>
      <c r="G23" s="230" t="s">
        <v>194</v>
      </c>
      <c r="H23" s="231" t="s">
        <v>21</v>
      </c>
      <c r="I23" s="218"/>
      <c r="J23" s="218"/>
      <c r="K23" s="234"/>
    </row>
    <row r="24" spans="1:11" ht="14.95" customHeight="1" thickBot="1" x14ac:dyDescent="0.3">
      <c r="A24" s="230" t="s">
        <v>701</v>
      </c>
      <c r="B24" s="231" t="s">
        <v>23</v>
      </c>
      <c r="C24" s="232">
        <v>0</v>
      </c>
      <c r="D24" s="224" t="s">
        <v>701</v>
      </c>
      <c r="E24" s="225" t="s">
        <v>23</v>
      </c>
      <c r="F24" s="226">
        <v>0</v>
      </c>
      <c r="G24" s="230" t="s">
        <v>394</v>
      </c>
      <c r="H24" s="231" t="s">
        <v>19</v>
      </c>
      <c r="I24" s="218"/>
      <c r="J24" s="218"/>
      <c r="K24" s="234"/>
    </row>
    <row r="25" spans="1:11" ht="14.95" customHeight="1" thickBot="1" x14ac:dyDescent="0.3">
      <c r="A25" s="230" t="s">
        <v>449</v>
      </c>
      <c r="B25" s="231" t="s">
        <v>326</v>
      </c>
      <c r="C25" s="232">
        <f>boagcanwxvtries</f>
        <v>0</v>
      </c>
      <c r="D25" s="224" t="s">
        <v>449</v>
      </c>
      <c r="E25" s="225" t="s">
        <v>326</v>
      </c>
      <c r="F25" s="226">
        <f>boagcanwxvpts</f>
        <v>0</v>
      </c>
      <c r="G25" s="230" t="s">
        <v>530</v>
      </c>
      <c r="H25" s="231" t="s">
        <v>527</v>
      </c>
      <c r="I25" s="218"/>
      <c r="J25" s="107"/>
      <c r="K25" s="234"/>
    </row>
    <row r="26" spans="1:11" ht="14.95" customHeight="1" thickBot="1" x14ac:dyDescent="0.3">
      <c r="A26" s="230" t="s">
        <v>565</v>
      </c>
      <c r="B26" s="231" t="s">
        <v>21</v>
      </c>
      <c r="C26" s="232">
        <v>0</v>
      </c>
      <c r="D26" s="224" t="s">
        <v>565</v>
      </c>
      <c r="E26" s="225" t="s">
        <v>21</v>
      </c>
      <c r="F26" s="226">
        <v>0</v>
      </c>
      <c r="G26" s="230" t="s">
        <v>938</v>
      </c>
      <c r="H26" s="231" t="s">
        <v>702</v>
      </c>
      <c r="I26" s="218"/>
      <c r="J26" s="107"/>
      <c r="K26" s="234"/>
    </row>
    <row r="27" spans="1:11" ht="14.95" customHeight="1" thickBot="1" x14ac:dyDescent="0.3">
      <c r="A27" s="230" t="s">
        <v>534</v>
      </c>
      <c r="B27" s="231" t="s">
        <v>533</v>
      </c>
      <c r="C27" s="232">
        <v>0</v>
      </c>
      <c r="D27" s="224" t="s">
        <v>534</v>
      </c>
      <c r="E27" s="225" t="s">
        <v>533</v>
      </c>
      <c r="F27" s="226">
        <v>0</v>
      </c>
      <c r="G27" s="230" t="s">
        <v>705</v>
      </c>
      <c r="H27" s="231" t="s">
        <v>702</v>
      </c>
      <c r="I27" s="218"/>
      <c r="J27" s="107"/>
      <c r="K27" s="234"/>
    </row>
    <row r="28" spans="1:11" ht="14.95" customHeight="1" thickBot="1" x14ac:dyDescent="0.3">
      <c r="A28" s="230" t="s">
        <v>408</v>
      </c>
      <c r="B28" s="231" t="s">
        <v>20</v>
      </c>
      <c r="C28" s="232">
        <f>bottermanengwxvtries</f>
        <v>0</v>
      </c>
      <c r="D28" s="224" t="s">
        <v>408</v>
      </c>
      <c r="E28" s="225" t="s">
        <v>20</v>
      </c>
      <c r="F28" s="226">
        <f>bottermanengwxvpts</f>
        <v>0</v>
      </c>
      <c r="G28" s="230" t="s">
        <v>567</v>
      </c>
      <c r="H28" s="231" t="s">
        <v>27</v>
      </c>
      <c r="I28" s="218"/>
      <c r="J28" s="218"/>
      <c r="K28" s="234"/>
    </row>
    <row r="29" spans="1:11" ht="14.95" customHeight="1" thickBot="1" x14ac:dyDescent="0.3">
      <c r="A29" s="230" t="s">
        <v>413</v>
      </c>
      <c r="B29" s="231" t="s">
        <v>27</v>
      </c>
      <c r="C29" s="232">
        <f>boulardfrawxvtries</f>
        <v>0</v>
      </c>
      <c r="D29" s="224" t="s">
        <v>413</v>
      </c>
      <c r="E29" s="225" t="s">
        <v>27</v>
      </c>
      <c r="F29" s="226">
        <f>boulardfrawxvpts</f>
        <v>0</v>
      </c>
      <c r="G29" s="230" t="s">
        <v>526</v>
      </c>
      <c r="H29" s="231" t="s">
        <v>22</v>
      </c>
      <c r="I29" s="218"/>
      <c r="J29" s="107"/>
      <c r="K29" s="234"/>
    </row>
    <row r="30" spans="1:11" ht="14.95" customHeight="1" thickBot="1" x14ac:dyDescent="0.3">
      <c r="A30" s="230" t="s">
        <v>728</v>
      </c>
      <c r="B30" s="231" t="s">
        <v>27</v>
      </c>
      <c r="C30" s="232">
        <f>bourdonfrawxvtries</f>
        <v>0</v>
      </c>
      <c r="D30" s="224" t="s">
        <v>728</v>
      </c>
      <c r="E30" s="225" t="s">
        <v>27</v>
      </c>
      <c r="F30" s="226">
        <f>bourdonfrawxvpts</f>
        <v>0</v>
      </c>
      <c r="G30" s="230" t="s">
        <v>416</v>
      </c>
      <c r="H30" s="231" t="s">
        <v>20</v>
      </c>
      <c r="I30" s="218"/>
      <c r="J30" s="218"/>
      <c r="K30" s="234"/>
    </row>
    <row r="31" spans="1:11" ht="14.95" customHeight="1" thickBot="1" x14ac:dyDescent="0.3">
      <c r="A31" s="230" t="s">
        <v>403</v>
      </c>
      <c r="B31" s="231" t="s">
        <v>27</v>
      </c>
      <c r="C31" s="232">
        <f>bourgeoisfrawxvtries</f>
        <v>0</v>
      </c>
      <c r="D31" s="224" t="s">
        <v>403</v>
      </c>
      <c r="E31" s="225" t="s">
        <v>27</v>
      </c>
      <c r="F31" s="226">
        <f>bourgeoisfrawxvtpts</f>
        <v>0</v>
      </c>
      <c r="G31" s="230" t="s">
        <v>725</v>
      </c>
      <c r="H31" s="231" t="s">
        <v>20</v>
      </c>
      <c r="I31" s="218"/>
      <c r="J31" s="107"/>
      <c r="K31" s="234"/>
    </row>
    <row r="32" spans="1:11" ht="14.95" customHeight="1" thickBot="1" x14ac:dyDescent="0.3">
      <c r="A32" s="230" t="s">
        <v>206</v>
      </c>
      <c r="B32" s="231" t="s">
        <v>20</v>
      </c>
      <c r="C32" s="232">
        <f>breachengwxvtries</f>
        <v>0</v>
      </c>
      <c r="D32" s="224" t="s">
        <v>206</v>
      </c>
      <c r="E32" s="225" t="s">
        <v>20</v>
      </c>
      <c r="F32" s="226">
        <f>breachengwxvpts</f>
        <v>0</v>
      </c>
      <c r="G32" s="230" t="s">
        <v>771</v>
      </c>
      <c r="H32" s="231" t="s">
        <v>326</v>
      </c>
      <c r="I32" s="218"/>
      <c r="J32" s="107"/>
      <c r="K32" s="234"/>
    </row>
    <row r="33" spans="1:11" ht="14.95" customHeight="1" thickBot="1" x14ac:dyDescent="0.3">
      <c r="A33" s="230" t="s">
        <v>912</v>
      </c>
      <c r="B33" s="231" t="s">
        <v>21</v>
      </c>
      <c r="C33" s="232">
        <f>brebnerholdenscowxvtries</f>
        <v>0</v>
      </c>
      <c r="D33" s="224" t="s">
        <v>912</v>
      </c>
      <c r="E33" s="225" t="s">
        <v>21</v>
      </c>
      <c r="F33" s="226">
        <f>brebnerholdenscowxvpts</f>
        <v>0</v>
      </c>
      <c r="G33" s="230" t="s">
        <v>198</v>
      </c>
      <c r="H33" s="231" t="s">
        <v>22</v>
      </c>
      <c r="I33" s="218"/>
      <c r="J33" s="107"/>
      <c r="K33" s="234"/>
    </row>
    <row r="34" spans="1:11" ht="14.95" customHeight="1" thickBot="1" x14ac:dyDescent="0.3">
      <c r="A34" s="230" t="s">
        <v>754</v>
      </c>
      <c r="B34" s="231" t="s">
        <v>19</v>
      </c>
      <c r="C34" s="232">
        <f>breenirewxvtries</f>
        <v>0</v>
      </c>
      <c r="D34" s="224" t="s">
        <v>754</v>
      </c>
      <c r="E34" s="225" t="s">
        <v>19</v>
      </c>
      <c r="F34" s="226">
        <f>breenirewxvpts</f>
        <v>0</v>
      </c>
      <c r="G34" s="230" t="s">
        <v>205</v>
      </c>
      <c r="H34" s="231" t="s">
        <v>20</v>
      </c>
      <c r="I34" s="218"/>
      <c r="J34" s="107"/>
      <c r="K34" s="234"/>
    </row>
    <row r="35" spans="1:11" ht="14.95" customHeight="1" thickBot="1" x14ac:dyDescent="0.3">
      <c r="A35" s="230" t="s">
        <v>357</v>
      </c>
      <c r="B35" s="231" t="s">
        <v>324</v>
      </c>
      <c r="C35" s="232">
        <v>0</v>
      </c>
      <c r="D35" s="224" t="s">
        <v>357</v>
      </c>
      <c r="E35" s="225" t="s">
        <v>324</v>
      </c>
      <c r="F35" s="226">
        <v>0</v>
      </c>
      <c r="G35" s="230" t="s">
        <v>774</v>
      </c>
      <c r="H35" s="231" t="s">
        <v>324</v>
      </c>
      <c r="I35" s="218"/>
      <c r="J35" s="218"/>
      <c r="K35" s="234"/>
    </row>
    <row r="36" spans="1:11" ht="14.95" customHeight="1" thickBot="1" x14ac:dyDescent="0.3">
      <c r="A36" s="230" t="s">
        <v>657</v>
      </c>
      <c r="B36" s="231" t="s">
        <v>20</v>
      </c>
      <c r="C36" s="232">
        <f>brockengwxvtries</f>
        <v>0</v>
      </c>
      <c r="D36" s="224" t="s">
        <v>657</v>
      </c>
      <c r="E36" s="225" t="s">
        <v>20</v>
      </c>
      <c r="F36" s="226">
        <f>brockengwxvpts</f>
        <v>0</v>
      </c>
      <c r="G36" s="230" t="s">
        <v>956</v>
      </c>
      <c r="H36" s="231" t="s">
        <v>921</v>
      </c>
      <c r="I36" s="218"/>
      <c r="J36" s="107"/>
      <c r="K36" s="234"/>
    </row>
    <row r="37" spans="1:11" ht="14.95" customHeight="1" thickBot="1" x14ac:dyDescent="0.3">
      <c r="A37" s="230" t="s">
        <v>561</v>
      </c>
      <c r="B37" s="231" t="s">
        <v>327</v>
      </c>
      <c r="C37" s="232">
        <v>0</v>
      </c>
      <c r="D37" s="224" t="s">
        <v>561</v>
      </c>
      <c r="E37" s="225" t="s">
        <v>327</v>
      </c>
      <c r="F37" s="226">
        <v>0</v>
      </c>
      <c r="G37" s="230" t="s">
        <v>617</v>
      </c>
      <c r="H37" s="231" t="s">
        <v>326</v>
      </c>
      <c r="I37" s="218"/>
      <c r="J37" s="107"/>
      <c r="K37" s="234"/>
    </row>
    <row r="38" spans="1:11" ht="14.95" customHeight="1" thickBot="1" x14ac:dyDescent="0.3">
      <c r="A38" s="230" t="s">
        <v>455</v>
      </c>
      <c r="B38" s="231" t="s">
        <v>324</v>
      </c>
      <c r="C38" s="232">
        <f>bruntnzlwxvtries</f>
        <v>0</v>
      </c>
      <c r="D38" s="224" t="s">
        <v>455</v>
      </c>
      <c r="E38" s="225" t="s">
        <v>324</v>
      </c>
      <c r="F38" s="226">
        <f>bruntnzlwxvpts</f>
        <v>0</v>
      </c>
      <c r="G38" s="230" t="s">
        <v>536</v>
      </c>
      <c r="H38" s="231" t="s">
        <v>21</v>
      </c>
      <c r="I38" s="218"/>
      <c r="J38" s="107"/>
      <c r="K38" s="234"/>
    </row>
    <row r="39" spans="1:11" ht="14.95" customHeight="1" thickBot="1" x14ac:dyDescent="0.3">
      <c r="A39" s="230" t="s">
        <v>977</v>
      </c>
      <c r="B39" s="231" t="s">
        <v>22</v>
      </c>
      <c r="C39" s="232">
        <f>busoitawxvtries</f>
        <v>0</v>
      </c>
      <c r="D39" s="224" t="s">
        <v>977</v>
      </c>
      <c r="E39" s="225" t="s">
        <v>22</v>
      </c>
      <c r="F39" s="226">
        <f>busoitawxvpts</f>
        <v>0</v>
      </c>
      <c r="G39" s="230" t="s">
        <v>954</v>
      </c>
      <c r="H39" s="231" t="s">
        <v>27</v>
      </c>
      <c r="I39" s="218"/>
      <c r="J39" s="107"/>
      <c r="K39" s="234"/>
    </row>
    <row r="40" spans="1:11" ht="14.95" customHeight="1" thickBot="1" x14ac:dyDescent="0.3">
      <c r="A40" s="230" t="s">
        <v>386</v>
      </c>
      <c r="B40" s="231" t="s">
        <v>23</v>
      </c>
      <c r="C40" s="232">
        <f>callenderwalwxvtries</f>
        <v>0</v>
      </c>
      <c r="D40" s="224" t="s">
        <v>386</v>
      </c>
      <c r="E40" s="225" t="s">
        <v>23</v>
      </c>
      <c r="F40" s="226">
        <f>callenderwalwxvpts</f>
        <v>0</v>
      </c>
      <c r="G40" s="230" t="s">
        <v>716</v>
      </c>
      <c r="H40" s="231" t="s">
        <v>542</v>
      </c>
      <c r="I40" s="218"/>
      <c r="J40" s="107"/>
      <c r="K40" s="234"/>
    </row>
    <row r="41" spans="1:11" ht="14.95" customHeight="1" thickBot="1" x14ac:dyDescent="0.3">
      <c r="A41" s="230" t="s">
        <v>441</v>
      </c>
      <c r="B41" s="231" t="s">
        <v>327</v>
      </c>
      <c r="C41" s="232">
        <f>cantornausawxvtries</f>
        <v>0</v>
      </c>
      <c r="D41" s="224" t="s">
        <v>441</v>
      </c>
      <c r="E41" s="225" t="s">
        <v>327</v>
      </c>
      <c r="F41" s="226">
        <f>cantornausawxvpts</f>
        <v>0</v>
      </c>
      <c r="G41" s="230" t="s">
        <v>914</v>
      </c>
      <c r="H41" s="231" t="s">
        <v>667</v>
      </c>
      <c r="I41" s="218"/>
      <c r="J41" s="107"/>
      <c r="K41" s="234"/>
    </row>
    <row r="42" spans="1:11" ht="14.95" customHeight="1" thickBot="1" x14ac:dyDescent="0.3">
      <c r="A42" s="230" t="s">
        <v>710</v>
      </c>
      <c r="B42" s="231" t="s">
        <v>702</v>
      </c>
      <c r="C42" s="232">
        <v>0</v>
      </c>
      <c r="D42" s="224" t="s">
        <v>710</v>
      </c>
      <c r="E42" s="225" t="s">
        <v>702</v>
      </c>
      <c r="F42" s="226">
        <v>0</v>
      </c>
      <c r="G42" s="230" t="s">
        <v>910</v>
      </c>
      <c r="H42" s="231" t="s">
        <v>325</v>
      </c>
      <c r="I42" s="218"/>
      <c r="J42" s="218"/>
      <c r="K42" s="234"/>
    </row>
    <row r="43" spans="1:11" ht="14.95" customHeight="1" thickBot="1" x14ac:dyDescent="0.3">
      <c r="A43" s="230" t="s">
        <v>551</v>
      </c>
      <c r="B43" s="231" t="s">
        <v>22</v>
      </c>
      <c r="C43" s="232">
        <v>0</v>
      </c>
      <c r="D43" s="224" t="s">
        <v>551</v>
      </c>
      <c r="E43" s="225" t="s">
        <v>22</v>
      </c>
      <c r="F43" s="226">
        <v>0</v>
      </c>
      <c r="G43" s="230" t="s">
        <v>969</v>
      </c>
      <c r="H43" s="231" t="s">
        <v>527</v>
      </c>
      <c r="I43" s="218"/>
      <c r="J43" s="107"/>
      <c r="K43" s="234"/>
    </row>
    <row r="44" spans="1:11" ht="14.95" customHeight="1" thickBot="1" x14ac:dyDescent="0.3">
      <c r="A44" s="230" t="s">
        <v>572</v>
      </c>
      <c r="B44" s="231" t="s">
        <v>20</v>
      </c>
      <c r="C44" s="232">
        <f>carsonengwxvtries</f>
        <v>0</v>
      </c>
      <c r="D44" s="224" t="s">
        <v>572</v>
      </c>
      <c r="E44" s="225" t="s">
        <v>20</v>
      </c>
      <c r="F44" s="226">
        <f>carsonengwxvpts</f>
        <v>0</v>
      </c>
      <c r="G44" s="495" t="s">
        <v>948</v>
      </c>
      <c r="H44" s="496"/>
      <c r="I44" s="496"/>
      <c r="J44" s="496"/>
      <c r="K44" s="496"/>
    </row>
    <row r="45" spans="1:11" ht="14.95" customHeight="1" thickBot="1" x14ac:dyDescent="0.3">
      <c r="A45" s="230" t="s">
        <v>707</v>
      </c>
      <c r="B45" s="231" t="s">
        <v>702</v>
      </c>
      <c r="C45" s="232">
        <v>0</v>
      </c>
      <c r="D45" s="224" t="s">
        <v>707</v>
      </c>
      <c r="E45" s="225" t="s">
        <v>702</v>
      </c>
      <c r="F45" s="226">
        <v>0</v>
      </c>
    </row>
    <row r="46" spans="1:11" ht="14.95" customHeight="1" thickBot="1" x14ac:dyDescent="0.3">
      <c r="A46" s="230" t="s">
        <v>971</v>
      </c>
      <c r="B46" s="231" t="s">
        <v>702</v>
      </c>
      <c r="C46" s="232">
        <f>casteloespwxvtries</f>
        <v>0</v>
      </c>
      <c r="D46" s="224" t="s">
        <v>971</v>
      </c>
      <c r="E46" s="225" t="s">
        <v>702</v>
      </c>
      <c r="F46" s="226">
        <f>casteloespwxvpts</f>
        <v>0</v>
      </c>
    </row>
    <row r="47" spans="1:11" ht="14.95" customHeight="1" thickBot="1" x14ac:dyDescent="0.3">
      <c r="A47" s="230" t="s">
        <v>752</v>
      </c>
      <c r="B47" s="231" t="s">
        <v>27</v>
      </c>
      <c r="C47" s="232">
        <f>chambonfrawxvtriescorrect</f>
        <v>0</v>
      </c>
      <c r="D47" s="224" t="s">
        <v>752</v>
      </c>
      <c r="E47" s="225" t="s">
        <v>27</v>
      </c>
      <c r="F47" s="226">
        <f>chambonfrawxvptscorrect</f>
        <v>0</v>
      </c>
    </row>
    <row r="48" spans="1:11" ht="14.95" customHeight="1" thickBot="1" x14ac:dyDescent="0.3">
      <c r="A48" s="230" t="s">
        <v>747</v>
      </c>
      <c r="B48" s="231" t="s">
        <v>27</v>
      </c>
      <c r="C48" s="232">
        <f>champonfrawxvtries</f>
        <v>0</v>
      </c>
      <c r="D48" s="224" t="s">
        <v>747</v>
      </c>
      <c r="E48" s="225" t="s">
        <v>27</v>
      </c>
      <c r="F48" s="226">
        <f>champonfrawxvpts</f>
        <v>0</v>
      </c>
    </row>
    <row r="49" spans="1:6" ht="14.95" customHeight="1" thickBot="1" x14ac:dyDescent="0.3">
      <c r="A49" s="230" t="s">
        <v>909</v>
      </c>
      <c r="B49" s="231" t="s">
        <v>325</v>
      </c>
      <c r="C49" s="232">
        <f>chancellorauswxvtries</f>
        <v>0</v>
      </c>
      <c r="D49" s="224" t="s">
        <v>909</v>
      </c>
      <c r="E49" s="225" t="s">
        <v>325</v>
      </c>
      <c r="F49" s="226">
        <f>chancellorauswxvpts</f>
        <v>0</v>
      </c>
    </row>
    <row r="50" spans="1:6" ht="14.95" customHeight="1" thickBot="1" x14ac:dyDescent="0.3">
      <c r="A50" s="230" t="s">
        <v>695</v>
      </c>
      <c r="B50" s="231" t="s">
        <v>533</v>
      </c>
      <c r="C50" s="232">
        <v>0</v>
      </c>
      <c r="D50" s="224" t="s">
        <v>695</v>
      </c>
      <c r="E50" s="225" t="s">
        <v>533</v>
      </c>
      <c r="F50" s="226">
        <v>0</v>
      </c>
    </row>
    <row r="51" spans="1:6" ht="14.95" customHeight="1" thickBot="1" x14ac:dyDescent="0.3">
      <c r="A51" s="230" t="s">
        <v>692</v>
      </c>
      <c r="B51" s="231" t="s">
        <v>533</v>
      </c>
      <c r="C51" s="232">
        <v>0</v>
      </c>
      <c r="D51" s="224" t="s">
        <v>692</v>
      </c>
      <c r="E51" s="225" t="s">
        <v>533</v>
      </c>
      <c r="F51" s="226">
        <v>0</v>
      </c>
    </row>
    <row r="52" spans="1:6" ht="14.95" customHeight="1" thickBot="1" x14ac:dyDescent="0.3">
      <c r="A52" s="230" t="s">
        <v>704</v>
      </c>
      <c r="B52" s="231" t="s">
        <v>702</v>
      </c>
      <c r="C52" s="232">
        <v>0</v>
      </c>
      <c r="D52" s="224" t="s">
        <v>704</v>
      </c>
      <c r="E52" s="225" t="s">
        <v>702</v>
      </c>
      <c r="F52" s="226">
        <v>0</v>
      </c>
    </row>
    <row r="53" spans="1:6" ht="14.95" customHeight="1" thickBot="1" x14ac:dyDescent="0.3">
      <c r="A53" s="230" t="s">
        <v>451</v>
      </c>
      <c r="B53" s="231" t="s">
        <v>327</v>
      </c>
      <c r="C53" s="232">
        <v>0</v>
      </c>
      <c r="D53" s="224" t="s">
        <v>451</v>
      </c>
      <c r="E53" s="225" t="s">
        <v>327</v>
      </c>
      <c r="F53" s="226">
        <v>0</v>
      </c>
    </row>
    <row r="54" spans="1:6" ht="14.95" customHeight="1" thickBot="1" x14ac:dyDescent="0.3">
      <c r="A54" s="230" t="s">
        <v>749</v>
      </c>
      <c r="B54" s="231" t="s">
        <v>20</v>
      </c>
      <c r="C54" s="232">
        <f>cliffordengwxvtries</f>
        <v>0</v>
      </c>
      <c r="D54" s="224" t="s">
        <v>749</v>
      </c>
      <c r="E54" s="225" t="s">
        <v>20</v>
      </c>
      <c r="F54" s="226">
        <f>cliffordengwxvpts</f>
        <v>0</v>
      </c>
    </row>
    <row r="55" spans="1:6" ht="14.95" customHeight="1" thickBot="1" x14ac:dyDescent="0.3">
      <c r="A55" s="230" t="s">
        <v>584</v>
      </c>
      <c r="B55" s="231" t="s">
        <v>20</v>
      </c>
      <c r="C55" s="232">
        <f>cokayneengwxvtries</f>
        <v>0</v>
      </c>
      <c r="D55" s="224" t="s">
        <v>584</v>
      </c>
      <c r="E55" s="225" t="s">
        <v>20</v>
      </c>
      <c r="F55" s="226">
        <f>cokayneengwxvpts</f>
        <v>0</v>
      </c>
    </row>
    <row r="56" spans="1:6" ht="14.95" customHeight="1" thickBot="1" x14ac:dyDescent="0.3">
      <c r="A56" s="230" t="s">
        <v>975</v>
      </c>
      <c r="B56" s="231" t="s">
        <v>22</v>
      </c>
      <c r="C56" s="232">
        <f>corradiniitawxvtries</f>
        <v>0</v>
      </c>
      <c r="D56" s="224" t="s">
        <v>975</v>
      </c>
      <c r="E56" s="225" t="s">
        <v>22</v>
      </c>
      <c r="F56" s="226">
        <f>corradiniitawxvpts</f>
        <v>0</v>
      </c>
    </row>
    <row r="57" spans="1:6" ht="14.95" customHeight="1" thickBot="1" x14ac:dyDescent="0.3">
      <c r="A57" s="230" t="s">
        <v>783</v>
      </c>
      <c r="B57" s="231" t="s">
        <v>326</v>
      </c>
      <c r="C57" s="232">
        <f>corrigancanwxvtries</f>
        <v>0</v>
      </c>
      <c r="D57" s="224" t="s">
        <v>783</v>
      </c>
      <c r="E57" s="225" t="s">
        <v>326</v>
      </c>
      <c r="F57" s="226">
        <f>corrigancanwxvpts</f>
        <v>0</v>
      </c>
    </row>
    <row r="58" spans="1:6" ht="14.95" customHeight="1" thickBot="1" x14ac:dyDescent="0.3">
      <c r="A58" s="230" t="s">
        <v>677</v>
      </c>
      <c r="B58" s="231" t="s">
        <v>19</v>
      </c>
      <c r="C58" s="232">
        <f>costiganirewxvtries</f>
        <v>0</v>
      </c>
      <c r="D58" s="224" t="s">
        <v>677</v>
      </c>
      <c r="E58" s="225" t="s">
        <v>19</v>
      </c>
      <c r="F58" s="226">
        <f>costiganirewxvpts</f>
        <v>0</v>
      </c>
    </row>
    <row r="59" spans="1:6" ht="14.95" customHeight="1" thickBot="1" x14ac:dyDescent="0.3">
      <c r="A59" s="230" t="s">
        <v>960</v>
      </c>
      <c r="B59" s="231" t="s">
        <v>327</v>
      </c>
      <c r="C59" s="232">
        <f>coulibalyusawxtries</f>
        <v>0</v>
      </c>
      <c r="D59" s="224" t="s">
        <v>960</v>
      </c>
      <c r="E59" s="225" t="s">
        <v>327</v>
      </c>
      <c r="F59" s="226">
        <f>coulibalyusawxpts</f>
        <v>0</v>
      </c>
    </row>
    <row r="60" spans="1:6" ht="14.95" customHeight="1" thickBot="1" x14ac:dyDescent="0.3">
      <c r="A60" s="230" t="s">
        <v>961</v>
      </c>
      <c r="B60" s="231" t="s">
        <v>23</v>
      </c>
      <c r="C60" s="232">
        <f>coxwalwxvtries</f>
        <v>0</v>
      </c>
      <c r="D60" s="224" t="s">
        <v>961</v>
      </c>
      <c r="E60" s="225" t="s">
        <v>23</v>
      </c>
      <c r="F60" s="226">
        <f>coxwalwxvtriespts</f>
        <v>0</v>
      </c>
    </row>
    <row r="61" spans="1:6" ht="14.95" customHeight="1" thickBot="1" x14ac:dyDescent="0.3">
      <c r="A61" s="230" t="s">
        <v>468</v>
      </c>
      <c r="B61" s="231" t="s">
        <v>325</v>
      </c>
      <c r="C61" s="232">
        <f>cramerauswxvtries</f>
        <v>0</v>
      </c>
      <c r="D61" s="224" t="s">
        <v>468</v>
      </c>
      <c r="E61" s="225" t="s">
        <v>325</v>
      </c>
      <c r="F61" s="226">
        <f>cramerauswxvpts</f>
        <v>0</v>
      </c>
    </row>
    <row r="62" spans="1:6" ht="14.95" customHeight="1" thickBot="1" x14ac:dyDescent="0.3">
      <c r="A62" s="230" t="s">
        <v>913</v>
      </c>
      <c r="B62" s="231" t="s">
        <v>326</v>
      </c>
      <c r="C62" s="232">
        <f>crossleycanwxvtries</f>
        <v>0</v>
      </c>
      <c r="D62" s="224" t="s">
        <v>913</v>
      </c>
      <c r="E62" s="225" t="s">
        <v>326</v>
      </c>
      <c r="F62" s="226">
        <f>crossleycanwxvpts</f>
        <v>0</v>
      </c>
    </row>
    <row r="63" spans="1:6" ht="14.95" customHeight="1" thickBot="1" x14ac:dyDescent="0.3">
      <c r="A63" s="230" t="s">
        <v>471</v>
      </c>
      <c r="B63" s="231" t="s">
        <v>326</v>
      </c>
      <c r="C63" s="232">
        <f>degoedecanwxvtries</f>
        <v>0</v>
      </c>
      <c r="D63" s="224" t="s">
        <v>471</v>
      </c>
      <c r="E63" s="225" t="s">
        <v>326</v>
      </c>
      <c r="F63" s="226">
        <f>degoedecanwxvpts</f>
        <v>0</v>
      </c>
    </row>
    <row r="64" spans="1:6" ht="14.95" customHeight="1" thickBot="1" x14ac:dyDescent="0.3">
      <c r="A64" s="230" t="s">
        <v>476</v>
      </c>
      <c r="B64" s="231" t="s">
        <v>324</v>
      </c>
      <c r="C64" s="232">
        <f>demantnzlwxvtries</f>
        <v>0</v>
      </c>
      <c r="D64" s="224" t="s">
        <v>476</v>
      </c>
      <c r="E64" s="225" t="s">
        <v>324</v>
      </c>
      <c r="F64" s="226">
        <f>demantnzlwxvpts</f>
        <v>0</v>
      </c>
    </row>
    <row r="65" spans="1:6" ht="14.95" customHeight="1" thickBot="1" x14ac:dyDescent="0.3">
      <c r="A65" s="230" t="s">
        <v>474</v>
      </c>
      <c r="B65" s="231" t="s">
        <v>326</v>
      </c>
      <c r="C65" s="232">
        <f>demerchantcanwxvtries</f>
        <v>0</v>
      </c>
      <c r="D65" s="224" t="s">
        <v>474</v>
      </c>
      <c r="E65" s="225" t="s">
        <v>326</v>
      </c>
      <c r="F65" s="226">
        <f>demerchantcanwxvpts</f>
        <v>0</v>
      </c>
    </row>
    <row r="66" spans="1:6" ht="14.95" customHeight="1" thickBot="1" x14ac:dyDescent="0.3">
      <c r="A66" s="230" t="s">
        <v>953</v>
      </c>
      <c r="B66" s="231" t="s">
        <v>27</v>
      </c>
      <c r="C66" s="232">
        <f>deshayefrawxvtries</f>
        <v>0</v>
      </c>
      <c r="D66" s="224" t="s">
        <v>953</v>
      </c>
      <c r="E66" s="225" t="s">
        <v>27</v>
      </c>
      <c r="F66" s="226">
        <f>deshayefrawxvpts</f>
        <v>0</v>
      </c>
    </row>
    <row r="67" spans="1:6" ht="14.95" customHeight="1" thickBot="1" x14ac:dyDescent="0.3">
      <c r="A67" s="230" t="s">
        <v>389</v>
      </c>
      <c r="B67" s="231" t="s">
        <v>22</v>
      </c>
      <c r="C67" s="232">
        <v>0</v>
      </c>
      <c r="D67" s="224" t="s">
        <v>389</v>
      </c>
      <c r="E67" s="225" t="s">
        <v>22</v>
      </c>
      <c r="F67" s="226">
        <v>0</v>
      </c>
    </row>
    <row r="68" spans="1:6" ht="14.95" customHeight="1" thickBot="1" x14ac:dyDescent="0.3">
      <c r="A68" s="230" t="s">
        <v>739</v>
      </c>
      <c r="B68" s="231" t="s">
        <v>19</v>
      </c>
      <c r="C68" s="232">
        <f>djougangirewxvtries</f>
        <v>0</v>
      </c>
      <c r="D68" s="224" t="s">
        <v>739</v>
      </c>
      <c r="E68" s="225" t="s">
        <v>19</v>
      </c>
      <c r="F68" s="226">
        <f>djougangirewxvpts</f>
        <v>0</v>
      </c>
    </row>
    <row r="69" spans="1:6" ht="14.95" customHeight="1" thickBot="1" x14ac:dyDescent="0.3">
      <c r="A69" s="230" t="s">
        <v>553</v>
      </c>
      <c r="B69" s="231" t="s">
        <v>533</v>
      </c>
      <c r="C69" s="232">
        <f>dolfrsawxvtries</f>
        <v>0</v>
      </c>
      <c r="D69" s="224" t="s">
        <v>553</v>
      </c>
      <c r="E69" s="225" t="s">
        <v>533</v>
      </c>
      <c r="F69" s="226">
        <f>dolfrsawxvpts</f>
        <v>0</v>
      </c>
    </row>
    <row r="70" spans="1:6" ht="14.95" customHeight="1" thickBot="1" x14ac:dyDescent="0.3">
      <c r="A70" s="230" t="s">
        <v>192</v>
      </c>
      <c r="B70" s="231" t="s">
        <v>20</v>
      </c>
      <c r="C70" s="232">
        <f>dowengwxvtries</f>
        <v>0</v>
      </c>
      <c r="D70" s="224" t="s">
        <v>192</v>
      </c>
      <c r="E70" s="225" t="s">
        <v>20</v>
      </c>
      <c r="F70" s="226">
        <f>dowengwxvpts</f>
        <v>0</v>
      </c>
    </row>
    <row r="71" spans="1:6" ht="14.95" customHeight="1" thickBot="1" x14ac:dyDescent="0.3">
      <c r="A71" s="230" t="s">
        <v>477</v>
      </c>
      <c r="B71" s="231" t="s">
        <v>324</v>
      </c>
      <c r="C71" s="232">
        <v>0</v>
      </c>
      <c r="D71" s="224" t="s">
        <v>477</v>
      </c>
      <c r="E71" s="225" t="s">
        <v>324</v>
      </c>
      <c r="F71" s="226">
        <v>0</v>
      </c>
    </row>
    <row r="72" spans="1:6" ht="14.95" customHeight="1" thickBot="1" x14ac:dyDescent="0.3">
      <c r="A72" s="230" t="s">
        <v>562</v>
      </c>
      <c r="B72" s="231" t="s">
        <v>22</v>
      </c>
      <c r="C72" s="232">
        <v>0</v>
      </c>
      <c r="D72" s="224" t="s">
        <v>562</v>
      </c>
      <c r="E72" s="225" t="s">
        <v>22</v>
      </c>
      <c r="F72" s="226">
        <v>0</v>
      </c>
    </row>
    <row r="73" spans="1:6" ht="14.95" customHeight="1" thickBot="1" x14ac:dyDescent="0.3">
      <c r="A73" s="230" t="s">
        <v>558</v>
      </c>
      <c r="B73" s="231" t="s">
        <v>533</v>
      </c>
      <c r="C73" s="232">
        <v>0</v>
      </c>
      <c r="D73" s="224" t="s">
        <v>558</v>
      </c>
      <c r="E73" s="225" t="s">
        <v>533</v>
      </c>
      <c r="F73" s="226">
        <v>0</v>
      </c>
    </row>
    <row r="74" spans="1:6" ht="14.95" customHeight="1" thickBot="1" x14ac:dyDescent="0.3">
      <c r="A74" s="230" t="s">
        <v>401</v>
      </c>
      <c r="B74" s="231" t="s">
        <v>27</v>
      </c>
      <c r="C74" s="232">
        <f>escuderofrawxtries</f>
        <v>0</v>
      </c>
      <c r="D74" s="224" t="s">
        <v>401</v>
      </c>
      <c r="E74" s="225" t="s">
        <v>27</v>
      </c>
      <c r="F74" s="226">
        <f>escuderofrawxpts</f>
        <v>0</v>
      </c>
    </row>
    <row r="75" spans="1:6" ht="14.95" customHeight="1" thickBot="1" x14ac:dyDescent="0.3">
      <c r="A75" s="230" t="s">
        <v>420</v>
      </c>
      <c r="B75" s="231" t="s">
        <v>23</v>
      </c>
      <c r="C75" s="232">
        <v>0</v>
      </c>
      <c r="D75" s="224" t="s">
        <v>420</v>
      </c>
      <c r="E75" s="225" t="s">
        <v>23</v>
      </c>
      <c r="F75" s="226">
        <v>0</v>
      </c>
    </row>
    <row r="76" spans="1:6" ht="14.95" customHeight="1" thickBot="1" x14ac:dyDescent="0.3">
      <c r="A76" s="230" t="s">
        <v>717</v>
      </c>
      <c r="B76" s="231" t="s">
        <v>542</v>
      </c>
      <c r="C76" s="232">
        <v>0</v>
      </c>
      <c r="D76" s="224" t="s">
        <v>717</v>
      </c>
      <c r="E76" s="225" t="s">
        <v>542</v>
      </c>
      <c r="F76" s="226">
        <v>0</v>
      </c>
    </row>
    <row r="77" spans="1:6" ht="14.95" customHeight="1" thickBot="1" x14ac:dyDescent="0.3">
      <c r="A77" s="230" t="s">
        <v>510</v>
      </c>
      <c r="B77" s="231" t="s">
        <v>326</v>
      </c>
      <c r="C77" s="232">
        <v>0</v>
      </c>
      <c r="D77" s="224" t="s">
        <v>510</v>
      </c>
      <c r="E77" s="225" t="s">
        <v>326</v>
      </c>
      <c r="F77" s="226">
        <v>0</v>
      </c>
    </row>
    <row r="78" spans="1:6" ht="14.95" customHeight="1" thickBot="1" x14ac:dyDescent="0.3">
      <c r="A78" s="230" t="s">
        <v>595</v>
      </c>
      <c r="B78" s="231" t="s">
        <v>20</v>
      </c>
      <c r="C78" s="232">
        <f>feaunatiengwxvtries</f>
        <v>0</v>
      </c>
      <c r="D78" s="224" t="s">
        <v>595</v>
      </c>
      <c r="E78" s="225" t="s">
        <v>20</v>
      </c>
      <c r="F78" s="226">
        <f>feaunatiengwxvpts</f>
        <v>0</v>
      </c>
    </row>
    <row r="79" spans="1:6" ht="14.95" customHeight="1" thickBot="1" x14ac:dyDescent="0.3">
      <c r="A79" s="230" t="s">
        <v>583</v>
      </c>
      <c r="B79" s="231" t="s">
        <v>22</v>
      </c>
      <c r="C79" s="232">
        <f>fedrighiitawxvtries</f>
        <v>0</v>
      </c>
      <c r="D79" s="224" t="s">
        <v>583</v>
      </c>
      <c r="E79" s="225" t="s">
        <v>22</v>
      </c>
      <c r="F79" s="226">
        <f>fedrighiitawxvpts</f>
        <v>0</v>
      </c>
    </row>
    <row r="80" spans="1:6" ht="14.95" customHeight="1" thickBot="1" x14ac:dyDescent="0.3">
      <c r="A80" s="230" t="s">
        <v>676</v>
      </c>
      <c r="B80" s="231" t="s">
        <v>27</v>
      </c>
      <c r="C80" s="232">
        <v>0</v>
      </c>
      <c r="D80" s="224" t="s">
        <v>676</v>
      </c>
      <c r="E80" s="225" t="s">
        <v>27</v>
      </c>
      <c r="F80" s="226">
        <v>0</v>
      </c>
    </row>
    <row r="81" spans="1:6" ht="14.95" customHeight="1" thickBot="1" x14ac:dyDescent="0.3">
      <c r="A81" s="230" t="s">
        <v>708</v>
      </c>
      <c r="B81" s="231" t="s">
        <v>702</v>
      </c>
      <c r="C81" s="232">
        <v>0</v>
      </c>
      <c r="D81" s="224" t="s">
        <v>708</v>
      </c>
      <c r="E81" s="225" t="s">
        <v>702</v>
      </c>
      <c r="F81" s="226">
        <v>0</v>
      </c>
    </row>
    <row r="82" spans="1:6" ht="14.95" customHeight="1" thickBot="1" x14ac:dyDescent="0.3">
      <c r="A82" s="230" t="s">
        <v>539</v>
      </c>
      <c r="B82" s="231" t="s">
        <v>327</v>
      </c>
      <c r="C82" s="232">
        <v>0</v>
      </c>
      <c r="D82" s="224" t="s">
        <v>539</v>
      </c>
      <c r="E82" s="225" t="s">
        <v>327</v>
      </c>
      <c r="F82" s="226">
        <v>0</v>
      </c>
    </row>
    <row r="83" spans="1:6" ht="14.95" customHeight="1" thickBot="1" x14ac:dyDescent="0.3">
      <c r="A83" s="230" t="s">
        <v>712</v>
      </c>
      <c r="B83" s="231" t="s">
        <v>542</v>
      </c>
      <c r="C83" s="232">
        <v>0</v>
      </c>
      <c r="D83" s="224" t="s">
        <v>712</v>
      </c>
      <c r="E83" s="225" t="s">
        <v>542</v>
      </c>
      <c r="F83" s="226">
        <v>0</v>
      </c>
    </row>
    <row r="84" spans="1:6" ht="14.95" customHeight="1" thickBot="1" x14ac:dyDescent="0.3">
      <c r="A84" s="230" t="s">
        <v>513</v>
      </c>
      <c r="B84" s="231" t="s">
        <v>23</v>
      </c>
      <c r="C84" s="232">
        <v>0</v>
      </c>
      <c r="D84" s="224" t="s">
        <v>513</v>
      </c>
      <c r="E84" s="225" t="s">
        <v>23</v>
      </c>
      <c r="F84" s="226">
        <v>0</v>
      </c>
    </row>
    <row r="85" spans="1:6" ht="14.95" customHeight="1" thickBot="1" x14ac:dyDescent="0.3">
      <c r="A85" s="230" t="s">
        <v>986</v>
      </c>
      <c r="B85" s="231" t="s">
        <v>19</v>
      </c>
      <c r="C85" s="232">
        <f>floodirewxvtries</f>
        <v>0</v>
      </c>
      <c r="D85" s="224" t="s">
        <v>986</v>
      </c>
      <c r="E85" s="225" t="s">
        <v>19</v>
      </c>
      <c r="F85" s="226">
        <f>floodirewxvpts</f>
        <v>0</v>
      </c>
    </row>
    <row r="86" spans="1:6" ht="14.95" customHeight="1" thickBot="1" x14ac:dyDescent="0.3">
      <c r="A86" s="230" t="s">
        <v>473</v>
      </c>
      <c r="B86" s="231" t="s">
        <v>326</v>
      </c>
      <c r="C86" s="232">
        <f>fortezacanwxvtries</f>
        <v>0</v>
      </c>
      <c r="D86" s="224" t="s">
        <v>473</v>
      </c>
      <c r="E86" s="225" t="s">
        <v>326</v>
      </c>
      <c r="F86" s="226">
        <f>fortezacanwxvpts</f>
        <v>0</v>
      </c>
    </row>
    <row r="87" spans="1:6" ht="14.95" customHeight="1" thickBot="1" x14ac:dyDescent="0.3">
      <c r="A87" s="230" t="s">
        <v>462</v>
      </c>
      <c r="B87" s="231" t="s">
        <v>325</v>
      </c>
      <c r="C87" s="232">
        <v>0</v>
      </c>
      <c r="D87" s="224" t="s">
        <v>462</v>
      </c>
      <c r="E87" s="225" t="s">
        <v>325</v>
      </c>
      <c r="F87" s="226">
        <v>0</v>
      </c>
    </row>
    <row r="88" spans="1:6" ht="14.95" customHeight="1" thickBot="1" x14ac:dyDescent="0.3">
      <c r="A88" s="230" t="s">
        <v>487</v>
      </c>
      <c r="B88" s="231" t="s">
        <v>21</v>
      </c>
      <c r="C88" s="232">
        <f>gallagherscowxvtries</f>
        <v>0</v>
      </c>
      <c r="D88" s="224" t="s">
        <v>487</v>
      </c>
      <c r="E88" s="225" t="s">
        <v>21</v>
      </c>
      <c r="F88" s="226">
        <f>gallagherscowxvpts</f>
        <v>0</v>
      </c>
    </row>
    <row r="89" spans="1:6" ht="14.95" customHeight="1" thickBot="1" x14ac:dyDescent="0.3">
      <c r="A89" s="230" t="s">
        <v>487</v>
      </c>
      <c r="B89" s="231" t="s">
        <v>326</v>
      </c>
      <c r="C89" s="232">
        <v>0</v>
      </c>
      <c r="D89" s="224" t="s">
        <v>487</v>
      </c>
      <c r="E89" s="225" t="s">
        <v>326</v>
      </c>
      <c r="F89" s="226">
        <v>0</v>
      </c>
    </row>
    <row r="90" spans="1:6" ht="14.95" customHeight="1" thickBot="1" x14ac:dyDescent="0.3">
      <c r="A90" s="230" t="s">
        <v>984</v>
      </c>
      <c r="B90" s="231" t="s">
        <v>27</v>
      </c>
      <c r="C90" s="232">
        <f>gerinfrawxvtries</f>
        <v>0</v>
      </c>
      <c r="D90" s="224" t="s">
        <v>984</v>
      </c>
      <c r="E90" s="225" t="s">
        <v>27</v>
      </c>
      <c r="F90" s="226">
        <f>gerinfrawxvpts</f>
        <v>0</v>
      </c>
    </row>
    <row r="91" spans="1:6" ht="14.95" customHeight="1" thickBot="1" x14ac:dyDescent="0.3">
      <c r="A91" s="230" t="s">
        <v>563</v>
      </c>
      <c r="B91" s="231" t="s">
        <v>22</v>
      </c>
      <c r="C91" s="232">
        <f>giordanoitawxvtries</f>
        <v>0</v>
      </c>
      <c r="D91" s="224" t="s">
        <v>563</v>
      </c>
      <c r="E91" s="225" t="s">
        <v>22</v>
      </c>
      <c r="F91" s="226">
        <f>giordanoitawxvpts</f>
        <v>0</v>
      </c>
    </row>
    <row r="92" spans="1:6" ht="14.95" customHeight="1" thickBot="1" x14ac:dyDescent="0.3">
      <c r="A92" s="230" t="s">
        <v>404</v>
      </c>
      <c r="B92" s="231" t="s">
        <v>21</v>
      </c>
      <c r="C92" s="232">
        <f>grantscowxvtries</f>
        <v>0</v>
      </c>
      <c r="D92" s="224" t="s">
        <v>404</v>
      </c>
      <c r="E92" s="225" t="s">
        <v>21</v>
      </c>
      <c r="F92" s="226">
        <f>grantscowxvpts</f>
        <v>0</v>
      </c>
    </row>
    <row r="93" spans="1:6" ht="14.95" customHeight="1" thickBot="1" x14ac:dyDescent="0.3">
      <c r="A93" s="230" t="s">
        <v>505</v>
      </c>
      <c r="B93" s="231" t="s">
        <v>326</v>
      </c>
      <c r="C93" s="232">
        <v>0</v>
      </c>
      <c r="D93" s="224" t="s">
        <v>505</v>
      </c>
      <c r="E93" s="225" t="s">
        <v>326</v>
      </c>
      <c r="F93" s="226">
        <v>0</v>
      </c>
    </row>
    <row r="94" spans="1:6" ht="14.95" customHeight="1" thickBot="1" x14ac:dyDescent="0.3">
      <c r="A94" s="230" t="s">
        <v>525</v>
      </c>
      <c r="B94" s="231" t="s">
        <v>22</v>
      </c>
      <c r="C94" s="232">
        <f>granzottoitawxvtries</f>
        <v>0</v>
      </c>
      <c r="D94" s="224" t="s">
        <v>525</v>
      </c>
      <c r="E94" s="225" t="s">
        <v>22</v>
      </c>
      <c r="F94" s="226">
        <f>granzottoitawxvpts</f>
        <v>0</v>
      </c>
    </row>
    <row r="95" spans="1:6" ht="14.95" customHeight="1" thickBot="1" x14ac:dyDescent="0.3">
      <c r="A95" s="230" t="s">
        <v>596</v>
      </c>
      <c r="B95" s="231" t="s">
        <v>27</v>
      </c>
      <c r="C95" s="232">
        <f>grisezfrawxvtries</f>
        <v>0</v>
      </c>
      <c r="D95" s="224" t="s">
        <v>596</v>
      </c>
      <c r="E95" s="225" t="s">
        <v>27</v>
      </c>
      <c r="F95" s="226">
        <f>grisezfrawxvpts</f>
        <v>0</v>
      </c>
    </row>
    <row r="96" spans="1:6" ht="14.95" customHeight="1" thickBot="1" x14ac:dyDescent="0.3">
      <c r="A96" s="230" t="s">
        <v>196</v>
      </c>
      <c r="B96" s="231" t="s">
        <v>27</v>
      </c>
      <c r="C96" s="232">
        <v>0</v>
      </c>
      <c r="D96" s="224" t="s">
        <v>196</v>
      </c>
      <c r="E96" s="225" t="s">
        <v>27</v>
      </c>
      <c r="F96" s="226">
        <v>0</v>
      </c>
    </row>
    <row r="97" spans="1:6" ht="14.95" customHeight="1" thickBot="1" x14ac:dyDescent="0.3">
      <c r="A97" s="230" t="s">
        <v>696</v>
      </c>
      <c r="B97" s="231" t="s">
        <v>533</v>
      </c>
      <c r="C97" s="232">
        <v>0</v>
      </c>
      <c r="D97" s="224" t="s">
        <v>696</v>
      </c>
      <c r="E97" s="225" t="s">
        <v>533</v>
      </c>
      <c r="F97" s="226">
        <v>0</v>
      </c>
    </row>
    <row r="98" spans="1:6" ht="14.95" customHeight="1" thickBot="1" x14ac:dyDescent="0.3">
      <c r="A98" s="230" t="s">
        <v>908</v>
      </c>
      <c r="B98" s="231" t="s">
        <v>325</v>
      </c>
      <c r="C98" s="232">
        <f>halseauswxvtries</f>
        <v>0</v>
      </c>
      <c r="D98" s="224" t="s">
        <v>908</v>
      </c>
      <c r="E98" s="225" t="s">
        <v>325</v>
      </c>
      <c r="F98" s="226">
        <f>halseauswxvpts</f>
        <v>0</v>
      </c>
    </row>
    <row r="99" spans="1:6" ht="14.95" customHeight="1" thickBot="1" x14ac:dyDescent="0.3">
      <c r="A99" s="230" t="s">
        <v>575</v>
      </c>
      <c r="B99" s="231" t="s">
        <v>20</v>
      </c>
      <c r="C99" s="232">
        <f>harrisonengwxvtries</f>
        <v>0</v>
      </c>
      <c r="D99" s="224" t="s">
        <v>575</v>
      </c>
      <c r="E99" s="225" t="s">
        <v>20</v>
      </c>
      <c r="F99" s="226">
        <f>harrisonengwxvpts</f>
        <v>0</v>
      </c>
    </row>
    <row r="100" spans="1:6" ht="14.95" customHeight="1" thickBot="1" x14ac:dyDescent="0.3">
      <c r="A100" s="230" t="s">
        <v>949</v>
      </c>
      <c r="B100" s="231" t="s">
        <v>527</v>
      </c>
      <c r="C100" s="232">
        <f>hatadajpnwxvtries</f>
        <v>0</v>
      </c>
      <c r="D100" s="224" t="s">
        <v>949</v>
      </c>
      <c r="E100" s="225" t="s">
        <v>527</v>
      </c>
      <c r="F100" s="226">
        <f>hatadajpnwxvpts</f>
        <v>0</v>
      </c>
    </row>
    <row r="101" spans="1:6" ht="14.95" customHeight="1" thickBot="1" x14ac:dyDescent="0.3">
      <c r="A101" s="230" t="s">
        <v>442</v>
      </c>
      <c r="B101" s="231" t="s">
        <v>327</v>
      </c>
      <c r="C101" s="232">
        <f>hawkinsusawxvtries</f>
        <v>0</v>
      </c>
      <c r="D101" s="224" t="s">
        <v>442</v>
      </c>
      <c r="E101" s="225" t="s">
        <v>327</v>
      </c>
      <c r="F101" s="226">
        <f>hawkinsusawxvpts</f>
        <v>0</v>
      </c>
    </row>
    <row r="102" spans="1:6" ht="14.95" customHeight="1" thickBot="1" x14ac:dyDescent="0.3">
      <c r="A102" s="230" t="s">
        <v>532</v>
      </c>
      <c r="B102" s="231" t="s">
        <v>533</v>
      </c>
      <c r="C102" s="232">
        <f>helersawxvtries</f>
        <v>0</v>
      </c>
      <c r="D102" s="224" t="s">
        <v>532</v>
      </c>
      <c r="E102" s="225" t="s">
        <v>533</v>
      </c>
      <c r="F102" s="226">
        <f>helersawxvpts</f>
        <v>0</v>
      </c>
    </row>
    <row r="103" spans="1:6" ht="14.95" customHeight="1" thickBot="1" x14ac:dyDescent="0.3">
      <c r="A103" s="230" t="s">
        <v>586</v>
      </c>
      <c r="B103" s="231" t="s">
        <v>19</v>
      </c>
      <c r="C103" s="232">
        <f>higginsirewxvtries</f>
        <v>0</v>
      </c>
      <c r="D103" s="224" t="s">
        <v>586</v>
      </c>
      <c r="E103" s="225" t="s">
        <v>19</v>
      </c>
      <c r="F103" s="226">
        <f>higginsirewxvpts</f>
        <v>0</v>
      </c>
    </row>
    <row r="104" spans="1:6" ht="14.95" customHeight="1" thickBot="1" x14ac:dyDescent="0.3">
      <c r="A104" s="230" t="s">
        <v>541</v>
      </c>
      <c r="B104" s="231" t="s">
        <v>327</v>
      </c>
      <c r="C104" s="232">
        <v>0</v>
      </c>
      <c r="D104" s="224" t="s">
        <v>541</v>
      </c>
      <c r="E104" s="225" t="s">
        <v>327</v>
      </c>
      <c r="F104" s="226">
        <v>0</v>
      </c>
    </row>
    <row r="105" spans="1:6" ht="14.95" customHeight="1" thickBot="1" x14ac:dyDescent="0.3">
      <c r="A105" s="230" t="s">
        <v>555</v>
      </c>
      <c r="B105" s="231" t="s">
        <v>527</v>
      </c>
      <c r="C105" s="232">
        <f>hirotsujpnwxvtries</f>
        <v>0</v>
      </c>
      <c r="D105" s="224" t="s">
        <v>555</v>
      </c>
      <c r="E105" s="225" t="s">
        <v>527</v>
      </c>
      <c r="F105" s="226">
        <f>hirotsujpnwxvpts</f>
        <v>0</v>
      </c>
    </row>
    <row r="106" spans="1:6" ht="14.95" customHeight="1" thickBot="1" x14ac:dyDescent="0.3">
      <c r="A106" s="230" t="s">
        <v>665</v>
      </c>
      <c r="B106" s="231" t="s">
        <v>326</v>
      </c>
      <c r="C106" s="232">
        <f>hoganrochestercanwxvtries</f>
        <v>0</v>
      </c>
      <c r="D106" s="224" t="s">
        <v>665</v>
      </c>
      <c r="E106" s="225" t="s">
        <v>326</v>
      </c>
      <c r="F106" s="226">
        <f>hoganrochestercanwxvpts</f>
        <v>0</v>
      </c>
    </row>
    <row r="107" spans="1:6" ht="14.95" customHeight="1" thickBot="1" x14ac:dyDescent="0.3">
      <c r="A107" s="230" t="s">
        <v>454</v>
      </c>
      <c r="B107" s="231" t="s">
        <v>324</v>
      </c>
      <c r="C107" s="232">
        <f>holmesnzlwxvtries</f>
        <v>0</v>
      </c>
      <c r="D107" s="224" t="s">
        <v>454</v>
      </c>
      <c r="E107" s="225" t="s">
        <v>324</v>
      </c>
      <c r="F107" s="226">
        <f>holmesnzlwxvpts</f>
        <v>0</v>
      </c>
    </row>
    <row r="108" spans="1:6" ht="14.95" customHeight="1" thickBot="1" x14ac:dyDescent="0.3">
      <c r="A108" s="230" t="s">
        <v>504</v>
      </c>
      <c r="B108" s="231" t="s">
        <v>326</v>
      </c>
      <c r="C108" s="232">
        <f>huntcanwxvtries</f>
        <v>0</v>
      </c>
      <c r="D108" s="224" t="s">
        <v>504</v>
      </c>
      <c r="E108" s="225" t="s">
        <v>326</v>
      </c>
      <c r="F108" s="226">
        <f>huntcanwxvpts</f>
        <v>0</v>
      </c>
    </row>
    <row r="109" spans="1:6" ht="14.95" customHeight="1" thickBot="1" x14ac:dyDescent="0.3">
      <c r="A109" s="230" t="s">
        <v>593</v>
      </c>
      <c r="B109" s="231" t="s">
        <v>20</v>
      </c>
      <c r="C109" s="232">
        <v>0</v>
      </c>
      <c r="D109" s="224" t="s">
        <v>593</v>
      </c>
      <c r="E109" s="225" t="s">
        <v>20</v>
      </c>
      <c r="F109" s="226">
        <v>0</v>
      </c>
    </row>
    <row r="110" spans="1:6" ht="14.95" customHeight="1" thickBot="1" x14ac:dyDescent="0.3">
      <c r="A110" s="230" t="s">
        <v>967</v>
      </c>
      <c r="B110" s="231" t="s">
        <v>527</v>
      </c>
      <c r="C110" s="232">
        <f>imakugijpnwxvtries</f>
        <v>0</v>
      </c>
      <c r="D110" s="224" t="s">
        <v>967</v>
      </c>
      <c r="E110" s="225" t="s">
        <v>527</v>
      </c>
      <c r="F110" s="226">
        <f>imakugijpnwxvpts</f>
        <v>0</v>
      </c>
    </row>
    <row r="111" spans="1:6" ht="14.95" customHeight="1" thickBot="1" x14ac:dyDescent="0.3">
      <c r="A111" s="230" t="s">
        <v>557</v>
      </c>
      <c r="B111" s="231" t="s">
        <v>533</v>
      </c>
      <c r="C111" s="232">
        <v>0</v>
      </c>
      <c r="D111" s="224" t="s">
        <v>557</v>
      </c>
      <c r="E111" s="225" t="s">
        <v>533</v>
      </c>
      <c r="F111" s="226">
        <v>0</v>
      </c>
    </row>
    <row r="112" spans="1:6" ht="14.95" customHeight="1" thickBot="1" x14ac:dyDescent="0.3">
      <c r="A112" s="230" t="s">
        <v>546</v>
      </c>
      <c r="B112" s="231" t="s">
        <v>327</v>
      </c>
      <c r="C112" s="232">
        <v>0</v>
      </c>
      <c r="D112" s="224" t="s">
        <v>546</v>
      </c>
      <c r="E112" s="225" t="s">
        <v>327</v>
      </c>
      <c r="F112" s="226">
        <v>0</v>
      </c>
    </row>
    <row r="113" spans="1:6" ht="14.95" customHeight="1" thickBot="1" x14ac:dyDescent="0.3">
      <c r="A113" s="230" t="s">
        <v>675</v>
      </c>
      <c r="B113" s="231" t="s">
        <v>27</v>
      </c>
      <c r="C113" s="232">
        <v>0</v>
      </c>
      <c r="D113" s="224" t="s">
        <v>675</v>
      </c>
      <c r="E113" s="225" t="s">
        <v>27</v>
      </c>
      <c r="F113" s="226">
        <v>0</v>
      </c>
    </row>
    <row r="114" spans="1:6" ht="14.95" customHeight="1" thickBot="1" x14ac:dyDescent="0.3">
      <c r="A114" s="230" t="s">
        <v>535</v>
      </c>
      <c r="B114" s="231" t="s">
        <v>533</v>
      </c>
      <c r="C114" s="232">
        <f>jansevanrensburgrsawxvtries</f>
        <v>0</v>
      </c>
      <c r="D114" s="224" t="s">
        <v>535</v>
      </c>
      <c r="E114" s="225" t="s">
        <v>533</v>
      </c>
      <c r="F114" s="226">
        <f>jansevanrensburgrsawxvpts</f>
        <v>0</v>
      </c>
    </row>
    <row r="115" spans="1:6" ht="14.95" customHeight="1" thickBot="1" x14ac:dyDescent="0.3">
      <c r="A115" s="230" t="s">
        <v>905</v>
      </c>
      <c r="B115" s="231" t="s">
        <v>327</v>
      </c>
      <c r="C115" s="232">
        <f>jarrellsearcyusawxvtries</f>
        <v>0</v>
      </c>
      <c r="D115" s="224" t="s">
        <v>905</v>
      </c>
      <c r="E115" s="225" t="s">
        <v>327</v>
      </c>
      <c r="F115" s="226">
        <f>jarrellsearcyusawxvpts</f>
        <v>0</v>
      </c>
    </row>
    <row r="116" spans="1:6" ht="14.95" customHeight="1" thickBot="1" x14ac:dyDescent="0.3">
      <c r="A116" s="230" t="s">
        <v>306</v>
      </c>
      <c r="B116" s="231" t="s">
        <v>327</v>
      </c>
      <c r="C116" s="232">
        <v>0</v>
      </c>
      <c r="D116" s="224" t="s">
        <v>306</v>
      </c>
      <c r="E116" s="225" t="s">
        <v>327</v>
      </c>
      <c r="F116" s="226">
        <v>0</v>
      </c>
    </row>
    <row r="117" spans="1:6" ht="14.95" customHeight="1" thickBot="1" x14ac:dyDescent="0.3">
      <c r="A117" s="230" t="s">
        <v>172</v>
      </c>
      <c r="B117" s="231" t="s">
        <v>23</v>
      </c>
      <c r="C117" s="232">
        <v>0</v>
      </c>
      <c r="D117" s="224" t="s">
        <v>172</v>
      </c>
      <c r="E117" s="225" t="s">
        <v>23</v>
      </c>
      <c r="F117" s="226">
        <v>0</v>
      </c>
    </row>
    <row r="118" spans="1:6" ht="14.95" customHeight="1" thickBot="1" x14ac:dyDescent="0.3">
      <c r="A118" s="230" t="s">
        <v>502</v>
      </c>
      <c r="B118" s="231" t="s">
        <v>20</v>
      </c>
      <c r="C118" s="232">
        <f>jonesengwxvtries</f>
        <v>0</v>
      </c>
      <c r="D118" s="224" t="s">
        <v>502</v>
      </c>
      <c r="E118" s="225" t="s">
        <v>20</v>
      </c>
      <c r="F118" s="226">
        <f>jonesengwxvpts</f>
        <v>0</v>
      </c>
    </row>
    <row r="119" spans="1:6" ht="14.95" thickBot="1" x14ac:dyDescent="0.3">
      <c r="A119" s="230" t="s">
        <v>581</v>
      </c>
      <c r="B119" s="231" t="s">
        <v>19</v>
      </c>
      <c r="C119" s="232">
        <f>jonesirewxvtries</f>
        <v>0</v>
      </c>
      <c r="D119" s="224" t="s">
        <v>581</v>
      </c>
      <c r="E119" s="225" t="s">
        <v>19</v>
      </c>
      <c r="F119" s="226">
        <f>jonesirewxvpts</f>
        <v>0</v>
      </c>
    </row>
    <row r="120" spans="1:6" ht="14.95" thickBot="1" x14ac:dyDescent="0.3">
      <c r="A120" s="230" t="s">
        <v>981</v>
      </c>
      <c r="B120" s="231" t="s">
        <v>324</v>
      </c>
      <c r="C120" s="232">
        <f>josephnzlwxvtries</f>
        <v>0</v>
      </c>
      <c r="D120" s="224" t="s">
        <v>981</v>
      </c>
      <c r="E120" s="225" t="s">
        <v>324</v>
      </c>
      <c r="F120" s="226">
        <f>josephnzlwxvpts</f>
        <v>0</v>
      </c>
    </row>
    <row r="121" spans="1:6" ht="14.95" thickBot="1" x14ac:dyDescent="0.3">
      <c r="A121" s="230" t="s">
        <v>651</v>
      </c>
      <c r="B121" s="231" t="s">
        <v>23</v>
      </c>
      <c r="C121" s="232">
        <v>0</v>
      </c>
      <c r="D121" s="224" t="s">
        <v>651</v>
      </c>
      <c r="E121" s="225" t="s">
        <v>23</v>
      </c>
      <c r="F121" s="226">
        <v>0</v>
      </c>
    </row>
    <row r="122" spans="1:6" ht="14.95" thickBot="1" x14ac:dyDescent="0.3">
      <c r="A122" s="230" t="s">
        <v>384</v>
      </c>
      <c r="B122" s="231" t="s">
        <v>20</v>
      </c>
      <c r="C122" s="232">
        <f>kabeyaengWXVtries</f>
        <v>0</v>
      </c>
      <c r="D122" s="224" t="s">
        <v>384</v>
      </c>
      <c r="E122" s="225" t="s">
        <v>20</v>
      </c>
      <c r="F122" s="226">
        <f>kabeyaengwxvpts</f>
        <v>0</v>
      </c>
    </row>
    <row r="123" spans="1:6" ht="14.95" thickBot="1" x14ac:dyDescent="0.3">
      <c r="A123" s="230" t="s">
        <v>684</v>
      </c>
      <c r="B123" s="231" t="s">
        <v>324</v>
      </c>
      <c r="C123" s="232">
        <f>kalouivalenzlwxvtries</f>
        <v>0</v>
      </c>
      <c r="D123" s="224" t="s">
        <v>684</v>
      </c>
      <c r="E123" s="225" t="s">
        <v>324</v>
      </c>
      <c r="F123" s="226">
        <f>kalouivalenzlwxvpts</f>
        <v>0</v>
      </c>
    </row>
    <row r="124" spans="1:6" ht="14.95" thickBot="1" x14ac:dyDescent="0.3">
      <c r="A124" s="230" t="s">
        <v>464</v>
      </c>
      <c r="B124" s="231" t="s">
        <v>325</v>
      </c>
      <c r="C124" s="232">
        <f>karpaniauswxvtries</f>
        <v>0</v>
      </c>
      <c r="D124" s="224" t="s">
        <v>464</v>
      </c>
      <c r="E124" s="225" t="s">
        <v>325</v>
      </c>
      <c r="F124" s="226">
        <f>karpaniauswxvpts</f>
        <v>0</v>
      </c>
    </row>
    <row r="125" spans="1:6" ht="14.95" thickBot="1" x14ac:dyDescent="0.3">
      <c r="A125" s="230" t="s">
        <v>929</v>
      </c>
      <c r="B125" s="231" t="s">
        <v>326</v>
      </c>
      <c r="C125" s="232">
        <f>kassilcanwxvtries</f>
        <v>0</v>
      </c>
      <c r="D125" s="224" t="s">
        <v>929</v>
      </c>
      <c r="E125" s="225" t="s">
        <v>326</v>
      </c>
      <c r="F125" s="226">
        <f>kassilcanwxvpts</f>
        <v>0</v>
      </c>
    </row>
    <row r="126" spans="1:6" ht="14.95" thickBot="1" x14ac:dyDescent="0.3">
      <c r="A126" s="230" t="s">
        <v>917</v>
      </c>
      <c r="B126" s="231" t="s">
        <v>527</v>
      </c>
      <c r="C126" s="232">
        <f>kawamurajpnwxvtries</f>
        <v>0</v>
      </c>
      <c r="D126" s="224" t="s">
        <v>917</v>
      </c>
      <c r="E126" s="225" t="s">
        <v>527</v>
      </c>
      <c r="F126" s="226">
        <f>kawamurajpnwxvpts</f>
        <v>0</v>
      </c>
    </row>
    <row r="127" spans="1:6" ht="14.95" thickBot="1" x14ac:dyDescent="0.3">
      <c r="A127" s="230" t="s">
        <v>699</v>
      </c>
      <c r="B127" s="231" t="s">
        <v>327</v>
      </c>
      <c r="C127" s="232">
        <v>0</v>
      </c>
      <c r="D127" s="224" t="s">
        <v>699</v>
      </c>
      <c r="E127" s="225" t="s">
        <v>327</v>
      </c>
      <c r="F127" s="226">
        <v>0</v>
      </c>
    </row>
    <row r="128" spans="1:6" ht="14.95" thickBot="1" x14ac:dyDescent="0.3">
      <c r="A128" s="230" t="s">
        <v>589</v>
      </c>
      <c r="B128" s="231" t="s">
        <v>27</v>
      </c>
      <c r="C128" s="232">
        <f>khalfaouifrawxvtries</f>
        <v>0</v>
      </c>
      <c r="D128" s="224" t="s">
        <v>589</v>
      </c>
      <c r="E128" s="225" t="s">
        <v>27</v>
      </c>
      <c r="F128" s="226">
        <f>khalfaouifrawxvpts</f>
        <v>0</v>
      </c>
    </row>
    <row r="129" spans="1:6" ht="14.95" thickBot="1" x14ac:dyDescent="0.3">
      <c r="A129" s="230" t="s">
        <v>212</v>
      </c>
      <c r="B129" s="231" t="s">
        <v>20</v>
      </c>
      <c r="C129" s="232">
        <f>kildunneengwxvtries</f>
        <v>0</v>
      </c>
      <c r="D129" s="224" t="s">
        <v>212</v>
      </c>
      <c r="E129" s="225" t="s">
        <v>20</v>
      </c>
      <c r="F129" s="226">
        <f>kildunneengwxvpts</f>
        <v>0</v>
      </c>
    </row>
    <row r="130" spans="1:6" ht="14.95" thickBot="1" x14ac:dyDescent="0.3">
      <c r="A130" s="230" t="s">
        <v>606</v>
      </c>
      <c r="B130" s="231" t="s">
        <v>324</v>
      </c>
      <c r="C130" s="232">
        <v>0</v>
      </c>
      <c r="D130" s="224" t="s">
        <v>606</v>
      </c>
      <c r="E130" s="225" t="s">
        <v>324</v>
      </c>
      <c r="F130" s="226">
        <v>0</v>
      </c>
    </row>
    <row r="131" spans="1:6" ht="14.95" thickBot="1" x14ac:dyDescent="0.3">
      <c r="A131" s="230" t="s">
        <v>966</v>
      </c>
      <c r="B131" s="231" t="s">
        <v>527</v>
      </c>
      <c r="C131" s="232">
        <f>kitanojpnwxvtries</f>
        <v>0</v>
      </c>
      <c r="D131" s="224" t="s">
        <v>966</v>
      </c>
      <c r="E131" s="225" t="s">
        <v>527</v>
      </c>
      <c r="F131" s="226">
        <f>kitanojpnwxvpts</f>
        <v>0</v>
      </c>
    </row>
    <row r="132" spans="1:6" ht="14.95" thickBot="1" x14ac:dyDescent="0.3">
      <c r="A132" s="230" t="s">
        <v>920</v>
      </c>
      <c r="B132" s="231" t="s">
        <v>921</v>
      </c>
      <c r="C132" s="232">
        <f>Kochhannbrawxvtries</f>
        <v>0</v>
      </c>
      <c r="D132" s="224" t="s">
        <v>920</v>
      </c>
      <c r="E132" s="225" t="s">
        <v>921</v>
      </c>
      <c r="F132" s="226">
        <f>Kochhannbrawxvpts</f>
        <v>0</v>
      </c>
    </row>
    <row r="133" spans="1:6" ht="14.95" thickBot="1" x14ac:dyDescent="0.3">
      <c r="A133" s="230" t="s">
        <v>935</v>
      </c>
      <c r="B133" s="231" t="s">
        <v>667</v>
      </c>
      <c r="C133" s="232">
        <f>komaitaifijwxvtries</f>
        <v>0</v>
      </c>
      <c r="D133" s="224" t="s">
        <v>935</v>
      </c>
      <c r="E133" s="225" t="s">
        <v>667</v>
      </c>
      <c r="F133" s="226">
        <f>komaitaifijwxvpts</f>
        <v>0</v>
      </c>
    </row>
    <row r="134" spans="1:6" ht="14.95" thickBot="1" x14ac:dyDescent="0.3">
      <c r="A134" s="230" t="s">
        <v>591</v>
      </c>
      <c r="B134" s="231" t="s">
        <v>27</v>
      </c>
      <c r="C134" s="232">
        <f>kondefrawxvtries</f>
        <v>0</v>
      </c>
      <c r="D134" s="224" t="s">
        <v>591</v>
      </c>
      <c r="E134" s="225" t="s">
        <v>27</v>
      </c>
      <c r="F134" s="226">
        <f>kondefrawxvpts</f>
        <v>0</v>
      </c>
    </row>
    <row r="135" spans="1:6" ht="14.95" thickBot="1" x14ac:dyDescent="0.3">
      <c r="A135" s="230" t="s">
        <v>672</v>
      </c>
      <c r="B135" s="231" t="s">
        <v>667</v>
      </c>
      <c r="C135" s="232">
        <v>0</v>
      </c>
      <c r="D135" s="224" t="s">
        <v>672</v>
      </c>
      <c r="E135" s="225" t="s">
        <v>667</v>
      </c>
      <c r="F135" s="226">
        <v>0</v>
      </c>
    </row>
    <row r="136" spans="1:6" ht="14.95" thickBot="1" x14ac:dyDescent="0.3">
      <c r="A136" s="230" t="s">
        <v>446</v>
      </c>
      <c r="B136" s="231" t="s">
        <v>326</v>
      </c>
      <c r="C136" s="232">
        <v>0</v>
      </c>
      <c r="D136" s="224" t="s">
        <v>446</v>
      </c>
      <c r="E136" s="225" t="s">
        <v>326</v>
      </c>
      <c r="F136" s="226">
        <v>0</v>
      </c>
    </row>
    <row r="137" spans="1:6" ht="14.95" thickBot="1" x14ac:dyDescent="0.3">
      <c r="A137" s="230" t="s">
        <v>552</v>
      </c>
      <c r="B137" s="231" t="s">
        <v>533</v>
      </c>
      <c r="C137" s="232">
        <f>LATSHARSAWXVTRIES</f>
        <v>0</v>
      </c>
      <c r="D137" s="224" t="s">
        <v>552</v>
      </c>
      <c r="E137" s="225" t="s">
        <v>533</v>
      </c>
      <c r="F137" s="226">
        <f>LATSHARSAWXVPTS</f>
        <v>0</v>
      </c>
    </row>
    <row r="138" spans="1:6" ht="14.95" thickBot="1" x14ac:dyDescent="0.3">
      <c r="A138" s="230" t="s">
        <v>683</v>
      </c>
      <c r="B138" s="231" t="s">
        <v>324</v>
      </c>
      <c r="C138" s="232">
        <f>letiiiganzlwxvtries</f>
        <v>0</v>
      </c>
      <c r="D138" s="224" t="s">
        <v>683</v>
      </c>
      <c r="E138" s="225" t="s">
        <v>324</v>
      </c>
      <c r="F138" s="226">
        <f>letiiiganzlwxvpts</f>
        <v>0</v>
      </c>
    </row>
    <row r="139" spans="1:6" ht="14.95" thickBot="1" x14ac:dyDescent="0.3">
      <c r="A139" s="230" t="s">
        <v>199</v>
      </c>
      <c r="B139" s="231" t="s">
        <v>27</v>
      </c>
      <c r="C139" s="232">
        <v>0</v>
      </c>
      <c r="D139" s="224" t="s">
        <v>199</v>
      </c>
      <c r="E139" s="225" t="s">
        <v>27</v>
      </c>
      <c r="F139" s="226">
        <v>0</v>
      </c>
    </row>
    <row r="140" spans="1:6" ht="14.95" thickBot="1" x14ac:dyDescent="0.3">
      <c r="A140" s="230" t="s">
        <v>547</v>
      </c>
      <c r="B140" s="231" t="s">
        <v>21</v>
      </c>
      <c r="C140" s="232">
        <f>lloydscowxvtries</f>
        <v>0</v>
      </c>
      <c r="D140" s="224" t="s">
        <v>547</v>
      </c>
      <c r="E140" s="225" t="s">
        <v>21</v>
      </c>
      <c r="F140" s="226">
        <f>lloydscowxvpts</f>
        <v>0</v>
      </c>
    </row>
    <row r="141" spans="1:6" ht="14.95" thickBot="1" x14ac:dyDescent="0.3">
      <c r="A141" s="230" t="s">
        <v>671</v>
      </c>
      <c r="B141" s="231" t="s">
        <v>667</v>
      </c>
      <c r="C141" s="232">
        <f>lomanifijwvtries</f>
        <v>0</v>
      </c>
      <c r="D141" s="224" t="s">
        <v>671</v>
      </c>
      <c r="E141" s="225" t="s">
        <v>667</v>
      </c>
      <c r="F141" s="226">
        <f>lomanifijwvpts</f>
        <v>0</v>
      </c>
    </row>
    <row r="142" spans="1:6" ht="14.95" thickBot="1" x14ac:dyDescent="0.3">
      <c r="A142" s="230" t="s">
        <v>918</v>
      </c>
      <c r="B142" s="231" t="s">
        <v>533</v>
      </c>
      <c r="C142" s="232">
        <f>makuarsawxvtries</f>
        <v>0</v>
      </c>
      <c r="D142" s="224" t="s">
        <v>918</v>
      </c>
      <c r="E142" s="225" t="s">
        <v>533</v>
      </c>
      <c r="F142" s="226">
        <f>makuarsawxvpts</f>
        <v>0</v>
      </c>
    </row>
    <row r="143" spans="1:6" ht="14.95" thickBot="1" x14ac:dyDescent="0.3">
      <c r="A143" s="230" t="s">
        <v>422</v>
      </c>
      <c r="B143" s="231" t="s">
        <v>21</v>
      </c>
      <c r="C143" s="232">
        <v>0</v>
      </c>
      <c r="D143" s="224" t="s">
        <v>422</v>
      </c>
      <c r="E143" s="225" t="s">
        <v>21</v>
      </c>
      <c r="F143" s="226">
        <v>0</v>
      </c>
    </row>
    <row r="144" spans="1:6" ht="14.95" thickBot="1" x14ac:dyDescent="0.3">
      <c r="A144" s="230" t="s">
        <v>689</v>
      </c>
      <c r="B144" s="231" t="s">
        <v>533</v>
      </c>
      <c r="C144" s="232">
        <f>malingarsawxvtries</f>
        <v>0</v>
      </c>
      <c r="D144" s="224" t="s">
        <v>689</v>
      </c>
      <c r="E144" s="225" t="s">
        <v>533</v>
      </c>
      <c r="F144" s="226">
        <f>malingarsawxvpts</f>
        <v>0</v>
      </c>
    </row>
    <row r="145" spans="1:6" ht="14.95" thickBot="1" x14ac:dyDescent="0.3">
      <c r="A145" s="230" t="s">
        <v>713</v>
      </c>
      <c r="B145" s="231" t="s">
        <v>542</v>
      </c>
      <c r="C145" s="232">
        <v>0</v>
      </c>
      <c r="D145" s="224" t="s">
        <v>713</v>
      </c>
      <c r="E145" s="225" t="s">
        <v>542</v>
      </c>
      <c r="F145" s="226">
        <v>0</v>
      </c>
    </row>
    <row r="146" spans="1:6" ht="14.95" thickBot="1" x14ac:dyDescent="0.3">
      <c r="A146" s="230" t="s">
        <v>982</v>
      </c>
      <c r="B146" s="231" t="s">
        <v>22</v>
      </c>
      <c r="C146" s="232">
        <f>mannianiitawxvtries</f>
        <v>0</v>
      </c>
      <c r="D146" s="224" t="s">
        <v>982</v>
      </c>
      <c r="E146" s="225" t="s">
        <v>22</v>
      </c>
      <c r="F146" s="226">
        <f>mannianiitawxvpts</f>
        <v>0</v>
      </c>
    </row>
    <row r="147" spans="1:6" ht="14.95" thickBot="1" x14ac:dyDescent="0.3">
      <c r="A147" s="230" t="s">
        <v>489</v>
      </c>
      <c r="B147" s="231" t="s">
        <v>325</v>
      </c>
      <c r="C147" s="232">
        <v>0</v>
      </c>
      <c r="D147" s="224" t="s">
        <v>489</v>
      </c>
      <c r="E147" s="225" t="s">
        <v>325</v>
      </c>
      <c r="F147" s="226">
        <v>0</v>
      </c>
    </row>
    <row r="148" spans="1:6" ht="14.95" customHeight="1" thickBot="1" x14ac:dyDescent="0.3">
      <c r="A148" s="230" t="s">
        <v>529</v>
      </c>
      <c r="B148" s="231" t="s">
        <v>527</v>
      </c>
      <c r="C148" s="232">
        <v>0</v>
      </c>
      <c r="D148" s="224" t="s">
        <v>529</v>
      </c>
      <c r="E148" s="225" t="s">
        <v>527</v>
      </c>
      <c r="F148" s="226">
        <v>0</v>
      </c>
    </row>
    <row r="149" spans="1:6" ht="14.95" thickBot="1" x14ac:dyDescent="0.3">
      <c r="A149" s="230" t="s">
        <v>204</v>
      </c>
      <c r="B149" s="231" t="s">
        <v>20</v>
      </c>
      <c r="C149" s="232">
        <f>matthewsengwxvtries</f>
        <v>0</v>
      </c>
      <c r="D149" s="224" t="s">
        <v>204</v>
      </c>
      <c r="E149" s="225" t="s">
        <v>20</v>
      </c>
      <c r="F149" s="226">
        <f>matthewsengwxvpts</f>
        <v>0</v>
      </c>
    </row>
    <row r="150" spans="1:6" ht="14.95" thickBot="1" x14ac:dyDescent="0.3">
      <c r="A150" s="230" t="s">
        <v>698</v>
      </c>
      <c r="B150" s="231" t="s">
        <v>533</v>
      </c>
      <c r="C150" s="232">
        <f>mcatshulwarsawxvtries</f>
        <v>0</v>
      </c>
      <c r="D150" s="224" t="s">
        <v>698</v>
      </c>
      <c r="E150" s="225" t="s">
        <v>533</v>
      </c>
      <c r="F150" s="226">
        <f>mcatshulwarsawxvpts</f>
        <v>0</v>
      </c>
    </row>
    <row r="151" spans="1:6" ht="14.95" thickBot="1" x14ac:dyDescent="0.3">
      <c r="A151" s="230" t="s">
        <v>737</v>
      </c>
      <c r="B151" s="231" t="s">
        <v>19</v>
      </c>
      <c r="C151" s="232">
        <f>mcgannirewxtries</f>
        <v>0</v>
      </c>
      <c r="D151" s="224" t="s">
        <v>737</v>
      </c>
      <c r="E151" s="225" t="s">
        <v>19</v>
      </c>
      <c r="F151" s="226">
        <f>mcgannirewxpts</f>
        <v>0</v>
      </c>
    </row>
    <row r="152" spans="1:6" ht="14.95" thickBot="1" x14ac:dyDescent="0.3">
      <c r="A152" s="230" t="s">
        <v>423</v>
      </c>
      <c r="B152" s="231" t="s">
        <v>21</v>
      </c>
      <c r="C152" s="232">
        <f>mcghiescowxvtries</f>
        <v>0</v>
      </c>
      <c r="D152" s="224" t="s">
        <v>423</v>
      </c>
      <c r="E152" s="225" t="s">
        <v>21</v>
      </c>
      <c r="F152" s="226">
        <f>mcghiescowxvpts</f>
        <v>0</v>
      </c>
    </row>
    <row r="153" spans="1:6" ht="14.95" thickBot="1" x14ac:dyDescent="0.3">
      <c r="A153" s="230" t="s">
        <v>517</v>
      </c>
      <c r="B153" s="231" t="s">
        <v>325</v>
      </c>
      <c r="C153" s="232">
        <v>0</v>
      </c>
      <c r="D153" s="224" t="s">
        <v>517</v>
      </c>
      <c r="E153" s="225" t="s">
        <v>325</v>
      </c>
      <c r="F153" s="226">
        <v>0</v>
      </c>
    </row>
    <row r="154" spans="1:6" ht="14.95" thickBot="1" x14ac:dyDescent="0.3">
      <c r="A154" s="230" t="s">
        <v>87</v>
      </c>
      <c r="B154" s="231" t="s">
        <v>27</v>
      </c>
      <c r="C154" s="232">
        <f>menagerfrawxvtries</f>
        <v>0</v>
      </c>
      <c r="D154" s="224" t="s">
        <v>87</v>
      </c>
      <c r="E154" s="225" t="s">
        <v>27</v>
      </c>
      <c r="F154" s="226">
        <f>menagerfrawxvpts</f>
        <v>0</v>
      </c>
    </row>
    <row r="155" spans="1:6" ht="14.95" thickBot="1" x14ac:dyDescent="0.3">
      <c r="A155" s="230" t="s">
        <v>86</v>
      </c>
      <c r="B155" s="231" t="s">
        <v>27</v>
      </c>
      <c r="C155" s="232">
        <v>0</v>
      </c>
      <c r="D155" s="224" t="s">
        <v>86</v>
      </c>
      <c r="E155" s="225" t="s">
        <v>27</v>
      </c>
      <c r="F155" s="226">
        <v>0</v>
      </c>
    </row>
    <row r="156" spans="1:6" ht="14.95" thickBot="1" x14ac:dyDescent="0.3">
      <c r="A156" s="230" t="s">
        <v>930</v>
      </c>
      <c r="B156" s="231" t="s">
        <v>23</v>
      </c>
      <c r="C156" s="232">
        <v>0</v>
      </c>
      <c r="D156" s="224" t="s">
        <v>930</v>
      </c>
      <c r="E156" s="225" t="s">
        <v>23</v>
      </c>
      <c r="F156" s="226">
        <v>0</v>
      </c>
    </row>
    <row r="157" spans="1:6" ht="14.95" thickBot="1" x14ac:dyDescent="0.3">
      <c r="A157" s="230" t="s">
        <v>484</v>
      </c>
      <c r="B157" s="231" t="s">
        <v>324</v>
      </c>
      <c r="C157" s="232">
        <f>MikaeleTuunzlwxvtries</f>
        <v>0</v>
      </c>
      <c r="D157" s="224" t="s">
        <v>484</v>
      </c>
      <c r="E157" s="225" t="s">
        <v>324</v>
      </c>
      <c r="F157" s="226">
        <f>MikaeleTuunzlwxvpts</f>
        <v>0</v>
      </c>
    </row>
    <row r="158" spans="1:6" ht="14.95" thickBot="1" x14ac:dyDescent="0.3">
      <c r="A158" s="230" t="s">
        <v>670</v>
      </c>
      <c r="B158" s="231" t="s">
        <v>667</v>
      </c>
      <c r="C158" s="232">
        <v>0</v>
      </c>
      <c r="D158" s="224" t="s">
        <v>670</v>
      </c>
      <c r="E158" s="225" t="s">
        <v>667</v>
      </c>
      <c r="F158" s="226">
        <v>0</v>
      </c>
    </row>
    <row r="159" spans="1:6" ht="14.95" thickBot="1" x14ac:dyDescent="0.3">
      <c r="A159" s="230" t="s">
        <v>619</v>
      </c>
      <c r="B159" s="231" t="s">
        <v>325</v>
      </c>
      <c r="C159" s="232">
        <f>millerauswxvtries</f>
        <v>0</v>
      </c>
      <c r="D159" s="224" t="s">
        <v>619</v>
      </c>
      <c r="E159" s="225" t="s">
        <v>325</v>
      </c>
      <c r="F159" s="226">
        <f>millerauswxvpts</f>
        <v>0</v>
      </c>
    </row>
    <row r="160" spans="1:6" ht="14.95" thickBot="1" x14ac:dyDescent="0.3">
      <c r="A160" s="230" t="s">
        <v>923</v>
      </c>
      <c r="B160" s="231" t="s">
        <v>324</v>
      </c>
      <c r="C160" s="232">
        <f>millernzlwxvtries</f>
        <v>0</v>
      </c>
      <c r="D160" s="224" t="s">
        <v>923</v>
      </c>
      <c r="E160" s="225" t="s">
        <v>324</v>
      </c>
      <c r="F160" s="226">
        <f>millernzlwxvpts</f>
        <v>0</v>
      </c>
    </row>
    <row r="161" spans="1:6" ht="14.95" thickBot="1" x14ac:dyDescent="0.3">
      <c r="A161" s="230" t="s">
        <v>660</v>
      </c>
      <c r="B161" s="231" t="s">
        <v>325</v>
      </c>
      <c r="C161" s="232">
        <v>0</v>
      </c>
      <c r="D161" s="224" t="s">
        <v>660</v>
      </c>
      <c r="E161" s="225" t="s">
        <v>325</v>
      </c>
      <c r="F161" s="226">
        <v>0</v>
      </c>
    </row>
    <row r="162" spans="1:6" ht="14.95" thickBot="1" x14ac:dyDescent="0.3">
      <c r="A162" s="230" t="s">
        <v>933</v>
      </c>
      <c r="B162" s="231" t="s">
        <v>20</v>
      </c>
      <c r="C162" s="232">
        <f>macdonaldengwxvtries</f>
        <v>0</v>
      </c>
      <c r="D162" s="224" t="s">
        <v>933</v>
      </c>
      <c r="E162" s="225" t="s">
        <v>20</v>
      </c>
      <c r="F162" s="226">
        <f>macdonaldengwxvpts</f>
        <v>0</v>
      </c>
    </row>
    <row r="163" spans="1:6" ht="14.95" thickBot="1" x14ac:dyDescent="0.3">
      <c r="A163" s="230" t="s">
        <v>937</v>
      </c>
      <c r="B163" s="231" t="s">
        <v>19</v>
      </c>
      <c r="C163" s="232">
        <f>mooreirewxvtries</f>
        <v>0</v>
      </c>
      <c r="D163" s="224" t="s">
        <v>937</v>
      </c>
      <c r="E163" s="225" t="s">
        <v>19</v>
      </c>
      <c r="F163" s="226">
        <f>mooreirewxvpts</f>
        <v>0</v>
      </c>
    </row>
    <row r="164" spans="1:6" ht="14.95" thickBot="1" x14ac:dyDescent="0.3">
      <c r="A164" s="230" t="s">
        <v>663</v>
      </c>
      <c r="B164" s="231" t="s">
        <v>325</v>
      </c>
      <c r="C164" s="232">
        <v>0</v>
      </c>
      <c r="D164" s="224" t="s">
        <v>663</v>
      </c>
      <c r="E164" s="225" t="s">
        <v>325</v>
      </c>
      <c r="F164" s="226">
        <v>0</v>
      </c>
    </row>
    <row r="165" spans="1:6" ht="14.95" thickBot="1" x14ac:dyDescent="0.3">
      <c r="A165" s="230" t="s">
        <v>951</v>
      </c>
      <c r="B165" s="231" t="s">
        <v>27</v>
      </c>
      <c r="C165" s="232">
        <f>morlandfrawxvtries</f>
        <v>0</v>
      </c>
      <c r="D165" s="224" t="s">
        <v>951</v>
      </c>
      <c r="E165" s="225" t="s">
        <v>27</v>
      </c>
      <c r="F165" s="226">
        <f>morlandfrawxvpts</f>
        <v>0</v>
      </c>
    </row>
    <row r="166" spans="1:6" ht="14.95" thickBot="1" x14ac:dyDescent="0.3">
      <c r="A166" s="230" t="s">
        <v>691</v>
      </c>
      <c r="B166" s="231" t="s">
        <v>533</v>
      </c>
      <c r="C166" s="232">
        <v>0</v>
      </c>
      <c r="D166" s="224" t="s">
        <v>691</v>
      </c>
      <c r="E166" s="225" t="s">
        <v>533</v>
      </c>
      <c r="F166" s="226">
        <v>0</v>
      </c>
    </row>
    <row r="167" spans="1:6" ht="14.95" thickBot="1" x14ac:dyDescent="0.3">
      <c r="A167" s="230" t="s">
        <v>409</v>
      </c>
      <c r="B167" s="231" t="s">
        <v>20</v>
      </c>
      <c r="C167" s="232">
        <f>muirengwxvtries</f>
        <v>0</v>
      </c>
      <c r="D167" s="224" t="s">
        <v>409</v>
      </c>
      <c r="E167" s="225" t="s">
        <v>20</v>
      </c>
      <c r="F167" s="226">
        <f>muirengwxvpts</f>
        <v>0</v>
      </c>
    </row>
    <row r="168" spans="1:6" ht="14.95" thickBot="1" x14ac:dyDescent="0.3">
      <c r="A168" s="230" t="s">
        <v>524</v>
      </c>
      <c r="B168" s="231" t="s">
        <v>22</v>
      </c>
      <c r="C168" s="232">
        <v>0</v>
      </c>
      <c r="D168" s="224" t="s">
        <v>524</v>
      </c>
      <c r="E168" s="225" t="s">
        <v>22</v>
      </c>
      <c r="F168" s="226">
        <v>0</v>
      </c>
    </row>
    <row r="169" spans="1:6" ht="14.95" thickBot="1" x14ac:dyDescent="0.3">
      <c r="A169" s="230" t="s">
        <v>351</v>
      </c>
      <c r="B169" s="231" t="s">
        <v>527</v>
      </c>
      <c r="C169" s="232">
        <f>nagataijpnwxvtries</f>
        <v>0</v>
      </c>
      <c r="D169" s="224" t="s">
        <v>351</v>
      </c>
      <c r="E169" s="225" t="s">
        <v>527</v>
      </c>
      <c r="F169" s="226">
        <f>nagataijpnwxvpts</f>
        <v>0</v>
      </c>
    </row>
    <row r="170" spans="1:6" ht="14.95" thickBot="1" x14ac:dyDescent="0.3">
      <c r="A170" s="230" t="s">
        <v>674</v>
      </c>
      <c r="B170" s="231" t="s">
        <v>667</v>
      </c>
      <c r="C170" s="232">
        <f>naisewafijwxvtries</f>
        <v>0</v>
      </c>
      <c r="D170" s="224" t="s">
        <v>674</v>
      </c>
      <c r="E170" s="225" t="s">
        <v>667</v>
      </c>
      <c r="F170" s="226">
        <f>naisewafijwxvpts</f>
        <v>0</v>
      </c>
    </row>
    <row r="171" spans="1:6" ht="14.95" thickBot="1" x14ac:dyDescent="0.3">
      <c r="A171" s="230" t="s">
        <v>528</v>
      </c>
      <c r="B171" s="231" t="s">
        <v>527</v>
      </c>
      <c r="C171" s="232">
        <f>ndukajpnwxvtriescorrect</f>
        <v>0</v>
      </c>
      <c r="D171" s="224" t="s">
        <v>528</v>
      </c>
      <c r="E171" s="225" t="s">
        <v>527</v>
      </c>
      <c r="F171" s="226">
        <f>ndukajpnwxvptscorrect</f>
        <v>0</v>
      </c>
    </row>
    <row r="172" spans="1:6" ht="14.95" thickBot="1" x14ac:dyDescent="0.3">
      <c r="A172" s="230" t="s">
        <v>964</v>
      </c>
      <c r="B172" s="231" t="s">
        <v>667</v>
      </c>
      <c r="C172" s="232">
        <f>neihamufijwxvtries</f>
        <v>0</v>
      </c>
      <c r="D172" s="224" t="s">
        <v>964</v>
      </c>
      <c r="E172" s="225" t="s">
        <v>667</v>
      </c>
      <c r="F172" s="226">
        <f>neihamufijwxots</f>
        <v>0</v>
      </c>
    </row>
    <row r="173" spans="1:6" ht="14.95" thickBot="1" x14ac:dyDescent="0.3">
      <c r="A173" s="230" t="s">
        <v>194</v>
      </c>
      <c r="B173" s="231" t="s">
        <v>21</v>
      </c>
      <c r="C173" s="232">
        <v>0</v>
      </c>
      <c r="D173" s="224" t="s">
        <v>194</v>
      </c>
      <c r="E173" s="225" t="s">
        <v>21</v>
      </c>
      <c r="F173" s="226">
        <f>nelsonscowxvpts</f>
        <v>0</v>
      </c>
    </row>
    <row r="174" spans="1:6" ht="14.95" thickBot="1" x14ac:dyDescent="0.3">
      <c r="A174" s="230" t="s">
        <v>963</v>
      </c>
      <c r="B174" s="231" t="s">
        <v>23</v>
      </c>
      <c r="C174" s="232">
        <f>neumannwalwxvtries</f>
        <v>0</v>
      </c>
      <c r="D174" s="224" t="s">
        <v>963</v>
      </c>
      <c r="E174" s="225" t="s">
        <v>23</v>
      </c>
      <c r="F174" s="226">
        <f>neumannwalwxvpts</f>
        <v>0</v>
      </c>
    </row>
    <row r="175" spans="1:6" ht="14.95" thickBot="1" x14ac:dyDescent="0.3">
      <c r="A175" s="230" t="s">
        <v>919</v>
      </c>
      <c r="B175" s="231" t="s">
        <v>533</v>
      </c>
      <c r="C175" s="232">
        <f>ngwevursawxvtries</f>
        <v>0</v>
      </c>
      <c r="D175" s="224" t="s">
        <v>919</v>
      </c>
      <c r="E175" s="225" t="s">
        <v>533</v>
      </c>
      <c r="F175" s="226">
        <f>ngwevursawxvpts</f>
        <v>0</v>
      </c>
    </row>
    <row r="176" spans="1:6" ht="14.95" thickBot="1" x14ac:dyDescent="0.3">
      <c r="A176" s="230" t="s">
        <v>439</v>
      </c>
      <c r="B176" s="231" t="s">
        <v>527</v>
      </c>
      <c r="C176" s="232">
        <f>nishimurajpnwxvtries</f>
        <v>0</v>
      </c>
      <c r="D176" s="224" t="s">
        <v>439</v>
      </c>
      <c r="E176" s="225" t="s">
        <v>527</v>
      </c>
      <c r="F176" s="226">
        <f>nishimurajpnwxvpts</f>
        <v>0</v>
      </c>
    </row>
    <row r="177" spans="1:6" ht="14.95" thickBot="1" x14ac:dyDescent="0.3">
      <c r="A177" s="230" t="s">
        <v>719</v>
      </c>
      <c r="B177" s="231" t="s">
        <v>542</v>
      </c>
      <c r="C177" s="232">
        <v>0</v>
      </c>
      <c r="D177" s="224" t="s">
        <v>719</v>
      </c>
      <c r="E177" s="225" t="s">
        <v>542</v>
      </c>
      <c r="F177" s="226">
        <v>0</v>
      </c>
    </row>
    <row r="178" spans="1:6" ht="14.95" thickBot="1" x14ac:dyDescent="0.3">
      <c r="A178" s="230" t="s">
        <v>394</v>
      </c>
      <c r="B178" s="231" t="s">
        <v>19</v>
      </c>
      <c r="C178" s="232">
        <f>obrienirewxvtries</f>
        <v>0</v>
      </c>
      <c r="D178" s="224" t="s">
        <v>394</v>
      </c>
      <c r="E178" s="225" t="s">
        <v>19</v>
      </c>
      <c r="F178" s="226">
        <f>obrienirewxvpts</f>
        <v>0</v>
      </c>
    </row>
    <row r="179" spans="1:6" ht="14.95" thickBot="1" x14ac:dyDescent="0.3">
      <c r="A179" s="230" t="s">
        <v>770</v>
      </c>
      <c r="B179" s="231" t="s">
        <v>326</v>
      </c>
      <c r="C179" s="232">
        <v>0</v>
      </c>
      <c r="D179" s="224" t="s">
        <v>770</v>
      </c>
      <c r="E179" s="225" t="s">
        <v>326</v>
      </c>
      <c r="F179" s="226">
        <v>0</v>
      </c>
    </row>
    <row r="180" spans="1:6" ht="14.95" thickBot="1" x14ac:dyDescent="0.3">
      <c r="A180" s="230" t="s">
        <v>727</v>
      </c>
      <c r="B180" s="231" t="s">
        <v>27</v>
      </c>
      <c r="C180" s="232">
        <f>okembafrawxvtries</f>
        <v>0</v>
      </c>
      <c r="D180" s="224" t="s">
        <v>727</v>
      </c>
      <c r="E180" s="225" t="s">
        <v>27</v>
      </c>
      <c r="F180" s="226">
        <f>okembafrawxvpts</f>
        <v>0</v>
      </c>
    </row>
    <row r="181" spans="1:6" ht="14.95" thickBot="1" x14ac:dyDescent="0.3">
      <c r="A181" s="230" t="s">
        <v>625</v>
      </c>
      <c r="B181" s="231" t="s">
        <v>324</v>
      </c>
      <c r="C181" s="232">
        <f>olsenbakernzlwxvtries</f>
        <v>0</v>
      </c>
      <c r="D181" s="224" t="s">
        <v>625</v>
      </c>
      <c r="E181" s="225" t="s">
        <v>324</v>
      </c>
      <c r="F181" s="226">
        <f>olsenbakernzlwxvpts</f>
        <v>0</v>
      </c>
    </row>
    <row r="182" spans="1:6" ht="14.95" thickBot="1" x14ac:dyDescent="0.3">
      <c r="A182" s="230" t="s">
        <v>603</v>
      </c>
      <c r="B182" s="231" t="s">
        <v>326</v>
      </c>
      <c r="C182" s="232">
        <v>0</v>
      </c>
      <c r="D182" s="224" t="s">
        <v>603</v>
      </c>
      <c r="E182" s="225" t="s">
        <v>326</v>
      </c>
      <c r="F182" s="226">
        <v>0</v>
      </c>
    </row>
    <row r="183" spans="1:6" ht="14.95" thickBot="1" x14ac:dyDescent="0.3">
      <c r="A183" s="230" t="s">
        <v>564</v>
      </c>
      <c r="B183" s="231" t="s">
        <v>21</v>
      </c>
      <c r="C183" s="232">
        <f>orrscowxvtries</f>
        <v>0</v>
      </c>
      <c r="D183" s="224" t="s">
        <v>564</v>
      </c>
      <c r="E183" s="225" t="s">
        <v>21</v>
      </c>
      <c r="F183" s="226">
        <f>orrscowxvpts</f>
        <v>0</v>
      </c>
    </row>
    <row r="184" spans="1:6" ht="14.95" thickBot="1" x14ac:dyDescent="0.3">
      <c r="A184" s="230" t="s">
        <v>959</v>
      </c>
      <c r="B184" s="231" t="s">
        <v>327</v>
      </c>
      <c r="C184" s="232">
        <f>ortizusawxvtries</f>
        <v>0</v>
      </c>
      <c r="D184" s="224" t="s">
        <v>959</v>
      </c>
      <c r="E184" s="225" t="s">
        <v>327</v>
      </c>
      <c r="F184" s="226">
        <f>ortizusawxvpts</f>
        <v>0</v>
      </c>
    </row>
    <row r="185" spans="1:6" ht="14.95" thickBot="1" x14ac:dyDescent="0.3">
      <c r="A185" s="230" t="s">
        <v>943</v>
      </c>
      <c r="B185" s="231" t="s">
        <v>22</v>
      </c>
      <c r="C185" s="232">
        <f>minuzziitawxvtries</f>
        <v>0</v>
      </c>
      <c r="D185" s="224" t="s">
        <v>943</v>
      </c>
      <c r="E185" s="225" t="s">
        <v>22</v>
      </c>
      <c r="F185" s="226">
        <f>minuzziitawxvpts</f>
        <v>0</v>
      </c>
    </row>
    <row r="186" spans="1:6" ht="14.95" thickBot="1" x14ac:dyDescent="0.3">
      <c r="A186" s="230" t="s">
        <v>530</v>
      </c>
      <c r="B186" s="231" t="s">
        <v>527</v>
      </c>
      <c r="C186" s="232">
        <f>otsukajpnwxvtries</f>
        <v>0</v>
      </c>
      <c r="D186" s="224" t="s">
        <v>530</v>
      </c>
      <c r="E186" s="225" t="s">
        <v>527</v>
      </c>
      <c r="F186" s="226">
        <f>otsukapnwxvpts</f>
        <v>0</v>
      </c>
    </row>
    <row r="187" spans="1:6" ht="14.95" thickBot="1" x14ac:dyDescent="0.3">
      <c r="A187" s="230" t="s">
        <v>63</v>
      </c>
      <c r="B187" s="231" t="s">
        <v>20</v>
      </c>
      <c r="C187" s="232">
        <f>packerlengwxvtries</f>
        <v>0</v>
      </c>
      <c r="D187" s="224" t="s">
        <v>63</v>
      </c>
      <c r="E187" s="225" t="s">
        <v>20</v>
      </c>
      <c r="F187" s="226">
        <f>packerlengwxvpts</f>
        <v>0</v>
      </c>
    </row>
    <row r="188" spans="1:6" ht="14.95" thickBot="1" x14ac:dyDescent="0.3">
      <c r="A188" s="230" t="s">
        <v>64</v>
      </c>
      <c r="B188" s="231" t="s">
        <v>20</v>
      </c>
      <c r="C188" s="232">
        <f>packermengwxvtries</f>
        <v>0</v>
      </c>
      <c r="D188" s="224" t="s">
        <v>64</v>
      </c>
      <c r="E188" s="225" t="s">
        <v>20</v>
      </c>
      <c r="F188" s="226">
        <f>packermengwxvpts</f>
        <v>0</v>
      </c>
    </row>
    <row r="189" spans="1:6" ht="14.95" thickBot="1" x14ac:dyDescent="0.3">
      <c r="A189" s="230" t="s">
        <v>661</v>
      </c>
      <c r="B189" s="231" t="s">
        <v>325</v>
      </c>
      <c r="C189" s="232">
        <v>0</v>
      </c>
      <c r="D189" s="224" t="s">
        <v>661</v>
      </c>
      <c r="E189" s="225" t="s">
        <v>325</v>
      </c>
      <c r="F189" s="226">
        <v>0</v>
      </c>
    </row>
    <row r="190" spans="1:6" ht="14.95" thickBot="1" x14ac:dyDescent="0.3">
      <c r="A190" s="230" t="s">
        <v>786</v>
      </c>
      <c r="B190" s="231" t="s">
        <v>326</v>
      </c>
      <c r="C190" s="232">
        <f>paqyuincanwxvtries</f>
        <v>0</v>
      </c>
      <c r="D190" s="224" t="s">
        <v>786</v>
      </c>
      <c r="E190" s="225" t="s">
        <v>326</v>
      </c>
      <c r="F190" s="226">
        <f>paqyuincanwxvpts</f>
        <v>0</v>
      </c>
    </row>
    <row r="191" spans="1:6" ht="14.95" thickBot="1" x14ac:dyDescent="0.3">
      <c r="A191" s="230" t="s">
        <v>585</v>
      </c>
      <c r="B191" s="231" t="s">
        <v>19</v>
      </c>
      <c r="C191" s="232">
        <f>parsonsirewxvtries</f>
        <v>0</v>
      </c>
      <c r="D191" s="224" t="s">
        <v>585</v>
      </c>
      <c r="E191" s="225" t="s">
        <v>19</v>
      </c>
      <c r="F191" s="226">
        <f>parsonsirewxvpts</f>
        <v>0</v>
      </c>
    </row>
    <row r="192" spans="1:6" ht="14.95" thickBot="1" x14ac:dyDescent="0.3">
      <c r="A192" s="230" t="s">
        <v>666</v>
      </c>
      <c r="B192" s="231" t="s">
        <v>326</v>
      </c>
      <c r="C192" s="232">
        <f>pelletiercanwxvtries</f>
        <v>0</v>
      </c>
      <c r="D192" s="224" t="s">
        <v>666</v>
      </c>
      <c r="E192" s="225" t="s">
        <v>326</v>
      </c>
      <c r="F192" s="226">
        <f>pelletiercanwxvpts</f>
        <v>0</v>
      </c>
    </row>
    <row r="193" spans="1:6" ht="14.95" thickBot="1" x14ac:dyDescent="0.3">
      <c r="A193" s="230" t="s">
        <v>938</v>
      </c>
      <c r="B193" s="231" t="s">
        <v>702</v>
      </c>
      <c r="C193" s="232">
        <f>penaespwxvtries</f>
        <v>0</v>
      </c>
      <c r="D193" s="224" t="s">
        <v>938</v>
      </c>
      <c r="E193" s="225" t="s">
        <v>702</v>
      </c>
      <c r="F193" s="226">
        <f>penaespwxvpts</f>
        <v>0</v>
      </c>
    </row>
    <row r="194" spans="1:6" ht="14.95" thickBot="1" x14ac:dyDescent="0.3">
      <c r="A194" s="230" t="s">
        <v>208</v>
      </c>
      <c r="B194" s="231" t="s">
        <v>527</v>
      </c>
      <c r="C194" s="232">
        <f>penaltytriesjpnwxtries</f>
        <v>0</v>
      </c>
      <c r="D194" s="224" t="s">
        <v>208</v>
      </c>
      <c r="E194" s="225" t="s">
        <v>527</v>
      </c>
      <c r="F194" s="226">
        <f>penaltytriesjpnwxpts</f>
        <v>0</v>
      </c>
    </row>
    <row r="195" spans="1:6" ht="14.95" thickBot="1" x14ac:dyDescent="0.3">
      <c r="A195" s="230" t="s">
        <v>208</v>
      </c>
      <c r="B195" s="231" t="s">
        <v>326</v>
      </c>
      <c r="C195" s="232">
        <f>penaltytriescanwxvtries</f>
        <v>0</v>
      </c>
      <c r="D195" s="224" t="s">
        <v>208</v>
      </c>
      <c r="E195" s="225" t="s">
        <v>326</v>
      </c>
      <c r="F195" s="226">
        <f>penaltytriescanwxvpts</f>
        <v>0</v>
      </c>
    </row>
    <row r="196" spans="1:6" ht="14.95" thickBot="1" x14ac:dyDescent="0.3">
      <c r="A196" s="230" t="s">
        <v>208</v>
      </c>
      <c r="B196" s="231" t="s">
        <v>19</v>
      </c>
      <c r="C196" s="232">
        <v>0</v>
      </c>
      <c r="D196" s="224" t="s">
        <v>208</v>
      </c>
      <c r="E196" s="225" t="s">
        <v>19</v>
      </c>
      <c r="F196" s="226">
        <v>0</v>
      </c>
    </row>
    <row r="197" spans="1:6" ht="14.95" thickBot="1" x14ac:dyDescent="0.3">
      <c r="A197" s="230" t="s">
        <v>208</v>
      </c>
      <c r="B197" s="231" t="s">
        <v>21</v>
      </c>
      <c r="C197" s="232">
        <v>0</v>
      </c>
      <c r="D197" s="224" t="s">
        <v>208</v>
      </c>
      <c r="E197" s="225" t="s">
        <v>21</v>
      </c>
      <c r="F197" s="226">
        <v>0</v>
      </c>
    </row>
    <row r="198" spans="1:6" ht="14.95" thickBot="1" x14ac:dyDescent="0.3">
      <c r="A198" s="230" t="s">
        <v>208</v>
      </c>
      <c r="B198" s="231" t="s">
        <v>23</v>
      </c>
      <c r="C198" s="232">
        <v>0</v>
      </c>
      <c r="D198" s="224" t="s">
        <v>208</v>
      </c>
      <c r="E198" s="225" t="s">
        <v>23</v>
      </c>
      <c r="F198" s="226">
        <v>0</v>
      </c>
    </row>
    <row r="199" spans="1:6" ht="14.95" thickBot="1" x14ac:dyDescent="0.3">
      <c r="A199" s="230" t="s">
        <v>884</v>
      </c>
      <c r="B199" s="231" t="s">
        <v>702</v>
      </c>
      <c r="C199" s="232">
        <f>perezcespwxvtries</f>
        <v>0</v>
      </c>
      <c r="D199" s="224" t="s">
        <v>884</v>
      </c>
      <c r="E199" s="225" t="s">
        <v>702</v>
      </c>
      <c r="F199" s="226">
        <f>perezcespwxvpts</f>
        <v>0</v>
      </c>
    </row>
    <row r="200" spans="1:6" ht="14.95" thickBot="1" x14ac:dyDescent="0.3">
      <c r="A200" s="230" t="s">
        <v>705</v>
      </c>
      <c r="B200" s="231" t="s">
        <v>702</v>
      </c>
      <c r="C200" s="232">
        <v>0</v>
      </c>
      <c r="D200" s="224" t="s">
        <v>705</v>
      </c>
      <c r="E200" s="225" t="s">
        <v>702</v>
      </c>
      <c r="F200" s="226">
        <v>0</v>
      </c>
    </row>
    <row r="201" spans="1:6" ht="14.95" thickBot="1" x14ac:dyDescent="0.3">
      <c r="A201" s="230" t="s">
        <v>928</v>
      </c>
      <c r="B201" s="231" t="s">
        <v>326</v>
      </c>
      <c r="C201" s="232">
        <f>perrycanwxvtries</f>
        <v>0</v>
      </c>
      <c r="D201" s="224" t="s">
        <v>928</v>
      </c>
      <c r="E201" s="225" t="s">
        <v>326</v>
      </c>
      <c r="F201" s="226">
        <f>perrycanwxvpts</f>
        <v>0</v>
      </c>
    </row>
    <row r="202" spans="1:6" ht="14.95" thickBot="1" x14ac:dyDescent="0.3">
      <c r="A202" s="230" t="s">
        <v>506</v>
      </c>
      <c r="B202" s="231" t="s">
        <v>23</v>
      </c>
      <c r="C202" s="232">
        <v>0</v>
      </c>
      <c r="D202" s="224" t="s">
        <v>506</v>
      </c>
      <c r="E202" s="225" t="s">
        <v>23</v>
      </c>
      <c r="F202" s="226">
        <v>0</v>
      </c>
    </row>
    <row r="203" spans="1:6" ht="14.95" thickBot="1" x14ac:dyDescent="0.3">
      <c r="A203" s="230" t="s">
        <v>703</v>
      </c>
      <c r="B203" s="231" t="s">
        <v>702</v>
      </c>
      <c r="C203" s="232">
        <v>0</v>
      </c>
      <c r="D203" s="224" t="s">
        <v>703</v>
      </c>
      <c r="E203" s="225" t="s">
        <v>702</v>
      </c>
      <c r="F203" s="226">
        <v>0</v>
      </c>
    </row>
    <row r="204" spans="1:6" ht="14.95" thickBot="1" x14ac:dyDescent="0.3">
      <c r="A204" s="230" t="s">
        <v>624</v>
      </c>
      <c r="B204" s="231" t="s">
        <v>324</v>
      </c>
      <c r="C204" s="232">
        <f>ponsonbynzlwxvtries</f>
        <v>0</v>
      </c>
      <c r="D204" s="224" t="s">
        <v>624</v>
      </c>
      <c r="E204" s="225" t="s">
        <v>324</v>
      </c>
      <c r="F204" s="226">
        <f>ponsonbynzlwxvpts</f>
        <v>0</v>
      </c>
    </row>
    <row r="205" spans="1:6" ht="14.95" thickBot="1" x14ac:dyDescent="0.3">
      <c r="A205" s="230" t="s">
        <v>947</v>
      </c>
      <c r="B205" s="231" t="s">
        <v>324</v>
      </c>
      <c r="C205" s="232">
        <f>pourilanenzlwxvtries</f>
        <v>0</v>
      </c>
      <c r="D205" s="224" t="s">
        <v>947</v>
      </c>
      <c r="E205" s="225" t="s">
        <v>324</v>
      </c>
      <c r="F205" s="226">
        <f>pourilanenzlwxvpts</f>
        <v>0</v>
      </c>
    </row>
    <row r="206" spans="1:6" ht="14.95" thickBot="1" x14ac:dyDescent="0.3">
      <c r="A206" s="230" t="s">
        <v>962</v>
      </c>
      <c r="B206" s="231" t="s">
        <v>23</v>
      </c>
      <c r="C206" s="232">
        <f>powellwalwxvtries</f>
        <v>0</v>
      </c>
      <c r="D206" s="224" t="s">
        <v>962</v>
      </c>
      <c r="E206" s="225" t="s">
        <v>23</v>
      </c>
      <c r="F206" s="226">
        <f>powellwalwxvpts</f>
        <v>0</v>
      </c>
    </row>
    <row r="207" spans="1:6" ht="14.95" thickBot="1" x14ac:dyDescent="0.3">
      <c r="A207" s="230" t="s">
        <v>377</v>
      </c>
      <c r="B207" s="231" t="s">
        <v>533</v>
      </c>
      <c r="C207" s="232">
        <v>0</v>
      </c>
      <c r="D207" s="224" t="s">
        <v>377</v>
      </c>
      <c r="E207" s="225" t="s">
        <v>533</v>
      </c>
      <c r="F207" s="226">
        <v>0</v>
      </c>
    </row>
    <row r="208" spans="1:6" ht="14.95" thickBot="1" x14ac:dyDescent="0.3">
      <c r="A208" s="230" t="s">
        <v>567</v>
      </c>
      <c r="B208" s="231" t="s">
        <v>27</v>
      </c>
      <c r="C208" s="232">
        <f>queyroifrawxvtries</f>
        <v>0</v>
      </c>
      <c r="D208" s="224" t="s">
        <v>567</v>
      </c>
      <c r="E208" s="225" t="s">
        <v>27</v>
      </c>
      <c r="F208" s="226">
        <f>queyroifrawxvpts</f>
        <v>0</v>
      </c>
    </row>
    <row r="209" spans="1:6" ht="14.95" thickBot="1" x14ac:dyDescent="0.3">
      <c r="A209" s="230" t="s">
        <v>965</v>
      </c>
      <c r="B209" s="231" t="s">
        <v>667</v>
      </c>
      <c r="C209" s="232">
        <f>railumufijwxvtries</f>
        <v>0</v>
      </c>
      <c r="D209" s="224" t="s">
        <v>965</v>
      </c>
      <c r="E209" s="225" t="s">
        <v>667</v>
      </c>
      <c r="F209" s="226">
        <f>railumufijwxvpts</f>
        <v>0</v>
      </c>
    </row>
    <row r="210" spans="1:6" ht="14.95" thickBot="1" x14ac:dyDescent="0.3">
      <c r="A210" s="230" t="s">
        <v>550</v>
      </c>
      <c r="B210" s="231" t="s">
        <v>22</v>
      </c>
      <c r="C210" s="232">
        <v>0</v>
      </c>
      <c r="D210" s="224" t="s">
        <v>550</v>
      </c>
      <c r="E210" s="225" t="s">
        <v>22</v>
      </c>
      <c r="F210" s="226">
        <v>0</v>
      </c>
    </row>
    <row r="211" spans="1:6" ht="14.95" thickBot="1" x14ac:dyDescent="0.3">
      <c r="A211" s="230" t="s">
        <v>516</v>
      </c>
      <c r="B211" s="231" t="s">
        <v>27</v>
      </c>
      <c r="C211" s="232">
        <v>0</v>
      </c>
      <c r="D211" s="224" t="s">
        <v>516</v>
      </c>
      <c r="E211" s="225" t="s">
        <v>27</v>
      </c>
      <c r="F211" s="226">
        <v>0</v>
      </c>
    </row>
    <row r="212" spans="1:6" ht="14.95" thickBot="1" x14ac:dyDescent="0.3">
      <c r="A212" s="230" t="s">
        <v>526</v>
      </c>
      <c r="B212" s="231" t="s">
        <v>22</v>
      </c>
      <c r="C212" s="232">
        <v>0</v>
      </c>
      <c r="D212" s="224" t="s">
        <v>526</v>
      </c>
      <c r="E212" s="225" t="s">
        <v>22</v>
      </c>
      <c r="F212" s="226">
        <f>rigoniitawxvpts</f>
        <v>0</v>
      </c>
    </row>
    <row r="213" spans="1:6" ht="14.95" thickBot="1" x14ac:dyDescent="0.3">
      <c r="A213" s="230" t="s">
        <v>450</v>
      </c>
      <c r="B213" s="231" t="s">
        <v>327</v>
      </c>
      <c r="C213" s="232">
        <f>rogersusawxvtries</f>
        <v>0</v>
      </c>
      <c r="D213" s="224" t="s">
        <v>450</v>
      </c>
      <c r="E213" s="225" t="s">
        <v>327</v>
      </c>
      <c r="F213" s="226">
        <f>rogersusawxvpts</f>
        <v>0</v>
      </c>
    </row>
    <row r="214" spans="1:6" ht="14.95" thickBot="1" x14ac:dyDescent="0.3">
      <c r="A214" s="230" t="s">
        <v>191</v>
      </c>
      <c r="B214" s="231" t="s">
        <v>21</v>
      </c>
      <c r="C214" s="232">
        <f>rolliescowxvtries</f>
        <v>0</v>
      </c>
      <c r="D214" s="224" t="s">
        <v>191</v>
      </c>
      <c r="E214" s="225" t="s">
        <v>21</v>
      </c>
      <c r="F214" s="226">
        <f>rolliescowxvpts</f>
        <v>0</v>
      </c>
    </row>
    <row r="215" spans="1:6" ht="14.95" thickBot="1" x14ac:dyDescent="0.3">
      <c r="A215" s="230" t="s">
        <v>939</v>
      </c>
      <c r="B215" s="231" t="s">
        <v>702</v>
      </c>
      <c r="C215" s="232">
        <f>romanespwxvtries</f>
        <v>0</v>
      </c>
      <c r="D215" s="224" t="s">
        <v>939</v>
      </c>
      <c r="E215" s="225" t="s">
        <v>702</v>
      </c>
      <c r="F215" s="226">
        <f>romanespwxvpts</f>
        <v>0</v>
      </c>
    </row>
    <row r="216" spans="1:6" ht="14.95" thickBot="1" x14ac:dyDescent="0.3">
      <c r="A216" s="230" t="s">
        <v>685</v>
      </c>
      <c r="B216" s="231" t="s">
        <v>324</v>
      </c>
      <c r="C216" s="232">
        <v>0</v>
      </c>
      <c r="D216" s="224" t="s">
        <v>685</v>
      </c>
      <c r="E216" s="225" t="s">
        <v>324</v>
      </c>
      <c r="F216" s="226">
        <v>0</v>
      </c>
    </row>
    <row r="217" spans="1:6" ht="14.95" thickBot="1" x14ac:dyDescent="0.3">
      <c r="A217" s="230" t="s">
        <v>690</v>
      </c>
      <c r="B217" s="231" t="s">
        <v>533</v>
      </c>
      <c r="C217" s="232">
        <f>roosrsawxvtries</f>
        <v>0</v>
      </c>
      <c r="D217" s="224" t="s">
        <v>690</v>
      </c>
      <c r="E217" s="225" t="s">
        <v>533</v>
      </c>
      <c r="F217" s="226">
        <f>roosrsawxvpts</f>
        <v>0</v>
      </c>
    </row>
    <row r="218" spans="1:6" ht="14.95" thickBot="1" x14ac:dyDescent="0.3">
      <c r="A218" s="230" t="s">
        <v>972</v>
      </c>
      <c r="B218" s="231" t="s">
        <v>702</v>
      </c>
      <c r="C218" s="232">
        <f>rosellespwxvtries</f>
        <v>0</v>
      </c>
      <c r="D218" s="224" t="s">
        <v>972</v>
      </c>
      <c r="E218" s="225" t="s">
        <v>702</v>
      </c>
      <c r="F218" s="226">
        <f>rosellespwxvpts</f>
        <v>0</v>
      </c>
    </row>
    <row r="219" spans="1:6" ht="14.95" thickBot="1" x14ac:dyDescent="0.3">
      <c r="A219" s="230" t="s">
        <v>416</v>
      </c>
      <c r="B219" s="231" t="s">
        <v>20</v>
      </c>
      <c r="C219" s="232">
        <f>rowlandengwxvtries</f>
        <v>0</v>
      </c>
      <c r="D219" s="224" t="s">
        <v>416</v>
      </c>
      <c r="E219" s="225" t="s">
        <v>20</v>
      </c>
      <c r="F219" s="226">
        <f>rowlandengwxvpts</f>
        <v>0</v>
      </c>
    </row>
    <row r="220" spans="1:6" ht="14.95" thickBot="1" x14ac:dyDescent="0.3">
      <c r="A220" s="230" t="s">
        <v>601</v>
      </c>
      <c r="B220" s="231" t="s">
        <v>326</v>
      </c>
      <c r="C220" s="232">
        <v>0</v>
      </c>
      <c r="D220" s="224" t="s">
        <v>601</v>
      </c>
      <c r="E220" s="225" t="s">
        <v>326</v>
      </c>
      <c r="F220" s="226">
        <v>0</v>
      </c>
    </row>
    <row r="221" spans="1:6" ht="14.95" thickBot="1" x14ac:dyDescent="0.3">
      <c r="A221" s="230" t="s">
        <v>936</v>
      </c>
      <c r="B221" s="231" t="s">
        <v>327</v>
      </c>
      <c r="C221" s="232">
        <f>sagapoluusawxvtries</f>
        <v>0</v>
      </c>
      <c r="D221" s="224" t="s">
        <v>936</v>
      </c>
      <c r="E221" s="225" t="s">
        <v>327</v>
      </c>
      <c r="F221" s="226">
        <f>sagapoluusawxvpts</f>
        <v>0</v>
      </c>
    </row>
    <row r="222" spans="1:6" ht="14.95" thickBot="1" x14ac:dyDescent="0.3">
      <c r="A222" s="230" t="s">
        <v>681</v>
      </c>
      <c r="B222" s="231" t="s">
        <v>527</v>
      </c>
      <c r="C222" s="232">
        <v>0</v>
      </c>
      <c r="D222" s="224" t="s">
        <v>681</v>
      </c>
      <c r="E222" s="225" t="s">
        <v>527</v>
      </c>
      <c r="F222" s="226">
        <v>0</v>
      </c>
    </row>
    <row r="223" spans="1:6" ht="14.95" thickBot="1" x14ac:dyDescent="0.3">
      <c r="A223" s="230" t="s">
        <v>715</v>
      </c>
      <c r="B223" s="231" t="s">
        <v>542</v>
      </c>
      <c r="C223" s="232">
        <v>0</v>
      </c>
      <c r="D223" s="224" t="s">
        <v>715</v>
      </c>
      <c r="E223" s="225" t="s">
        <v>542</v>
      </c>
      <c r="F223" s="226">
        <v>0</v>
      </c>
    </row>
    <row r="224" spans="1:6" ht="14.95" thickBot="1" x14ac:dyDescent="0.3">
      <c r="A224" s="230" t="s">
        <v>771</v>
      </c>
      <c r="B224" s="231" t="s">
        <v>326</v>
      </c>
      <c r="C224" s="232">
        <f>schellcanwxvtries</f>
        <v>0</v>
      </c>
      <c r="D224" s="224" t="s">
        <v>771</v>
      </c>
      <c r="E224" s="225" t="s">
        <v>326</v>
      </c>
      <c r="F224" s="226">
        <f>schellcanwxvpts</f>
        <v>0</v>
      </c>
    </row>
    <row r="225" spans="1:6" ht="14.95" thickBot="1" x14ac:dyDescent="0.3">
      <c r="A225" s="230" t="s">
        <v>934</v>
      </c>
      <c r="B225" s="231" t="s">
        <v>667</v>
      </c>
      <c r="C225" s="232">
        <f>senivutufijwxvtries</f>
        <v>0</v>
      </c>
      <c r="D225" s="224" t="s">
        <v>934</v>
      </c>
      <c r="E225" s="225" t="s">
        <v>667</v>
      </c>
      <c r="F225" s="226">
        <f>senivutufijwxvpts</f>
        <v>0</v>
      </c>
    </row>
    <row r="226" spans="1:6" ht="14.95" thickBot="1" x14ac:dyDescent="0.3">
      <c r="A226" s="230" t="s">
        <v>924</v>
      </c>
      <c r="B226" s="231" t="s">
        <v>324</v>
      </c>
      <c r="C226" s="232">
        <f>setefanonzlwxvtries</f>
        <v>0</v>
      </c>
      <c r="D226" s="224" t="s">
        <v>924</v>
      </c>
      <c r="E226" s="225" t="s">
        <v>324</v>
      </c>
      <c r="F226" s="226">
        <f>setefanonzlwxvpts</f>
        <v>0</v>
      </c>
    </row>
    <row r="227" spans="1:6" ht="14.95" thickBot="1" x14ac:dyDescent="0.3">
      <c r="A227" s="230" t="s">
        <v>940</v>
      </c>
      <c r="B227" s="231" t="s">
        <v>22</v>
      </c>
      <c r="C227" s="232">
        <f>seyeitawxvtries</f>
        <v>0</v>
      </c>
      <c r="D227" s="224" t="s">
        <v>940</v>
      </c>
      <c r="E227" s="225" t="s">
        <v>22</v>
      </c>
      <c r="F227" s="226">
        <f>seyeitawxvpts</f>
        <v>0</v>
      </c>
    </row>
    <row r="228" spans="1:6" ht="14.95" thickBot="1" x14ac:dyDescent="0.3">
      <c r="A228" s="230" t="s">
        <v>724</v>
      </c>
      <c r="B228" s="231" t="s">
        <v>22</v>
      </c>
      <c r="C228" s="232">
        <f>sgorbiniitawxvtries</f>
        <v>0</v>
      </c>
      <c r="D228" s="224" t="s">
        <v>724</v>
      </c>
      <c r="E228" s="225" t="s">
        <v>22</v>
      </c>
      <c r="F228" s="226">
        <f>sgorbiniitawxvpts</f>
        <v>0</v>
      </c>
    </row>
    <row r="229" spans="1:6" ht="14.95" thickBot="1" x14ac:dyDescent="0.3">
      <c r="A229" s="230" t="s">
        <v>543</v>
      </c>
      <c r="B229" s="231" t="s">
        <v>542</v>
      </c>
      <c r="C229" s="232">
        <v>0</v>
      </c>
      <c r="D229" s="224" t="s">
        <v>543</v>
      </c>
      <c r="E229" s="225" t="s">
        <v>542</v>
      </c>
      <c r="F229" s="226">
        <v>0</v>
      </c>
    </row>
    <row r="230" spans="1:6" ht="14.95" thickBot="1" x14ac:dyDescent="0.3">
      <c r="A230" s="230" t="s">
        <v>198</v>
      </c>
      <c r="B230" s="231" t="s">
        <v>22</v>
      </c>
      <c r="C230" s="232">
        <f>sillariitawxvtries</f>
        <v>0</v>
      </c>
      <c r="D230" s="224" t="s">
        <v>198</v>
      </c>
      <c r="E230" s="225" t="s">
        <v>22</v>
      </c>
      <c r="F230" s="226">
        <f>sillariitawxvpts</f>
        <v>0</v>
      </c>
    </row>
    <row r="231" spans="1:6" ht="14.95" thickBot="1" x14ac:dyDescent="0.3">
      <c r="A231" s="230" t="s">
        <v>955</v>
      </c>
      <c r="B231" s="231" t="s">
        <v>921</v>
      </c>
      <c r="C231" s="232">
        <f>Silvabrawxvtries</f>
        <v>0</v>
      </c>
      <c r="D231" s="224" t="s">
        <v>955</v>
      </c>
      <c r="E231" s="225" t="s">
        <v>921</v>
      </c>
      <c r="F231" s="226">
        <f>Silvabrawxvpts</f>
        <v>0</v>
      </c>
    </row>
    <row r="232" spans="1:6" ht="14.95" thickBot="1" x14ac:dyDescent="0.3">
      <c r="A232" s="230" t="s">
        <v>523</v>
      </c>
      <c r="B232" s="231" t="s">
        <v>324</v>
      </c>
      <c r="C232" s="232">
        <v>0</v>
      </c>
      <c r="D232" s="224" t="s">
        <v>523</v>
      </c>
      <c r="E232" s="225" t="s">
        <v>324</v>
      </c>
      <c r="F232" s="226">
        <v>0</v>
      </c>
    </row>
    <row r="233" spans="1:6" ht="14.95" thickBot="1" x14ac:dyDescent="0.3">
      <c r="A233" s="230" t="s">
        <v>205</v>
      </c>
      <c r="B233" s="231" t="s">
        <v>20</v>
      </c>
      <c r="C233" s="232">
        <f>singengwxvtries</f>
        <v>0</v>
      </c>
      <c r="D233" s="224" t="s">
        <v>205</v>
      </c>
      <c r="E233" s="225" t="s">
        <v>20</v>
      </c>
      <c r="F233" s="226">
        <f>singengwxvpts</f>
        <v>0</v>
      </c>
    </row>
    <row r="234" spans="1:6" ht="14.95" thickBot="1" x14ac:dyDescent="0.3">
      <c r="A234" s="230" t="s">
        <v>711</v>
      </c>
      <c r="B234" s="231" t="s">
        <v>542</v>
      </c>
      <c r="C234" s="232">
        <v>0</v>
      </c>
      <c r="D234" s="224" t="s">
        <v>711</v>
      </c>
      <c r="E234" s="225" t="s">
        <v>542</v>
      </c>
      <c r="F234" s="226">
        <v>0</v>
      </c>
    </row>
    <row r="235" spans="1:6" ht="14.95" thickBot="1" x14ac:dyDescent="0.3">
      <c r="A235" s="230" t="s">
        <v>203</v>
      </c>
      <c r="B235" s="231" t="s">
        <v>21</v>
      </c>
      <c r="C235" s="232">
        <f>skeldonscowxvtries</f>
        <v>0</v>
      </c>
      <c r="D235" s="224" t="s">
        <v>203</v>
      </c>
      <c r="E235" s="225" t="s">
        <v>21</v>
      </c>
      <c r="F235" s="226">
        <f>skeldonscowxvpts</f>
        <v>0</v>
      </c>
    </row>
    <row r="236" spans="1:6" ht="14.95" thickBot="1" x14ac:dyDescent="0.3">
      <c r="A236" s="230" t="s">
        <v>467</v>
      </c>
      <c r="B236" s="231" t="s">
        <v>325</v>
      </c>
      <c r="C236" s="232">
        <f>smithauswxvtries</f>
        <v>0</v>
      </c>
      <c r="D236" s="224" t="s">
        <v>467</v>
      </c>
      <c r="E236" s="225" t="s">
        <v>325</v>
      </c>
      <c r="F236" s="226">
        <f>smithauswxvpts</f>
        <v>0</v>
      </c>
    </row>
    <row r="237" spans="1:6" ht="14.95" thickBot="1" x14ac:dyDescent="0.3">
      <c r="A237" s="230" t="s">
        <v>31</v>
      </c>
      <c r="B237" s="231" t="s">
        <v>21</v>
      </c>
      <c r="C237" s="232">
        <v>0</v>
      </c>
      <c r="D237" s="224" t="s">
        <v>31</v>
      </c>
      <c r="E237" s="225" t="s">
        <v>21</v>
      </c>
      <c r="F237" s="226">
        <f>smithmscowxvpts</f>
        <v>0</v>
      </c>
    </row>
    <row r="238" spans="1:6" ht="14.95" thickBot="1" x14ac:dyDescent="0.3">
      <c r="A238" s="230" t="s">
        <v>941</v>
      </c>
      <c r="B238" s="231" t="s">
        <v>533</v>
      </c>
      <c r="C238" s="232">
        <f>solontsirsawxvtries</f>
        <v>0</v>
      </c>
      <c r="D238" s="224" t="s">
        <v>941</v>
      </c>
      <c r="E238" s="225" t="s">
        <v>533</v>
      </c>
      <c r="F238" s="226">
        <f>solontsirsawxvpts</f>
        <v>0</v>
      </c>
    </row>
    <row r="239" spans="1:6" ht="14.95" thickBot="1" x14ac:dyDescent="0.3">
      <c r="A239" s="230" t="s">
        <v>774</v>
      </c>
      <c r="B239" s="231" t="s">
        <v>324</v>
      </c>
      <c r="C239" s="232">
        <f>sorensenmcgeenzlwxvtries</f>
        <v>0</v>
      </c>
      <c r="D239" s="224" t="s">
        <v>774</v>
      </c>
      <c r="E239" s="225" t="s">
        <v>324</v>
      </c>
      <c r="F239" s="226">
        <f>sorensenmcgeenzlwxvpts</f>
        <v>0</v>
      </c>
    </row>
    <row r="240" spans="1:6" ht="14.95" thickBot="1" x14ac:dyDescent="0.3">
      <c r="A240" s="230" t="s">
        <v>545</v>
      </c>
      <c r="B240" s="231" t="s">
        <v>327</v>
      </c>
      <c r="C240" s="232">
        <v>0</v>
      </c>
      <c r="D240" s="224" t="s">
        <v>545</v>
      </c>
      <c r="E240" s="225" t="s">
        <v>327</v>
      </c>
      <c r="F240" s="226">
        <v>0</v>
      </c>
    </row>
    <row r="241" spans="1:6" ht="14.95" thickBot="1" x14ac:dyDescent="0.3">
      <c r="A241" s="230" t="s">
        <v>411</v>
      </c>
      <c r="B241" s="231" t="s">
        <v>22</v>
      </c>
      <c r="C241" s="232">
        <f>stefanutawxvtries</f>
        <v>0</v>
      </c>
      <c r="D241" s="224" t="s">
        <v>411</v>
      </c>
      <c r="E241" s="225" t="s">
        <v>22</v>
      </c>
      <c r="F241" s="226">
        <f>stefanutawxvpts</f>
        <v>0</v>
      </c>
    </row>
    <row r="242" spans="1:6" ht="14.95" thickBot="1" x14ac:dyDescent="0.3">
      <c r="A242" s="230" t="s">
        <v>687</v>
      </c>
      <c r="B242" s="231" t="s">
        <v>21</v>
      </c>
      <c r="C242" s="232">
        <v>0</v>
      </c>
      <c r="D242" s="224" t="s">
        <v>687</v>
      </c>
      <c r="E242" s="225" t="s">
        <v>21</v>
      </c>
      <c r="F242" s="226">
        <v>0</v>
      </c>
    </row>
    <row r="243" spans="1:6" ht="14.95" thickBot="1" x14ac:dyDescent="0.3">
      <c r="A243" s="230" t="s">
        <v>466</v>
      </c>
      <c r="B243" s="231" t="s">
        <v>325</v>
      </c>
      <c r="C243" s="232">
        <v>0</v>
      </c>
      <c r="D243" s="224" t="s">
        <v>466</v>
      </c>
      <c r="E243" s="225" t="s">
        <v>325</v>
      </c>
      <c r="F243" s="226">
        <v>0</v>
      </c>
    </row>
    <row r="244" spans="1:6" ht="14.95" thickBot="1" x14ac:dyDescent="0.3">
      <c r="A244" s="230" t="s">
        <v>987</v>
      </c>
      <c r="B244" s="231" t="s">
        <v>326</v>
      </c>
      <c r="C244" s="232">
        <f>symondscanwxvtries</f>
        <v>0</v>
      </c>
      <c r="D244" s="224" t="s">
        <v>987</v>
      </c>
      <c r="E244" s="225" t="s">
        <v>326</v>
      </c>
      <c r="F244" s="226">
        <f>symondscanwxvpts</f>
        <v>0</v>
      </c>
    </row>
    <row r="245" spans="1:6" ht="14.95" thickBot="1" x14ac:dyDescent="0.3">
      <c r="A245" s="230" t="s">
        <v>486</v>
      </c>
      <c r="B245" s="231" t="s">
        <v>327</v>
      </c>
      <c r="C245" s="232">
        <f>tafunausawxvtries</f>
        <v>0</v>
      </c>
      <c r="D245" s="224" t="s">
        <v>486</v>
      </c>
      <c r="E245" s="225" t="s">
        <v>327</v>
      </c>
      <c r="F245" s="226">
        <f>tafunausawxvpts</f>
        <v>0</v>
      </c>
    </row>
    <row r="246" spans="1:6" ht="14.95" thickBot="1" x14ac:dyDescent="0.3">
      <c r="A246" s="230" t="s">
        <v>465</v>
      </c>
      <c r="B246" s="231" t="s">
        <v>325</v>
      </c>
      <c r="C246" s="232">
        <f>talakaiauswxvtries</f>
        <v>0</v>
      </c>
      <c r="D246" s="224" t="s">
        <v>465</v>
      </c>
      <c r="E246" s="225" t="s">
        <v>325</v>
      </c>
      <c r="F246" s="226">
        <f>talakaiauswxvpts</f>
        <v>0</v>
      </c>
    </row>
    <row r="247" spans="1:6" ht="14.95" thickBot="1" x14ac:dyDescent="0.3">
      <c r="A247" s="230" t="s">
        <v>415</v>
      </c>
      <c r="B247" s="231" t="s">
        <v>20</v>
      </c>
      <c r="C247" s="232">
        <f>tallingengwxvtries</f>
        <v>0</v>
      </c>
      <c r="D247" s="224" t="s">
        <v>415</v>
      </c>
      <c r="E247" s="225" t="s">
        <v>20</v>
      </c>
      <c r="F247" s="226">
        <f>tallingengwxvpts</f>
        <v>0</v>
      </c>
    </row>
    <row r="248" spans="1:6" ht="14.95" thickBot="1" x14ac:dyDescent="0.3">
      <c r="A248" s="230" t="s">
        <v>680</v>
      </c>
      <c r="B248" s="231" t="s">
        <v>527</v>
      </c>
      <c r="C248" s="232">
        <v>0</v>
      </c>
      <c r="D248" s="224" t="s">
        <v>680</v>
      </c>
      <c r="E248" s="225" t="s">
        <v>527</v>
      </c>
      <c r="F248" s="226">
        <v>0</v>
      </c>
    </row>
    <row r="249" spans="1:6" ht="14.95" thickBot="1" x14ac:dyDescent="0.3">
      <c r="A249" s="230" t="s">
        <v>540</v>
      </c>
      <c r="B249" s="231" t="s">
        <v>327</v>
      </c>
      <c r="C249" s="232">
        <v>0</v>
      </c>
      <c r="D249" s="224" t="s">
        <v>540</v>
      </c>
      <c r="E249" s="225" t="s">
        <v>327</v>
      </c>
      <c r="F249" s="226">
        <v>0</v>
      </c>
    </row>
    <row r="250" spans="1:6" ht="14.95" thickBot="1" x14ac:dyDescent="0.3">
      <c r="A250" s="230" t="s">
        <v>617</v>
      </c>
      <c r="B250" s="231" t="s">
        <v>326</v>
      </c>
      <c r="C250" s="232">
        <f>tessiercanwxvtries</f>
        <v>0</v>
      </c>
      <c r="D250" s="224" t="s">
        <v>617</v>
      </c>
      <c r="E250" s="225" t="s">
        <v>326</v>
      </c>
      <c r="F250" s="226">
        <f>tessiercanwxvpts</f>
        <v>0</v>
      </c>
    </row>
    <row r="251" spans="1:6" ht="14.95" thickBot="1" x14ac:dyDescent="0.3">
      <c r="A251" s="230" t="s">
        <v>536</v>
      </c>
      <c r="B251" s="231" t="s">
        <v>21</v>
      </c>
      <c r="C251" s="232">
        <v>0</v>
      </c>
      <c r="D251" s="224" t="s">
        <v>536</v>
      </c>
      <c r="E251" s="225" t="s">
        <v>21</v>
      </c>
      <c r="F251" s="226">
        <v>0</v>
      </c>
    </row>
    <row r="252" spans="1:6" ht="14.95" thickBot="1" x14ac:dyDescent="0.3">
      <c r="A252" s="230" t="s">
        <v>668</v>
      </c>
      <c r="B252" s="231" t="s">
        <v>667</v>
      </c>
      <c r="C252" s="232">
        <v>0</v>
      </c>
      <c r="D252" s="224" t="s">
        <v>668</v>
      </c>
      <c r="E252" s="225" t="s">
        <v>667</v>
      </c>
      <c r="F252" s="226">
        <v>0</v>
      </c>
    </row>
    <row r="253" spans="1:6" ht="14.95" thickBot="1" x14ac:dyDescent="0.3">
      <c r="A253" s="230" t="s">
        <v>694</v>
      </c>
      <c r="B253" s="231" t="s">
        <v>533</v>
      </c>
      <c r="C253" s="232">
        <v>0</v>
      </c>
      <c r="D253" s="224" t="s">
        <v>694</v>
      </c>
      <c r="E253" s="225" t="s">
        <v>533</v>
      </c>
      <c r="F253" s="226">
        <v>0</v>
      </c>
    </row>
    <row r="254" spans="1:6" ht="14.95" thickBot="1" x14ac:dyDescent="0.3">
      <c r="A254" s="230" t="s">
        <v>669</v>
      </c>
      <c r="B254" s="231" t="s">
        <v>667</v>
      </c>
      <c r="C254" s="232">
        <f>tovefijwxvtries</f>
        <v>0</v>
      </c>
      <c r="D254" s="224" t="s">
        <v>669</v>
      </c>
      <c r="E254" s="225" t="s">
        <v>667</v>
      </c>
      <c r="F254" s="226">
        <f>tovefijwxvpts</f>
        <v>0</v>
      </c>
    </row>
    <row r="255" spans="1:6" ht="14.95" thickBot="1" x14ac:dyDescent="0.3">
      <c r="A255" s="230" t="s">
        <v>950</v>
      </c>
      <c r="B255" s="231" t="s">
        <v>527</v>
      </c>
      <c r="C255" s="232">
        <f>tsukuijpnwxvtries</f>
        <v>0</v>
      </c>
      <c r="D255" s="224" t="s">
        <v>950</v>
      </c>
      <c r="E255" s="225" t="s">
        <v>527</v>
      </c>
      <c r="F255" s="226">
        <f>tsukuijpnwxvpts</f>
        <v>0</v>
      </c>
    </row>
    <row r="256" spans="1:6" ht="14.95" thickBot="1" x14ac:dyDescent="0.3">
      <c r="A256" s="230" t="s">
        <v>387</v>
      </c>
      <c r="B256" s="231" t="s">
        <v>23</v>
      </c>
      <c r="C256" s="232">
        <f>tuipulotuwalwxvtries</f>
        <v>0</v>
      </c>
      <c r="D256" s="224" t="s">
        <v>387</v>
      </c>
      <c r="E256" s="225" t="s">
        <v>23</v>
      </c>
      <c r="F256" s="226">
        <f>tuipulotuwalwxvpts</f>
        <v>0</v>
      </c>
    </row>
    <row r="257" spans="1:6" ht="14.95" thickBot="1" x14ac:dyDescent="0.3">
      <c r="A257" s="230" t="s">
        <v>916</v>
      </c>
      <c r="B257" s="231" t="s">
        <v>19</v>
      </c>
      <c r="C257" s="232">
        <f>tuiteirewxvtries</f>
        <v>0</v>
      </c>
      <c r="D257" s="224" t="s">
        <v>916</v>
      </c>
      <c r="E257" s="225" t="s">
        <v>19</v>
      </c>
      <c r="F257" s="226">
        <f>tuiteirewxvpts</f>
        <v>0</v>
      </c>
    </row>
    <row r="258" spans="1:6" ht="14.95" thickBot="1" x14ac:dyDescent="0.3">
      <c r="A258" s="230" t="s">
        <v>945</v>
      </c>
      <c r="B258" s="231" t="s">
        <v>324</v>
      </c>
      <c r="C258" s="232">
        <f>tukuafunzlwxvtries</f>
        <v>0</v>
      </c>
      <c r="D258" s="224" t="s">
        <v>945</v>
      </c>
      <c r="E258" s="225" t="s">
        <v>324</v>
      </c>
      <c r="F258" s="226">
        <f>tukuafunzlwxvpts</f>
        <v>0</v>
      </c>
    </row>
    <row r="259" spans="1:6" ht="14.95" thickBot="1" x14ac:dyDescent="0.3">
      <c r="A259" s="230" t="s">
        <v>679</v>
      </c>
      <c r="B259" s="231" t="s">
        <v>22</v>
      </c>
      <c r="C259" s="232">
        <f>turaniitawxvtries</f>
        <v>0</v>
      </c>
      <c r="D259" s="224" t="s">
        <v>679</v>
      </c>
      <c r="E259" s="225" t="s">
        <v>22</v>
      </c>
      <c r="F259" s="226">
        <f>turaniitawxvpts</f>
        <v>0</v>
      </c>
    </row>
    <row r="260" spans="1:6" ht="14.95" thickBot="1" x14ac:dyDescent="0.3">
      <c r="A260" s="230" t="s">
        <v>443</v>
      </c>
      <c r="B260" s="231" t="s">
        <v>326</v>
      </c>
      <c r="C260" s="232">
        <f>tuttosicanwxvtries</f>
        <v>0</v>
      </c>
      <c r="D260" s="224" t="s">
        <v>443</v>
      </c>
      <c r="E260" s="225" t="s">
        <v>326</v>
      </c>
      <c r="F260" s="226">
        <f>tuttosicanwxvpts</f>
        <v>0</v>
      </c>
    </row>
    <row r="261" spans="1:6" ht="14.95" thickBot="1" x14ac:dyDescent="0.3">
      <c r="A261" s="230" t="s">
        <v>954</v>
      </c>
      <c r="B261" s="231" t="s">
        <v>27</v>
      </c>
      <c r="C261" s="232">
        <f>tuyfrawxvtries</f>
        <v>0</v>
      </c>
      <c r="D261" s="224" t="s">
        <v>954</v>
      </c>
      <c r="E261" s="225" t="s">
        <v>27</v>
      </c>
      <c r="F261" s="226">
        <f>tuyfrawxvpts</f>
        <v>0</v>
      </c>
    </row>
    <row r="262" spans="1:6" ht="14.95" thickBot="1" x14ac:dyDescent="0.3">
      <c r="A262" s="230" t="s">
        <v>697</v>
      </c>
      <c r="B262" s="231" t="s">
        <v>533</v>
      </c>
      <c r="C262" s="232">
        <v>0</v>
      </c>
      <c r="D262" s="224" t="s">
        <v>697</v>
      </c>
      <c r="E262" s="225" t="s">
        <v>533</v>
      </c>
      <c r="F262" s="226">
        <v>0</v>
      </c>
    </row>
    <row r="263" spans="1:6" ht="14.95" thickBot="1" x14ac:dyDescent="0.3">
      <c r="A263" s="230" t="s">
        <v>508</v>
      </c>
      <c r="B263" s="231" t="s">
        <v>324</v>
      </c>
      <c r="C263" s="232">
        <f>Vahaakolonzlwxvtries</f>
        <v>0</v>
      </c>
      <c r="D263" s="224" t="s">
        <v>508</v>
      </c>
      <c r="E263" s="225" t="s">
        <v>324</v>
      </c>
      <c r="F263" s="226">
        <f>Vahaakolonzlwxvpts</f>
        <v>0</v>
      </c>
    </row>
    <row r="264" spans="1:6" ht="14.95" thickBot="1" x14ac:dyDescent="0.3">
      <c r="A264" s="230" t="s">
        <v>608</v>
      </c>
      <c r="B264" s="231" t="s">
        <v>324</v>
      </c>
      <c r="C264" s="232">
        <v>0</v>
      </c>
      <c r="D264" s="224" t="s">
        <v>608</v>
      </c>
      <c r="E264" s="225" t="s">
        <v>324</v>
      </c>
      <c r="F264" s="226">
        <v>0</v>
      </c>
    </row>
    <row r="265" spans="1:6" ht="14.95" thickBot="1" x14ac:dyDescent="0.3">
      <c r="A265" s="230" t="s">
        <v>716</v>
      </c>
      <c r="B265" s="231" t="s">
        <v>542</v>
      </c>
      <c r="C265" s="232">
        <f>vatausamwxvtries</f>
        <v>0</v>
      </c>
      <c r="D265" s="224" t="s">
        <v>716</v>
      </c>
      <c r="E265" s="225" t="s">
        <v>542</v>
      </c>
      <c r="F265" s="226">
        <f>vatausamwxvpts</f>
        <v>0</v>
      </c>
    </row>
    <row r="266" spans="1:6" ht="14.95" thickBot="1" x14ac:dyDescent="0.3">
      <c r="A266" s="230" t="s">
        <v>419</v>
      </c>
      <c r="B266" s="231" t="s">
        <v>22</v>
      </c>
      <c r="C266" s="232">
        <f>vecchiniitawxvtries</f>
        <v>0</v>
      </c>
      <c r="D266" s="224" t="s">
        <v>419</v>
      </c>
      <c r="E266" s="225" t="s">
        <v>22</v>
      </c>
      <c r="F266" s="226">
        <f>vecchiniitawxvpts</f>
        <v>0</v>
      </c>
    </row>
    <row r="267" spans="1:6" ht="14.95" thickBot="1" x14ac:dyDescent="0.3">
      <c r="A267" s="230" t="s">
        <v>393</v>
      </c>
      <c r="B267" s="231" t="s">
        <v>27</v>
      </c>
      <c r="C267" s="232">
        <f>vernierfrawxvtries</f>
        <v>0</v>
      </c>
      <c r="D267" s="224" t="s">
        <v>393</v>
      </c>
      <c r="E267" s="225" t="s">
        <v>27</v>
      </c>
      <c r="F267" s="226">
        <f>vernierfrawxvpts</f>
        <v>0</v>
      </c>
    </row>
    <row r="268" spans="1:6" ht="14.95" thickBot="1" x14ac:dyDescent="0.3">
      <c r="A268" s="230" t="s">
        <v>626</v>
      </c>
      <c r="B268" s="231" t="s">
        <v>324</v>
      </c>
      <c r="C268" s="232">
        <f>vilikonzlwxvtries</f>
        <v>0</v>
      </c>
      <c r="D268" s="224" t="s">
        <v>626</v>
      </c>
      <c r="E268" s="225" t="s">
        <v>324</v>
      </c>
      <c r="F268" s="226">
        <f>vilikonzlwxvpts</f>
        <v>0</v>
      </c>
    </row>
    <row r="269" spans="1:6" ht="14.95" thickBot="1" x14ac:dyDescent="0.3">
      <c r="A269" s="230" t="s">
        <v>914</v>
      </c>
      <c r="B269" s="231" t="s">
        <v>667</v>
      </c>
      <c r="C269" s="232">
        <f>vuetifijwvtries</f>
        <v>0</v>
      </c>
      <c r="D269" s="224" t="s">
        <v>914</v>
      </c>
      <c r="E269" s="225" t="s">
        <v>667</v>
      </c>
      <c r="F269" s="226">
        <f>vuetifijwvpts</f>
        <v>0</v>
      </c>
    </row>
    <row r="270" spans="1:6" ht="14.95" thickBot="1" x14ac:dyDescent="0.3">
      <c r="A270" s="230" t="s">
        <v>790</v>
      </c>
      <c r="B270" s="231" t="s">
        <v>324</v>
      </c>
      <c r="C270" s="232">
        <f>waakanzlwxvtries</f>
        <v>0</v>
      </c>
      <c r="D270" s="224" t="s">
        <v>790</v>
      </c>
      <c r="E270" s="225" t="s">
        <v>324</v>
      </c>
      <c r="F270" s="226">
        <f>waakanzlwxvpts</f>
        <v>0</v>
      </c>
    </row>
    <row r="271" spans="1:6" ht="14.95" thickBot="1" x14ac:dyDescent="0.3">
      <c r="A271" s="230" t="s">
        <v>568</v>
      </c>
      <c r="B271" s="231" t="s">
        <v>19</v>
      </c>
      <c r="C271" s="232">
        <v>0</v>
      </c>
      <c r="D271" s="224" t="s">
        <v>568</v>
      </c>
      <c r="E271" s="225" t="s">
        <v>19</v>
      </c>
      <c r="F271" s="226">
        <v>0</v>
      </c>
    </row>
    <row r="272" spans="1:6" ht="14.95" thickBot="1" x14ac:dyDescent="0.3">
      <c r="A272" s="230" t="s">
        <v>673</v>
      </c>
      <c r="B272" s="231" t="s">
        <v>667</v>
      </c>
      <c r="C272" s="232">
        <v>0</v>
      </c>
      <c r="D272" s="224" t="s">
        <v>673</v>
      </c>
      <c r="E272" s="225" t="s">
        <v>667</v>
      </c>
      <c r="F272" s="226">
        <v>0</v>
      </c>
    </row>
    <row r="273" spans="1:6" ht="14.95" thickBot="1" x14ac:dyDescent="0.3">
      <c r="A273" s="230" t="s">
        <v>574</v>
      </c>
      <c r="B273" s="231" t="s">
        <v>20</v>
      </c>
      <c r="C273" s="232">
        <f>wardrngwxvtries</f>
        <v>0</v>
      </c>
      <c r="D273" s="224" t="s">
        <v>574</v>
      </c>
      <c r="E273" s="225" t="s">
        <v>20</v>
      </c>
      <c r="F273" s="226">
        <f>wardrngwxvpts</f>
        <v>0</v>
      </c>
    </row>
    <row r="274" spans="1:6" ht="14.95" thickBot="1" x14ac:dyDescent="0.3">
      <c r="A274" s="230" t="s">
        <v>548</v>
      </c>
      <c r="B274" s="231" t="s">
        <v>21</v>
      </c>
      <c r="C274" s="232">
        <v>0</v>
      </c>
      <c r="D274" s="224" t="s">
        <v>548</v>
      </c>
      <c r="E274" s="225" t="s">
        <v>21</v>
      </c>
      <c r="F274" s="226">
        <v>0</v>
      </c>
    </row>
    <row r="275" spans="1:6" ht="14.95" thickBot="1" x14ac:dyDescent="0.3">
      <c r="A275" s="230" t="s">
        <v>659</v>
      </c>
      <c r="B275" s="231" t="s">
        <v>20</v>
      </c>
      <c r="C275" s="232">
        <f>westcombeevansengtries</f>
        <v>0</v>
      </c>
      <c r="D275" s="224" t="s">
        <v>659</v>
      </c>
      <c r="E275" s="225" t="s">
        <v>20</v>
      </c>
      <c r="F275" s="226">
        <f>westcombeevansengpts</f>
        <v>0</v>
      </c>
    </row>
    <row r="276" spans="1:6" ht="14.95" thickBot="1" x14ac:dyDescent="0.3">
      <c r="A276" s="230" t="s">
        <v>514</v>
      </c>
      <c r="B276" s="231" t="s">
        <v>23</v>
      </c>
      <c r="C276" s="232">
        <v>0</v>
      </c>
      <c r="D276" s="224" t="s">
        <v>514</v>
      </c>
      <c r="E276" s="225" t="s">
        <v>23</v>
      </c>
      <c r="F276" s="226">
        <v>0</v>
      </c>
    </row>
    <row r="277" spans="1:6" ht="14.95" thickBot="1" x14ac:dyDescent="0.3">
      <c r="A277" s="230" t="s">
        <v>910</v>
      </c>
      <c r="B277" s="231" t="s">
        <v>325</v>
      </c>
      <c r="C277" s="232">
        <f>wongauswxvtries</f>
        <v>0</v>
      </c>
      <c r="D277" s="224" t="s">
        <v>910</v>
      </c>
      <c r="E277" s="225" t="s">
        <v>325</v>
      </c>
      <c r="F277" s="226">
        <f>wongauswxvpts</f>
        <v>0</v>
      </c>
    </row>
    <row r="278" spans="1:6" ht="14.95" thickBot="1" x14ac:dyDescent="0.3">
      <c r="A278" s="230" t="s">
        <v>788</v>
      </c>
      <c r="B278" s="231" t="s">
        <v>324</v>
      </c>
      <c r="C278" s="232">
        <f>woodmanwickliffenzlwxvtries</f>
        <v>0</v>
      </c>
      <c r="D278" s="224" t="s">
        <v>788</v>
      </c>
      <c r="E278" s="225" t="s">
        <v>324</v>
      </c>
      <c r="F278" s="226">
        <f>woodmanwickliffenzlwxvpts</f>
        <v>0</v>
      </c>
    </row>
    <row r="279" spans="1:6" ht="14.95" thickBot="1" x14ac:dyDescent="0.3">
      <c r="A279" s="230" t="s">
        <v>544</v>
      </c>
      <c r="B279" s="231" t="s">
        <v>542</v>
      </c>
      <c r="C279" s="232">
        <v>0</v>
      </c>
      <c r="D279" s="224" t="s">
        <v>544</v>
      </c>
      <c r="E279" s="225" t="s">
        <v>542</v>
      </c>
      <c r="F279" s="226">
        <v>0</v>
      </c>
    </row>
    <row r="280" spans="1:6" ht="14.95" thickBot="1" x14ac:dyDescent="0.3">
      <c r="A280" s="230" t="s">
        <v>501</v>
      </c>
      <c r="B280" s="231" t="s">
        <v>20</v>
      </c>
      <c r="C280" s="232">
        <f>wyrwasengwxvtries</f>
        <v>0</v>
      </c>
      <c r="D280" s="224" t="s">
        <v>501</v>
      </c>
      <c r="E280" s="225" t="s">
        <v>20</v>
      </c>
      <c r="F280" s="226">
        <f>wyrwasengwxvpts</f>
        <v>0</v>
      </c>
    </row>
    <row r="281" spans="1:6" ht="14.95" thickBot="1" x14ac:dyDescent="0.3">
      <c r="A281" s="230" t="s">
        <v>969</v>
      </c>
      <c r="B281" s="231" t="s">
        <v>527</v>
      </c>
      <c r="C281" s="232">
        <f>yamamotoajpnwxvtries</f>
        <v>0</v>
      </c>
      <c r="D281" s="224" t="s">
        <v>969</v>
      </c>
      <c r="E281" s="225" t="s">
        <v>527</v>
      </c>
      <c r="F281" s="226">
        <f>yamamotoajpnwxvpts</f>
        <v>0</v>
      </c>
    </row>
    <row r="282" spans="1:6" ht="14.95" thickBot="1" x14ac:dyDescent="0.3">
      <c r="A282" s="230" t="s">
        <v>686</v>
      </c>
      <c r="B282" s="231" t="s">
        <v>21</v>
      </c>
      <c r="C282" s="232">
        <v>0</v>
      </c>
      <c r="D282" s="224" t="s">
        <v>686</v>
      </c>
      <c r="E282" s="225" t="s">
        <v>21</v>
      </c>
      <c r="F282" s="226">
        <v>0</v>
      </c>
    </row>
    <row r="283" spans="1:6" ht="14.95" thickBot="1" x14ac:dyDescent="0.3">
      <c r="A283" s="230" t="s">
        <v>538</v>
      </c>
      <c r="B283" s="231" t="s">
        <v>327</v>
      </c>
      <c r="C283" s="232">
        <v>0</v>
      </c>
      <c r="D283" s="224" t="s">
        <v>538</v>
      </c>
      <c r="E283" s="225" t="s">
        <v>327</v>
      </c>
      <c r="F283" s="226">
        <v>0</v>
      </c>
    </row>
    <row r="284" spans="1:6" ht="16.3" x14ac:dyDescent="0.3">
      <c r="A284" s="388" t="s">
        <v>10</v>
      </c>
      <c r="C284">
        <f>SUM(C4:C283)</f>
        <v>0</v>
      </c>
      <c r="F284">
        <f>SUM(F4:F283)</f>
        <v>0</v>
      </c>
    </row>
    <row r="285" spans="1:6" x14ac:dyDescent="0.25">
      <c r="A285" s="387"/>
    </row>
  </sheetData>
  <sortState xmlns:xlrd2="http://schemas.microsoft.com/office/spreadsheetml/2017/richdata2" ref="G4:K43">
    <sortCondition ref="G4:G43"/>
  </sortState>
  <mergeCells count="1">
    <mergeCell ref="G44:K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4DA-9582-44FC-84FA-B11CAC34355E}">
  <dimension ref="A1:K119"/>
  <sheetViews>
    <sheetView workbookViewId="0">
      <selection activeCell="M18" sqref="M18"/>
    </sheetView>
  </sheetViews>
  <sheetFormatPr defaultRowHeight="14.3" x14ac:dyDescent="0.25"/>
  <cols>
    <col min="1" max="1" width="19.625" customWidth="1"/>
    <col min="2" max="2" width="5.5" bestFit="1" customWidth="1"/>
    <col min="3" max="3" width="4" bestFit="1" customWidth="1"/>
    <col min="4" max="4" width="19.625" customWidth="1"/>
    <col min="5" max="5" width="5.5" bestFit="1" customWidth="1"/>
    <col min="6" max="6" width="4.5" customWidth="1"/>
    <col min="7" max="7" width="18.75" customWidth="1"/>
    <col min="8" max="8" width="5.5" bestFit="1" customWidth="1"/>
    <col min="9" max="11" width="4" customWidth="1"/>
  </cols>
  <sheetData>
    <row r="1" spans="1:11" x14ac:dyDescent="0.25">
      <c r="A1" s="397" t="s">
        <v>1011</v>
      </c>
      <c r="B1" s="397"/>
      <c r="C1" s="398"/>
    </row>
    <row r="2" spans="1:11" ht="14.95" thickBot="1" x14ac:dyDescent="0.3">
      <c r="A2" s="219" t="s">
        <v>1043</v>
      </c>
    </row>
    <row r="3" spans="1:11" ht="14.95" customHeight="1" thickBot="1" x14ac:dyDescent="0.3">
      <c r="A3" s="54" t="s">
        <v>0</v>
      </c>
      <c r="B3" s="89"/>
      <c r="C3" s="444" t="s">
        <v>1</v>
      </c>
      <c r="D3" s="179" t="s">
        <v>2</v>
      </c>
      <c r="E3" s="48"/>
      <c r="F3" s="447" t="s">
        <v>1</v>
      </c>
      <c r="G3" s="61" t="s">
        <v>323</v>
      </c>
      <c r="H3" s="91"/>
      <c r="I3" s="53" t="s">
        <v>25</v>
      </c>
      <c r="J3" s="53" t="s">
        <v>26</v>
      </c>
      <c r="K3" s="53" t="s">
        <v>6</v>
      </c>
    </row>
    <row r="4" spans="1:11" ht="14.95" customHeight="1" thickBot="1" x14ac:dyDescent="0.3">
      <c r="A4" s="14" t="s">
        <v>456</v>
      </c>
      <c r="B4" s="13" t="s">
        <v>324</v>
      </c>
      <c r="C4" s="445">
        <f>PaulnzlP4tries</f>
        <v>4</v>
      </c>
      <c r="D4" s="55" t="s">
        <v>454</v>
      </c>
      <c r="E4" s="90" t="s">
        <v>324</v>
      </c>
      <c r="F4" s="446">
        <f>HolmesnzlP4pts</f>
        <v>29</v>
      </c>
      <c r="G4" s="14" t="s">
        <v>1031</v>
      </c>
      <c r="H4" s="13" t="s">
        <v>327</v>
      </c>
      <c r="I4" s="15">
        <f>Vogelusap4gls</f>
        <v>6</v>
      </c>
      <c r="J4" s="15">
        <f>Vogelusap4att</f>
        <v>7</v>
      </c>
      <c r="K4" s="60">
        <f>SUM(I4/J4)*100</f>
        <v>85.714285714285708</v>
      </c>
    </row>
    <row r="5" spans="1:11" ht="14.95" customHeight="1" thickBot="1" x14ac:dyDescent="0.3">
      <c r="A5" s="14" t="s">
        <v>450</v>
      </c>
      <c r="B5" s="13" t="s">
        <v>327</v>
      </c>
      <c r="C5" s="445">
        <f>RogersUSAp4tries</f>
        <v>3</v>
      </c>
      <c r="D5" s="55" t="s">
        <v>456</v>
      </c>
      <c r="E5" s="90" t="s">
        <v>324</v>
      </c>
      <c r="F5" s="446">
        <f>PaulnzlP4pts</f>
        <v>20</v>
      </c>
      <c r="G5" s="14" t="s">
        <v>454</v>
      </c>
      <c r="H5" s="13" t="s">
        <v>324</v>
      </c>
      <c r="I5" s="15">
        <f>HolmesnzlP4gls</f>
        <v>9</v>
      </c>
      <c r="J5" s="15">
        <f>holmesnzlP4att</f>
        <v>14</v>
      </c>
      <c r="K5" s="60">
        <f>SUM(I5/J5)*100</f>
        <v>64.285714285714292</v>
      </c>
    </row>
    <row r="6" spans="1:11" ht="14.95" customHeight="1" thickBot="1" x14ac:dyDescent="0.3">
      <c r="A6" s="14" t="s">
        <v>454</v>
      </c>
      <c r="B6" s="13" t="s">
        <v>324</v>
      </c>
      <c r="C6" s="445">
        <f>HolmesnzlP4tries</f>
        <v>2</v>
      </c>
      <c r="D6" s="55" t="s">
        <v>450</v>
      </c>
      <c r="E6" s="90" t="s">
        <v>327</v>
      </c>
      <c r="F6" s="446">
        <f>RogersUSAP4pts</f>
        <v>15</v>
      </c>
      <c r="G6" s="14" t="s">
        <v>487</v>
      </c>
      <c r="H6" s="13" t="s">
        <v>326</v>
      </c>
      <c r="I6" s="15">
        <f>Gallaghercanp4gls</f>
        <v>3</v>
      </c>
      <c r="J6" s="15">
        <f>Gallaghercanp4att</f>
        <v>5</v>
      </c>
      <c r="K6" s="60">
        <f>SUM(I6/J6)*100</f>
        <v>60</v>
      </c>
    </row>
    <row r="7" spans="1:11" ht="14.95" customHeight="1" thickBot="1" x14ac:dyDescent="0.3">
      <c r="A7" s="14" t="s">
        <v>665</v>
      </c>
      <c r="B7" s="13" t="s">
        <v>326</v>
      </c>
      <c r="C7" s="445">
        <f>Hogan_Rochestercanp4tries</f>
        <v>2</v>
      </c>
      <c r="D7" s="55" t="s">
        <v>1031</v>
      </c>
      <c r="E7" s="90" t="s">
        <v>327</v>
      </c>
      <c r="F7" s="446">
        <f>Vogelusap4pts</f>
        <v>13</v>
      </c>
      <c r="G7" s="14" t="s">
        <v>910</v>
      </c>
      <c r="H7" s="13" t="s">
        <v>325</v>
      </c>
      <c r="I7" s="15">
        <f>Woodausp4gls</f>
        <v>1</v>
      </c>
      <c r="J7" s="19">
        <f>Woodausp4att</f>
        <v>2</v>
      </c>
      <c r="K7" s="60">
        <f>SUM(I7/J7)*100</f>
        <v>50</v>
      </c>
    </row>
    <row r="8" spans="1:11" ht="14.95" customHeight="1" thickBot="1" x14ac:dyDescent="0.3">
      <c r="A8" s="14" t="s">
        <v>625</v>
      </c>
      <c r="B8" s="13" t="s">
        <v>324</v>
      </c>
      <c r="C8" s="445">
        <f>Olsen_Bakernzlp4tries</f>
        <v>2</v>
      </c>
      <c r="D8" s="55" t="s">
        <v>665</v>
      </c>
      <c r="E8" s="90" t="s">
        <v>326</v>
      </c>
      <c r="F8" s="446">
        <f>Hogan_Rochestercanp4pts</f>
        <v>10</v>
      </c>
      <c r="G8" s="93" t="s">
        <v>1044</v>
      </c>
    </row>
    <row r="9" spans="1:11" ht="14.95" customHeight="1" thickBot="1" x14ac:dyDescent="0.3">
      <c r="A9" s="14" t="s">
        <v>1034</v>
      </c>
      <c r="B9" s="13" t="s">
        <v>326</v>
      </c>
      <c r="C9" s="445">
        <f>Boagcanp4tries</f>
        <v>1</v>
      </c>
      <c r="D9" s="55" t="s">
        <v>625</v>
      </c>
      <c r="E9" s="90" t="s">
        <v>324</v>
      </c>
      <c r="F9" s="446">
        <f>Olsen_Bakerp4pts</f>
        <v>10</v>
      </c>
    </row>
    <row r="10" spans="1:11" ht="14.95" customHeight="1" thickBot="1" x14ac:dyDescent="0.3">
      <c r="A10" s="14" t="s">
        <v>455</v>
      </c>
      <c r="B10" s="13" t="s">
        <v>324</v>
      </c>
      <c r="C10" s="445">
        <f>BruntnzlP4tries</f>
        <v>1</v>
      </c>
      <c r="D10" s="55" t="s">
        <v>208</v>
      </c>
      <c r="E10" s="90" t="s">
        <v>326</v>
      </c>
      <c r="F10" s="446">
        <f>Penalty_Triescanpts</f>
        <v>7</v>
      </c>
    </row>
    <row r="11" spans="1:11" ht="14.95" customHeight="1" thickBot="1" x14ac:dyDescent="0.3">
      <c r="A11" s="14" t="s">
        <v>470</v>
      </c>
      <c r="B11" s="13" t="s">
        <v>327</v>
      </c>
      <c r="C11" s="445">
        <f>DetiveauxUSAP4tries</f>
        <v>1</v>
      </c>
      <c r="D11" s="55" t="s">
        <v>487</v>
      </c>
      <c r="E11" s="90" t="s">
        <v>326</v>
      </c>
      <c r="F11" s="446">
        <f>Gallaghercanp4pts</f>
        <v>6</v>
      </c>
    </row>
    <row r="12" spans="1:11" ht="14.95" customHeight="1" thickBot="1" x14ac:dyDescent="0.3">
      <c r="A12" s="14" t="s">
        <v>1036</v>
      </c>
      <c r="B12" s="13" t="s">
        <v>326</v>
      </c>
      <c r="C12" s="445">
        <f>Huntcanp4tries</f>
        <v>1</v>
      </c>
      <c r="D12" s="55" t="s">
        <v>1034</v>
      </c>
      <c r="E12" s="90" t="s">
        <v>326</v>
      </c>
      <c r="F12" s="446">
        <f>Boagcanp4pts</f>
        <v>5</v>
      </c>
    </row>
    <row r="13" spans="1:11" ht="14.95" customHeight="1" thickBot="1" x14ac:dyDescent="0.3">
      <c r="A13" s="14" t="s">
        <v>606</v>
      </c>
      <c r="B13" s="13" t="s">
        <v>324</v>
      </c>
      <c r="C13" s="445">
        <f>Kingnzlp4tries</f>
        <v>1</v>
      </c>
      <c r="D13" s="55" t="s">
        <v>455</v>
      </c>
      <c r="E13" s="90" t="s">
        <v>324</v>
      </c>
      <c r="F13" s="446">
        <f>BruntnzlP4pts</f>
        <v>5</v>
      </c>
    </row>
    <row r="14" spans="1:11" ht="14.95" customHeight="1" thickBot="1" x14ac:dyDescent="0.3">
      <c r="A14" s="14" t="s">
        <v>603</v>
      </c>
      <c r="B14" s="13" t="s">
        <v>326</v>
      </c>
      <c r="C14" s="445">
        <f>Omokhualecanp4tries</f>
        <v>1</v>
      </c>
      <c r="D14" s="55" t="s">
        <v>470</v>
      </c>
      <c r="E14" s="90" t="s">
        <v>327</v>
      </c>
      <c r="F14" s="446">
        <f>DetiveauxUSAP4pts</f>
        <v>5</v>
      </c>
    </row>
    <row r="15" spans="1:11" ht="14.95" customHeight="1" thickBot="1" x14ac:dyDescent="0.3">
      <c r="A15" s="14" t="s">
        <v>477</v>
      </c>
      <c r="B15" s="13" t="s">
        <v>324</v>
      </c>
      <c r="C15" s="445">
        <f>du_PlessisnzlP4tries</f>
        <v>1</v>
      </c>
      <c r="D15" s="55" t="s">
        <v>1036</v>
      </c>
      <c r="E15" s="90" t="s">
        <v>326</v>
      </c>
      <c r="F15" s="446">
        <f>Huntcanp4pts</f>
        <v>5</v>
      </c>
    </row>
    <row r="16" spans="1:11" ht="14.95" customHeight="1" thickBot="1" x14ac:dyDescent="0.3">
      <c r="A16" s="14" t="s">
        <v>1045</v>
      </c>
      <c r="B16" s="13" t="s">
        <v>327</v>
      </c>
      <c r="C16" s="445">
        <f>Henrichusap4tries</f>
        <v>1</v>
      </c>
      <c r="D16" s="55" t="s">
        <v>606</v>
      </c>
      <c r="E16" s="90" t="s">
        <v>324</v>
      </c>
      <c r="F16" s="446">
        <f>Kingnzlp4pts</f>
        <v>5</v>
      </c>
    </row>
    <row r="17" spans="1:6" ht="14.95" customHeight="1" thickBot="1" x14ac:dyDescent="0.3">
      <c r="A17" s="14" t="s">
        <v>619</v>
      </c>
      <c r="B17" s="13" t="s">
        <v>325</v>
      </c>
      <c r="C17" s="445">
        <f>Millerausp4tries</f>
        <v>1</v>
      </c>
      <c r="D17" s="55" t="s">
        <v>603</v>
      </c>
      <c r="E17" s="90" t="s">
        <v>326</v>
      </c>
      <c r="F17" s="446">
        <f>Omokhualecanp4pts</f>
        <v>5</v>
      </c>
    </row>
    <row r="18" spans="1:6" ht="14.95" customHeight="1" thickBot="1" x14ac:dyDescent="0.3">
      <c r="A18" s="14" t="s">
        <v>661</v>
      </c>
      <c r="B18" s="13" t="s">
        <v>325</v>
      </c>
      <c r="C18" s="445">
        <f>Paluausp4tries</f>
        <v>1</v>
      </c>
      <c r="D18" s="55" t="s">
        <v>477</v>
      </c>
      <c r="E18" s="90" t="s">
        <v>324</v>
      </c>
      <c r="F18" s="446">
        <f>du_PlessisnzlP4pts</f>
        <v>5</v>
      </c>
    </row>
    <row r="19" spans="1:6" ht="14.95" customHeight="1" thickBot="1" x14ac:dyDescent="0.3">
      <c r="A19" s="14" t="s">
        <v>208</v>
      </c>
      <c r="B19" s="13" t="s">
        <v>326</v>
      </c>
      <c r="C19" s="445">
        <f>Penalty_Triescantries</f>
        <v>1</v>
      </c>
      <c r="D19" s="55" t="s">
        <v>1045</v>
      </c>
      <c r="E19" s="90" t="s">
        <v>327</v>
      </c>
      <c r="F19" s="446">
        <f>Henrichusap4pts</f>
        <v>5</v>
      </c>
    </row>
    <row r="20" spans="1:6" ht="14.95" customHeight="1" thickBot="1" x14ac:dyDescent="0.3">
      <c r="A20" s="14" t="s">
        <v>599</v>
      </c>
      <c r="B20" s="13" t="s">
        <v>327</v>
      </c>
      <c r="C20" s="445">
        <f>Perris_Reddingusap4tries</f>
        <v>1</v>
      </c>
      <c r="D20" s="55" t="s">
        <v>619</v>
      </c>
      <c r="E20" s="90" t="s">
        <v>325</v>
      </c>
      <c r="F20" s="446">
        <f>Millerausp4pts</f>
        <v>5</v>
      </c>
    </row>
    <row r="21" spans="1:6" ht="14.95" customHeight="1" thickBot="1" x14ac:dyDescent="0.3">
      <c r="A21" s="14" t="s">
        <v>486</v>
      </c>
      <c r="B21" s="13" t="s">
        <v>327</v>
      </c>
      <c r="C21" s="445">
        <f>Tafunausap4tries</f>
        <v>1</v>
      </c>
      <c r="D21" s="55" t="s">
        <v>661</v>
      </c>
      <c r="E21" s="90" t="s">
        <v>325</v>
      </c>
      <c r="F21" s="446">
        <f>Paluausp4pts</f>
        <v>5</v>
      </c>
    </row>
    <row r="22" spans="1:6" ht="14.95" customHeight="1" thickBot="1" x14ac:dyDescent="0.3">
      <c r="A22" s="14" t="s">
        <v>945</v>
      </c>
      <c r="B22" s="13" t="s">
        <v>324</v>
      </c>
      <c r="C22" s="445">
        <f>Tukuafunzlp4tries</f>
        <v>1</v>
      </c>
      <c r="D22" s="55" t="s">
        <v>599</v>
      </c>
      <c r="E22" s="90" t="s">
        <v>327</v>
      </c>
      <c r="F22" s="446">
        <f>Perris_Reddingusap4pts</f>
        <v>5</v>
      </c>
    </row>
    <row r="23" spans="1:6" ht="14.95" customHeight="1" thickBot="1" x14ac:dyDescent="0.3">
      <c r="A23" s="14" t="s">
        <v>608</v>
      </c>
      <c r="B23" s="13" t="s">
        <v>324</v>
      </c>
      <c r="C23" s="445">
        <f>Vaipulunzlp4tries</f>
        <v>1</v>
      </c>
      <c r="D23" s="55" t="s">
        <v>486</v>
      </c>
      <c r="E23" s="90" t="s">
        <v>327</v>
      </c>
      <c r="F23" s="446">
        <f>Tafunausap4pts</f>
        <v>5</v>
      </c>
    </row>
    <row r="24" spans="1:6" ht="14.95" customHeight="1" thickBot="1" x14ac:dyDescent="0.3">
      <c r="A24" s="14" t="s">
        <v>782</v>
      </c>
      <c r="B24" s="13" t="s">
        <v>326</v>
      </c>
      <c r="C24" s="445">
        <f>Appscanp4tries</f>
        <v>0</v>
      </c>
      <c r="D24" s="55" t="s">
        <v>945</v>
      </c>
      <c r="E24" s="90" t="s">
        <v>324</v>
      </c>
      <c r="F24" s="446">
        <f>Tukuafunzlp4pts</f>
        <v>5</v>
      </c>
    </row>
    <row r="25" spans="1:6" ht="14.95" customHeight="1" thickBot="1" x14ac:dyDescent="0.3">
      <c r="A25" s="14" t="s">
        <v>469</v>
      </c>
      <c r="B25" s="13" t="s">
        <v>327</v>
      </c>
      <c r="C25" s="445">
        <f>AshenbruckerUSAP4tries</f>
        <v>0</v>
      </c>
      <c r="D25" s="55" t="s">
        <v>608</v>
      </c>
      <c r="E25" s="90" t="s">
        <v>324</v>
      </c>
      <c r="F25" s="446">
        <f>Vaipulunzlp4pts</f>
        <v>5</v>
      </c>
    </row>
    <row r="26" spans="1:6" ht="14.95" customHeight="1" thickBot="1" x14ac:dyDescent="0.3">
      <c r="A26" s="14" t="s">
        <v>445</v>
      </c>
      <c r="B26" s="13" t="s">
        <v>326</v>
      </c>
      <c r="C26" s="445">
        <f>Bermudezcanp4tries</f>
        <v>0</v>
      </c>
      <c r="D26" s="55" t="s">
        <v>461</v>
      </c>
      <c r="E26" s="90" t="s">
        <v>325</v>
      </c>
      <c r="F26" s="446">
        <f>WongausP4pts</f>
        <v>2</v>
      </c>
    </row>
    <row r="27" spans="1:6" ht="14.95" customHeight="1" thickBot="1" x14ac:dyDescent="0.3">
      <c r="A27" s="14" t="s">
        <v>447</v>
      </c>
      <c r="B27" s="13" t="s">
        <v>326</v>
      </c>
      <c r="C27" s="445">
        <f>Beukeboomcanp4tries</f>
        <v>0</v>
      </c>
      <c r="D27" s="55" t="s">
        <v>782</v>
      </c>
      <c r="E27" s="90" t="s">
        <v>326</v>
      </c>
      <c r="F27" s="446">
        <f>Appscanp4pts</f>
        <v>0</v>
      </c>
    </row>
    <row r="28" spans="1:6" ht="14.95" customHeight="1" thickBot="1" x14ac:dyDescent="0.3">
      <c r="A28" s="14" t="s">
        <v>357</v>
      </c>
      <c r="B28" s="13" t="s">
        <v>324</v>
      </c>
      <c r="C28" s="445">
        <f>Bremner_AnzlP4tries</f>
        <v>0</v>
      </c>
      <c r="D28" s="55" t="s">
        <v>469</v>
      </c>
      <c r="E28" s="90" t="s">
        <v>327</v>
      </c>
      <c r="F28" s="446">
        <f>AshenbruckerUSAP4pts</f>
        <v>0</v>
      </c>
    </row>
    <row r="29" spans="1:6" ht="14.95" customHeight="1" thickBot="1" x14ac:dyDescent="0.3">
      <c r="A29" s="14" t="s">
        <v>358</v>
      </c>
      <c r="B29" s="13" t="s">
        <v>324</v>
      </c>
      <c r="C29" s="445">
        <f>Bremner_CnzlP4tries</f>
        <v>0</v>
      </c>
      <c r="D29" s="55" t="s">
        <v>445</v>
      </c>
      <c r="E29" s="90" t="s">
        <v>326</v>
      </c>
      <c r="F29" s="446">
        <f>Bermudezcanp4pts</f>
        <v>0</v>
      </c>
    </row>
    <row r="30" spans="1:6" ht="14.95" customHeight="1" thickBot="1" x14ac:dyDescent="0.3">
      <c r="A30" s="14" t="s">
        <v>441</v>
      </c>
      <c r="B30" s="13" t="s">
        <v>327</v>
      </c>
      <c r="C30" s="445">
        <f>Cantornausap4tries</f>
        <v>0</v>
      </c>
      <c r="D30" s="55" t="s">
        <v>447</v>
      </c>
      <c r="E30" s="90" t="s">
        <v>326</v>
      </c>
      <c r="F30" s="446">
        <f>Beukeboomcanp4pts</f>
        <v>0</v>
      </c>
    </row>
    <row r="31" spans="1:6" ht="14.95" customHeight="1" thickBot="1" x14ac:dyDescent="0.3">
      <c r="A31" s="14" t="s">
        <v>785</v>
      </c>
      <c r="B31" s="13" t="s">
        <v>325</v>
      </c>
      <c r="C31" s="445">
        <f>Caslickausp4tries</f>
        <v>0</v>
      </c>
      <c r="D31" s="55" t="s">
        <v>357</v>
      </c>
      <c r="E31" s="90" t="s">
        <v>324</v>
      </c>
      <c r="F31" s="446">
        <f>Bremner_AnzlP4pts</f>
        <v>0</v>
      </c>
    </row>
    <row r="32" spans="1:6" ht="14.95" customHeight="1" thickBot="1" x14ac:dyDescent="0.3">
      <c r="A32" s="14" t="s">
        <v>451</v>
      </c>
      <c r="B32" s="13" t="s">
        <v>327</v>
      </c>
      <c r="C32" s="445">
        <f>ClappUSAp4tries</f>
        <v>0</v>
      </c>
      <c r="D32" s="55" t="s">
        <v>358</v>
      </c>
      <c r="E32" s="90" t="s">
        <v>324</v>
      </c>
      <c r="F32" s="446">
        <f>Bremner_CnzlP4pts</f>
        <v>0</v>
      </c>
    </row>
    <row r="33" spans="1:6" ht="14.95" customHeight="1" thickBot="1" x14ac:dyDescent="0.3">
      <c r="A33" s="14" t="s">
        <v>615</v>
      </c>
      <c r="B33" s="13" t="s">
        <v>326</v>
      </c>
      <c r="C33" s="445">
        <f>Clinecanp4tries</f>
        <v>0</v>
      </c>
      <c r="D33" s="55" t="s">
        <v>441</v>
      </c>
      <c r="E33" s="90" t="s">
        <v>327</v>
      </c>
      <c r="F33" s="446">
        <f>CantornaUSAP4pts</f>
        <v>0</v>
      </c>
    </row>
    <row r="34" spans="1:6" ht="14.95" customHeight="1" thickBot="1" x14ac:dyDescent="0.3">
      <c r="A34" s="14" t="s">
        <v>475</v>
      </c>
      <c r="B34" s="13" t="s">
        <v>324</v>
      </c>
      <c r="C34" s="445">
        <f>ConnornzlP4tries</f>
        <v>0</v>
      </c>
      <c r="D34" s="55" t="s">
        <v>785</v>
      </c>
      <c r="E34" s="90" t="s">
        <v>325</v>
      </c>
      <c r="F34" s="446">
        <f>Caslickausp4pts</f>
        <v>0</v>
      </c>
    </row>
    <row r="35" spans="1:6" ht="14.95" customHeight="1" thickBot="1" x14ac:dyDescent="0.3">
      <c r="A35" s="14" t="s">
        <v>783</v>
      </c>
      <c r="B35" s="13" t="s">
        <v>326</v>
      </c>
      <c r="C35" s="445">
        <f>Corrigancanp4tries</f>
        <v>0</v>
      </c>
      <c r="D35" s="55" t="s">
        <v>451</v>
      </c>
      <c r="E35" s="90" t="s">
        <v>327</v>
      </c>
      <c r="F35" s="446">
        <f>ClappUSAP4pts</f>
        <v>0</v>
      </c>
    </row>
    <row r="36" spans="1:6" ht="14.95" customHeight="1" thickBot="1" x14ac:dyDescent="0.3">
      <c r="A36" s="14" t="s">
        <v>468</v>
      </c>
      <c r="B36" s="13" t="s">
        <v>325</v>
      </c>
      <c r="C36" s="445">
        <f>Cramerausp4tries</f>
        <v>0</v>
      </c>
      <c r="D36" s="55" t="s">
        <v>615</v>
      </c>
      <c r="E36" s="90" t="s">
        <v>326</v>
      </c>
      <c r="F36" s="446">
        <f>Clinecanp4pts</f>
        <v>0</v>
      </c>
    </row>
    <row r="37" spans="1:6" ht="14.95" customHeight="1" thickBot="1" x14ac:dyDescent="0.3">
      <c r="A37" s="14" t="s">
        <v>471</v>
      </c>
      <c r="B37" s="13" t="s">
        <v>326</v>
      </c>
      <c r="C37" s="445">
        <f>de_Goedecanp4tries</f>
        <v>0</v>
      </c>
      <c r="D37" s="55" t="s">
        <v>475</v>
      </c>
      <c r="E37" s="90" t="s">
        <v>324</v>
      </c>
      <c r="F37" s="446">
        <f>ConnorrnzlP4pts</f>
        <v>0</v>
      </c>
    </row>
    <row r="38" spans="1:6" ht="14.95" customHeight="1" thickBot="1" x14ac:dyDescent="0.3">
      <c r="A38" s="14" t="s">
        <v>476</v>
      </c>
      <c r="B38" s="13" t="s">
        <v>324</v>
      </c>
      <c r="C38" s="445">
        <f>DemantnzlP4tries</f>
        <v>0</v>
      </c>
      <c r="D38" s="55" t="s">
        <v>783</v>
      </c>
      <c r="E38" s="90" t="s">
        <v>326</v>
      </c>
      <c r="F38" s="446">
        <f>Corrigancanp4pts</f>
        <v>0</v>
      </c>
    </row>
    <row r="39" spans="1:6" ht="14.95" customHeight="1" thickBot="1" x14ac:dyDescent="0.3">
      <c r="A39" s="14" t="s">
        <v>474</v>
      </c>
      <c r="B39" s="13" t="s">
        <v>326</v>
      </c>
      <c r="C39" s="445">
        <f>DeMerchantcanP4tries</f>
        <v>0</v>
      </c>
      <c r="D39" s="55" t="s">
        <v>468</v>
      </c>
      <c r="E39" s="90" t="s">
        <v>325</v>
      </c>
      <c r="F39" s="446">
        <f>Cramerausp4pts</f>
        <v>0</v>
      </c>
    </row>
    <row r="40" spans="1:6" ht="14.95" customHeight="1" thickBot="1" x14ac:dyDescent="0.3">
      <c r="A40" s="14" t="s">
        <v>473</v>
      </c>
      <c r="B40" s="13" t="s">
        <v>326</v>
      </c>
      <c r="C40" s="445">
        <f>FortezacanP4tries</f>
        <v>0</v>
      </c>
      <c r="D40" s="55" t="s">
        <v>471</v>
      </c>
      <c r="E40" s="90" t="s">
        <v>326</v>
      </c>
      <c r="F40" s="446">
        <f>de_Goedecanp4pts</f>
        <v>0</v>
      </c>
    </row>
    <row r="41" spans="1:6" ht="14.95" customHeight="1" thickBot="1" x14ac:dyDescent="0.3">
      <c r="A41" s="14" t="s">
        <v>462</v>
      </c>
      <c r="B41" s="13" t="s">
        <v>325</v>
      </c>
      <c r="C41" s="445">
        <f>FriedrichsausP4tries</f>
        <v>0</v>
      </c>
      <c r="D41" s="55" t="s">
        <v>476</v>
      </c>
      <c r="E41" s="90" t="s">
        <v>324</v>
      </c>
      <c r="F41" s="446">
        <f>DemantnzlP4pts</f>
        <v>0</v>
      </c>
    </row>
    <row r="42" spans="1:6" ht="14.95" customHeight="1" thickBot="1" x14ac:dyDescent="0.3">
      <c r="A42" s="14" t="s">
        <v>483</v>
      </c>
      <c r="B42" s="13" t="s">
        <v>324</v>
      </c>
      <c r="C42" s="445">
        <f>Gagop4nzltries</f>
        <v>0</v>
      </c>
      <c r="D42" s="55" t="s">
        <v>474</v>
      </c>
      <c r="E42" s="90" t="s">
        <v>326</v>
      </c>
      <c r="F42" s="446">
        <f>DeMerchantcanP4pts</f>
        <v>0</v>
      </c>
    </row>
    <row r="43" spans="1:6" ht="14.95" customHeight="1" thickBot="1" x14ac:dyDescent="0.3">
      <c r="A43" s="14" t="s">
        <v>487</v>
      </c>
      <c r="B43" s="13" t="s">
        <v>326</v>
      </c>
      <c r="C43" s="445">
        <f>Gallaghercanp4tries</f>
        <v>0</v>
      </c>
      <c r="D43" s="55" t="s">
        <v>473</v>
      </c>
      <c r="E43" s="90" t="s">
        <v>326</v>
      </c>
      <c r="F43" s="446">
        <f>fortezacanP4pts</f>
        <v>0</v>
      </c>
    </row>
    <row r="44" spans="1:6" ht="14.95" customHeight="1" thickBot="1" x14ac:dyDescent="0.3">
      <c r="A44" s="14" t="s">
        <v>505</v>
      </c>
      <c r="B44" s="13" t="s">
        <v>326</v>
      </c>
      <c r="C44" s="445">
        <f>Grantcanp4tries</f>
        <v>0</v>
      </c>
      <c r="D44" s="55" t="s">
        <v>462</v>
      </c>
      <c r="E44" s="90" t="s">
        <v>325</v>
      </c>
      <c r="F44" s="446">
        <f>FriedrichsausP4pts</f>
        <v>0</v>
      </c>
    </row>
    <row r="45" spans="1:6" ht="14.95" customHeight="1" thickBot="1" x14ac:dyDescent="0.3">
      <c r="A45" s="14" t="s">
        <v>463</v>
      </c>
      <c r="B45" s="13" t="s">
        <v>325</v>
      </c>
      <c r="C45" s="445">
        <f>HamiltonausP4tries</f>
        <v>0</v>
      </c>
      <c r="D45" s="55" t="s">
        <v>483</v>
      </c>
      <c r="E45" s="90" t="s">
        <v>324</v>
      </c>
      <c r="F45" s="446">
        <f>Gagop4nzlpts</f>
        <v>0</v>
      </c>
    </row>
    <row r="46" spans="1:6" ht="14.95" customHeight="1" thickBot="1" x14ac:dyDescent="0.3">
      <c r="A46" s="14" t="s">
        <v>442</v>
      </c>
      <c r="B46" s="13" t="s">
        <v>327</v>
      </c>
      <c r="C46" s="445">
        <f>Hawkinsusap4tries</f>
        <v>0</v>
      </c>
      <c r="D46" s="55" t="s">
        <v>505</v>
      </c>
      <c r="E46" s="90" t="s">
        <v>326</v>
      </c>
      <c r="F46" s="446">
        <f>Grantcanp4pts</f>
        <v>0</v>
      </c>
    </row>
    <row r="47" spans="1:6" ht="14.95" customHeight="1" thickBot="1" x14ac:dyDescent="0.3">
      <c r="A47" s="14" t="s">
        <v>620</v>
      </c>
      <c r="B47" s="13" t="s">
        <v>327</v>
      </c>
      <c r="C47" s="445">
        <f>Hinganousap4tries</f>
        <v>0</v>
      </c>
      <c r="D47" s="55" t="s">
        <v>463</v>
      </c>
      <c r="E47" s="90" t="s">
        <v>325</v>
      </c>
      <c r="F47" s="446">
        <f>HamiltonausP4pts</f>
        <v>0</v>
      </c>
    </row>
    <row r="48" spans="1:6" ht="14.95" customHeight="1" thickBot="1" x14ac:dyDescent="0.3">
      <c r="A48" s="14" t="s">
        <v>458</v>
      </c>
      <c r="B48" s="13" t="s">
        <v>324</v>
      </c>
      <c r="C48" s="445">
        <f>HohalanzlP4tries</f>
        <v>0</v>
      </c>
      <c r="D48" s="55" t="s">
        <v>442</v>
      </c>
      <c r="E48" s="90" t="s">
        <v>327</v>
      </c>
      <c r="F48" s="446">
        <f>HawkinsUSAP4pts</f>
        <v>0</v>
      </c>
    </row>
    <row r="49" spans="1:6" ht="14.95" customHeight="1" thickBot="1" x14ac:dyDescent="0.3">
      <c r="A49" s="14" t="s">
        <v>306</v>
      </c>
      <c r="B49" s="13" t="s">
        <v>327</v>
      </c>
      <c r="C49" s="445">
        <f>Johnson_Rusap4tries</f>
        <v>0</v>
      </c>
      <c r="D49" s="55" t="s">
        <v>620</v>
      </c>
      <c r="E49" s="90" t="s">
        <v>327</v>
      </c>
      <c r="F49" s="446">
        <f>Hinganousap4pts</f>
        <v>0</v>
      </c>
    </row>
    <row r="50" spans="1:6" ht="14.95" customHeight="1" thickBot="1" x14ac:dyDescent="0.3">
      <c r="A50" s="14" t="s">
        <v>457</v>
      </c>
      <c r="B50" s="13" t="s">
        <v>324</v>
      </c>
      <c r="C50" s="445">
        <f>KalounivalenzlP4tries</f>
        <v>0</v>
      </c>
      <c r="D50" s="55" t="s">
        <v>458</v>
      </c>
      <c r="E50" s="90" t="s">
        <v>324</v>
      </c>
      <c r="F50" s="446">
        <f>HohalanzlP4pts</f>
        <v>0</v>
      </c>
    </row>
    <row r="51" spans="1:6" ht="14.95" customHeight="1" thickBot="1" x14ac:dyDescent="0.3">
      <c r="A51" s="14" t="s">
        <v>464</v>
      </c>
      <c r="B51" s="13" t="s">
        <v>325</v>
      </c>
      <c r="C51" s="445">
        <f>KarpaniausP4tries</f>
        <v>0</v>
      </c>
      <c r="D51" s="55" t="s">
        <v>306</v>
      </c>
      <c r="E51" s="90" t="s">
        <v>327</v>
      </c>
      <c r="F51" s="446">
        <f>Johnson_Rusap4pts</f>
        <v>0</v>
      </c>
    </row>
    <row r="52" spans="1:6" ht="14.95" customHeight="1" thickBot="1" x14ac:dyDescent="0.3">
      <c r="A52" s="14" t="s">
        <v>699</v>
      </c>
      <c r="B52" s="13" t="s">
        <v>327</v>
      </c>
      <c r="C52" s="445">
        <f>Kelterusap4tries</f>
        <v>0</v>
      </c>
      <c r="D52" s="55" t="s">
        <v>457</v>
      </c>
      <c r="E52" s="90" t="s">
        <v>324</v>
      </c>
      <c r="F52" s="446">
        <f>KalounivalenzlP4pts</f>
        <v>0</v>
      </c>
    </row>
    <row r="53" spans="1:6" ht="14.95" customHeight="1" thickBot="1" x14ac:dyDescent="0.3">
      <c r="A53" s="14" t="s">
        <v>446</v>
      </c>
      <c r="B53" s="13" t="s">
        <v>326</v>
      </c>
      <c r="C53" s="445">
        <f>Lachancecanp4tries</f>
        <v>0</v>
      </c>
      <c r="D53" s="55" t="s">
        <v>464</v>
      </c>
      <c r="E53" s="90" t="s">
        <v>325</v>
      </c>
      <c r="F53" s="446">
        <f>KarpaniausP4pts</f>
        <v>0</v>
      </c>
    </row>
    <row r="54" spans="1:6" ht="14.95" customHeight="1" thickBot="1" x14ac:dyDescent="0.3">
      <c r="A54" s="14" t="s">
        <v>772</v>
      </c>
      <c r="B54" s="13" t="s">
        <v>324</v>
      </c>
      <c r="C54" s="445">
        <f>Leti_l_iganzlp4tries</f>
        <v>0</v>
      </c>
      <c r="D54" s="55" t="s">
        <v>699</v>
      </c>
      <c r="E54" s="90" t="s">
        <v>327</v>
      </c>
      <c r="F54" s="446">
        <f>Kelterusap4pts</f>
        <v>0</v>
      </c>
    </row>
    <row r="55" spans="1:6" ht="14.95" customHeight="1" thickBot="1" x14ac:dyDescent="0.3">
      <c r="A55" s="14" t="s">
        <v>480</v>
      </c>
      <c r="B55" s="13" t="s">
        <v>324</v>
      </c>
      <c r="C55" s="445">
        <f>Lovenzlp4tries</f>
        <v>0</v>
      </c>
      <c r="D55" s="55" t="s">
        <v>446</v>
      </c>
      <c r="E55" s="90" t="s">
        <v>326</v>
      </c>
      <c r="F55" s="446">
        <f>Lachancecanp4pts</f>
        <v>0</v>
      </c>
    </row>
    <row r="56" spans="1:6" ht="14.95" customHeight="1" thickBot="1" x14ac:dyDescent="0.3">
      <c r="A56" s="14" t="s">
        <v>611</v>
      </c>
      <c r="B56" s="13" t="s">
        <v>324</v>
      </c>
      <c r="C56" s="445">
        <f>Malieponzlp4tries</f>
        <v>0</v>
      </c>
      <c r="D56" s="55" t="s">
        <v>772</v>
      </c>
      <c r="E56" s="90" t="s">
        <v>324</v>
      </c>
      <c r="F56" s="446">
        <f>Leti_l_iganzlp4pts</f>
        <v>0</v>
      </c>
    </row>
    <row r="57" spans="1:6" ht="14.95" customHeight="1" thickBot="1" x14ac:dyDescent="0.3">
      <c r="A57" s="14" t="s">
        <v>482</v>
      </c>
      <c r="B57" s="13" t="s">
        <v>324</v>
      </c>
      <c r="C57" s="445">
        <f>Marino_Tauhinunzlp4tries</f>
        <v>0</v>
      </c>
      <c r="D57" s="55" t="s">
        <v>480</v>
      </c>
      <c r="E57" s="90" t="s">
        <v>324</v>
      </c>
      <c r="F57" s="446">
        <f>Lovenzlp4pts</f>
        <v>0</v>
      </c>
    </row>
    <row r="58" spans="1:6" ht="14.95" customHeight="1" thickBot="1" x14ac:dyDescent="0.3">
      <c r="A58" s="14" t="s">
        <v>489</v>
      </c>
      <c r="B58" s="13" t="s">
        <v>325</v>
      </c>
      <c r="C58" s="445">
        <f>Marstersausp4tries</f>
        <v>0</v>
      </c>
      <c r="D58" s="55" t="s">
        <v>611</v>
      </c>
      <c r="E58" s="90" t="s">
        <v>324</v>
      </c>
      <c r="F58" s="446">
        <f>Malieponzlp4pts</f>
        <v>0</v>
      </c>
    </row>
    <row r="59" spans="1:6" ht="14.95" customHeight="1" thickBot="1" x14ac:dyDescent="0.3">
      <c r="A59" s="14" t="s">
        <v>460</v>
      </c>
      <c r="B59" s="13" t="s">
        <v>325</v>
      </c>
      <c r="C59" s="445">
        <f>McKenzieausp4tries</f>
        <v>0</v>
      </c>
      <c r="D59" s="55" t="s">
        <v>482</v>
      </c>
      <c r="E59" s="90" t="s">
        <v>324</v>
      </c>
      <c r="F59" s="446">
        <f>Marino_Tauhinunzlp4pts</f>
        <v>0</v>
      </c>
    </row>
    <row r="60" spans="1:6" ht="14.95" customHeight="1" thickBot="1" x14ac:dyDescent="0.3">
      <c r="A60" s="14" t="s">
        <v>616</v>
      </c>
      <c r="B60" s="13" t="s">
        <v>326</v>
      </c>
      <c r="C60" s="445">
        <f>Menincanp4tries</f>
        <v>0</v>
      </c>
      <c r="D60" s="55" t="s">
        <v>489</v>
      </c>
      <c r="E60" s="90" t="s">
        <v>325</v>
      </c>
      <c r="F60" s="446">
        <f>Marstersausp4pts</f>
        <v>0</v>
      </c>
    </row>
    <row r="61" spans="1:6" ht="14.95" customHeight="1" thickBot="1" x14ac:dyDescent="0.3">
      <c r="A61" s="14" t="s">
        <v>484</v>
      </c>
      <c r="B61" s="13" t="s">
        <v>324</v>
      </c>
      <c r="C61" s="445">
        <f>Mikaele_Tu_unzlp4tries</f>
        <v>0</v>
      </c>
      <c r="D61" s="55" t="s">
        <v>460</v>
      </c>
      <c r="E61" s="90" t="s">
        <v>325</v>
      </c>
      <c r="F61" s="446">
        <f>McKenzieausP4pts</f>
        <v>0</v>
      </c>
    </row>
    <row r="62" spans="1:6" ht="14.95" customHeight="1" thickBot="1" x14ac:dyDescent="0.3">
      <c r="A62" s="14" t="s">
        <v>660</v>
      </c>
      <c r="B62" s="13" t="s">
        <v>325</v>
      </c>
      <c r="C62" s="445">
        <f>Molekaausp4tries</f>
        <v>0</v>
      </c>
      <c r="D62" s="55" t="s">
        <v>616</v>
      </c>
      <c r="E62" s="90" t="s">
        <v>326</v>
      </c>
      <c r="F62" s="446">
        <f>Menincanp4pts</f>
        <v>0</v>
      </c>
    </row>
    <row r="63" spans="1:6" ht="14.95" customHeight="1" thickBot="1" x14ac:dyDescent="0.3">
      <c r="A63" s="14" t="s">
        <v>613</v>
      </c>
      <c r="B63" s="13" t="s">
        <v>325</v>
      </c>
      <c r="C63" s="445">
        <f>Nadenausp4tries</f>
        <v>0</v>
      </c>
      <c r="D63" s="55" t="s">
        <v>484</v>
      </c>
      <c r="E63" s="90" t="s">
        <v>324</v>
      </c>
      <c r="F63" s="446">
        <f>Mikaele_Tu_unzlp4pts</f>
        <v>0</v>
      </c>
    </row>
    <row r="64" spans="1:6" ht="14.95" customHeight="1" thickBot="1" x14ac:dyDescent="0.3">
      <c r="A64" s="14" t="s">
        <v>770</v>
      </c>
      <c r="B64" s="13" t="s">
        <v>326</v>
      </c>
      <c r="C64" s="445">
        <f>O_Donnellcanp4triees</f>
        <v>0</v>
      </c>
      <c r="D64" s="55" t="s">
        <v>660</v>
      </c>
      <c r="E64" s="90" t="s">
        <v>325</v>
      </c>
      <c r="F64" s="446">
        <f>Molekaausp4pts</f>
        <v>0</v>
      </c>
    </row>
    <row r="65" spans="1:6" ht="14.95" customHeight="1" thickBot="1" x14ac:dyDescent="0.3">
      <c r="A65" s="14" t="s">
        <v>786</v>
      </c>
      <c r="B65" s="13" t="s">
        <v>326</v>
      </c>
      <c r="C65" s="445">
        <f>Paquincanp4tries</f>
        <v>0</v>
      </c>
      <c r="D65" s="55" t="s">
        <v>613</v>
      </c>
      <c r="E65" s="90" t="s">
        <v>325</v>
      </c>
      <c r="F65" s="446">
        <f>Nadenausp4pts</f>
        <v>0</v>
      </c>
    </row>
    <row r="66" spans="1:6" ht="14.95" customHeight="1" thickBot="1" x14ac:dyDescent="0.3">
      <c r="A66" s="14" t="s">
        <v>666</v>
      </c>
      <c r="B66" s="13" t="s">
        <v>326</v>
      </c>
      <c r="C66" s="445">
        <f>Pelletiercsanp4tries</f>
        <v>0</v>
      </c>
      <c r="D66" s="55" t="s">
        <v>770</v>
      </c>
      <c r="E66" s="90" t="s">
        <v>326</v>
      </c>
      <c r="F66" s="446">
        <f>O_Donnellcanp4pts</f>
        <v>0</v>
      </c>
    </row>
    <row r="67" spans="1:6" ht="14.95" customHeight="1" thickBot="1" x14ac:dyDescent="0.3">
      <c r="A67" s="14" t="s">
        <v>208</v>
      </c>
      <c r="B67" s="13" t="s">
        <v>325</v>
      </c>
      <c r="C67" s="445">
        <f>Penalty_Triesausp4tries</f>
        <v>0</v>
      </c>
      <c r="D67" s="55" t="s">
        <v>786</v>
      </c>
      <c r="E67" s="90" t="s">
        <v>326</v>
      </c>
      <c r="F67" s="446">
        <f>Paquincanp4pts</f>
        <v>0</v>
      </c>
    </row>
    <row r="68" spans="1:6" ht="14.95" customHeight="1" thickBot="1" x14ac:dyDescent="0.3">
      <c r="A68" s="14" t="s">
        <v>208</v>
      </c>
      <c r="B68" s="13" t="s">
        <v>327</v>
      </c>
      <c r="C68" s="445">
        <f>Penalty_Triesusap4tries</f>
        <v>0</v>
      </c>
      <c r="D68" s="55" t="s">
        <v>666</v>
      </c>
      <c r="E68" s="90" t="s">
        <v>326</v>
      </c>
      <c r="F68" s="446">
        <f>Pelletiercanp4pts</f>
        <v>0</v>
      </c>
    </row>
    <row r="69" spans="1:6" ht="14.95" customHeight="1" thickBot="1" x14ac:dyDescent="0.3">
      <c r="A69" s="14" t="s">
        <v>624</v>
      </c>
      <c r="B69" s="13" t="s">
        <v>324</v>
      </c>
      <c r="C69" s="445">
        <f>Ponsonbynzlp4tries</f>
        <v>0</v>
      </c>
      <c r="D69" s="55" t="s">
        <v>208</v>
      </c>
      <c r="E69" s="90" t="s">
        <v>325</v>
      </c>
      <c r="F69" s="446">
        <f>Penalty_Triesausp4pts</f>
        <v>0</v>
      </c>
    </row>
    <row r="70" spans="1:6" ht="14.95" customHeight="1" thickBot="1" x14ac:dyDescent="0.3">
      <c r="A70" s="14" t="s">
        <v>444</v>
      </c>
      <c r="B70" s="13" t="s">
        <v>326</v>
      </c>
      <c r="C70" s="445">
        <f>Poulincanp4tries</f>
        <v>0</v>
      </c>
      <c r="D70" s="55" t="s">
        <v>208</v>
      </c>
      <c r="E70" s="90" t="s">
        <v>327</v>
      </c>
      <c r="F70" s="446">
        <f>Penalty_Triesusap4pts</f>
        <v>0</v>
      </c>
    </row>
    <row r="71" spans="1:6" ht="14.95" customHeight="1" thickBot="1" x14ac:dyDescent="0.3">
      <c r="A71" s="14" t="s">
        <v>601</v>
      </c>
      <c r="B71" s="13" t="s">
        <v>326</v>
      </c>
      <c r="C71" s="445">
        <f>Royercanp4tries</f>
        <v>0</v>
      </c>
      <c r="D71" s="55" t="s">
        <v>624</v>
      </c>
      <c r="E71" s="90" t="s">
        <v>324</v>
      </c>
      <c r="F71" s="446">
        <f>Ponsonbynzlp4pts</f>
        <v>0</v>
      </c>
    </row>
    <row r="72" spans="1:6" ht="14.95" customHeight="1" thickBot="1" x14ac:dyDescent="0.3">
      <c r="A72" s="14" t="s">
        <v>612</v>
      </c>
      <c r="B72" s="13" t="s">
        <v>324</v>
      </c>
      <c r="C72" s="445">
        <f>Saenzlp4tries</f>
        <v>0</v>
      </c>
      <c r="D72" s="55" t="s">
        <v>444</v>
      </c>
      <c r="E72" s="90" t="s">
        <v>326</v>
      </c>
      <c r="F72" s="446">
        <f>Poulincanp4pts</f>
        <v>0</v>
      </c>
    </row>
    <row r="73" spans="1:6" ht="14.95" customHeight="1" thickBot="1" x14ac:dyDescent="0.3">
      <c r="A73" s="14" t="s">
        <v>771</v>
      </c>
      <c r="B73" s="13" t="s">
        <v>326</v>
      </c>
      <c r="C73" s="445">
        <f>Schellcanp4tries</f>
        <v>0</v>
      </c>
      <c r="D73" s="55" t="s">
        <v>601</v>
      </c>
      <c r="E73" s="90" t="s">
        <v>326</v>
      </c>
      <c r="F73" s="446">
        <f>Royercanp4pts</f>
        <v>0</v>
      </c>
    </row>
    <row r="74" spans="1:6" ht="14.95" customHeight="1" thickBot="1" x14ac:dyDescent="0.3">
      <c r="A74" s="14" t="s">
        <v>520</v>
      </c>
      <c r="B74" s="13" t="s">
        <v>326</v>
      </c>
      <c r="C74" s="445">
        <f>Scurfieldcanp4tries</f>
        <v>0</v>
      </c>
      <c r="D74" s="55" t="s">
        <v>612</v>
      </c>
      <c r="E74" s="90" t="s">
        <v>324</v>
      </c>
      <c r="F74" s="446">
        <f>Saenzlp4pts</f>
        <v>0</v>
      </c>
    </row>
    <row r="75" spans="1:6" ht="14.95" customHeight="1" thickBot="1" x14ac:dyDescent="0.3">
      <c r="A75" s="14" t="s">
        <v>780</v>
      </c>
      <c r="B75" s="13" t="s">
        <v>326</v>
      </c>
      <c r="C75" s="445">
        <f>Seumanutafacanp4tries</f>
        <v>0</v>
      </c>
      <c r="D75" s="55" t="s">
        <v>771</v>
      </c>
      <c r="E75" s="90" t="s">
        <v>326</v>
      </c>
      <c r="F75" s="446">
        <f>Schellcanp4pts</f>
        <v>0</v>
      </c>
    </row>
    <row r="76" spans="1:6" ht="14.95" customHeight="1" thickBot="1" x14ac:dyDescent="0.3">
      <c r="A76" s="14" t="s">
        <v>523</v>
      </c>
      <c r="B76" s="13" t="s">
        <v>324</v>
      </c>
      <c r="C76" s="445">
        <f>Simonnzlp4tries</f>
        <v>0</v>
      </c>
      <c r="D76" s="55" t="s">
        <v>520</v>
      </c>
      <c r="E76" s="90" t="s">
        <v>326</v>
      </c>
      <c r="F76" s="446">
        <f>Scurfieldcanp4pts</f>
        <v>0</v>
      </c>
    </row>
    <row r="77" spans="1:6" ht="14.95" customHeight="1" thickBot="1" x14ac:dyDescent="0.3">
      <c r="A77" s="14" t="s">
        <v>467</v>
      </c>
      <c r="B77" s="13" t="s">
        <v>325</v>
      </c>
      <c r="C77" s="445">
        <f>Smithausp4tries</f>
        <v>0</v>
      </c>
      <c r="D77" s="55" t="s">
        <v>780</v>
      </c>
      <c r="E77" s="90" t="s">
        <v>326</v>
      </c>
      <c r="F77" s="446">
        <f>Seumanutafacanp4pts</f>
        <v>0</v>
      </c>
    </row>
    <row r="78" spans="1:6" ht="14.95" customHeight="1" thickBot="1" x14ac:dyDescent="0.3">
      <c r="A78" s="14" t="s">
        <v>774</v>
      </c>
      <c r="B78" s="13" t="s">
        <v>324</v>
      </c>
      <c r="C78" s="445">
        <f>Sorensen_McGeenzlp4tries</f>
        <v>0</v>
      </c>
      <c r="D78" s="55" t="s">
        <v>523</v>
      </c>
      <c r="E78" s="90" t="s">
        <v>324</v>
      </c>
      <c r="F78" s="446">
        <f>Simonnzlp4pts</f>
        <v>0</v>
      </c>
    </row>
    <row r="79" spans="1:6" ht="14.95" customHeight="1" thickBot="1" x14ac:dyDescent="0.3">
      <c r="A79" s="14" t="s">
        <v>466</v>
      </c>
      <c r="B79" s="13" t="s">
        <v>325</v>
      </c>
      <c r="C79" s="445">
        <f>StewartausP4tries</f>
        <v>0</v>
      </c>
      <c r="D79" s="55" t="s">
        <v>467</v>
      </c>
      <c r="E79" s="90" t="s">
        <v>325</v>
      </c>
      <c r="F79" s="446">
        <f>SmithausP4pts</f>
        <v>0</v>
      </c>
    </row>
    <row r="80" spans="1:6" ht="14.95" customHeight="1" thickBot="1" x14ac:dyDescent="0.3">
      <c r="A80" s="14" t="s">
        <v>465</v>
      </c>
      <c r="B80" s="13" t="s">
        <v>325</v>
      </c>
      <c r="C80" s="445">
        <f>TalakaiausP4tries</f>
        <v>0</v>
      </c>
      <c r="D80" s="55" t="s">
        <v>774</v>
      </c>
      <c r="E80" s="90" t="s">
        <v>324</v>
      </c>
      <c r="F80" s="446">
        <f>Sorensen_McGeenzlp4pts</f>
        <v>0</v>
      </c>
    </row>
    <row r="81" spans="1:6" ht="14.95" customHeight="1" thickBot="1" x14ac:dyDescent="0.3">
      <c r="A81" s="14" t="s">
        <v>448</v>
      </c>
      <c r="B81" s="13" t="s">
        <v>326</v>
      </c>
      <c r="C81" s="445">
        <f>Taylorcanp4tries</f>
        <v>0</v>
      </c>
      <c r="D81" s="55" t="s">
        <v>466</v>
      </c>
      <c r="E81" s="90" t="s">
        <v>325</v>
      </c>
      <c r="F81" s="446">
        <f>StewartausP4pts</f>
        <v>0</v>
      </c>
    </row>
    <row r="82" spans="1:6" ht="14.95" customHeight="1" thickBot="1" x14ac:dyDescent="0.3">
      <c r="A82" s="14" t="s">
        <v>478</v>
      </c>
      <c r="B82" s="13" t="s">
        <v>324</v>
      </c>
      <c r="C82" s="445">
        <f>TenetinzlP4tries</f>
        <v>0</v>
      </c>
      <c r="D82" s="55" t="s">
        <v>465</v>
      </c>
      <c r="E82" s="90" t="s">
        <v>325</v>
      </c>
      <c r="F82" s="446">
        <f>TalakaiausP4pts</f>
        <v>0</v>
      </c>
    </row>
    <row r="83" spans="1:6" ht="14.95" customHeight="1" thickBot="1" x14ac:dyDescent="0.3">
      <c r="A83" s="14" t="s">
        <v>617</v>
      </c>
      <c r="B83" s="13" t="s">
        <v>326</v>
      </c>
      <c r="C83" s="445">
        <f>Tessiercanp4tries</f>
        <v>0</v>
      </c>
      <c r="D83" s="55" t="s">
        <v>448</v>
      </c>
      <c r="E83" s="90" t="s">
        <v>326</v>
      </c>
      <c r="F83" s="446">
        <f>Taylorcanp4pts</f>
        <v>0</v>
      </c>
    </row>
    <row r="84" spans="1:6" ht="14.95" customHeight="1" thickBot="1" x14ac:dyDescent="0.3">
      <c r="A84" s="14" t="s">
        <v>621</v>
      </c>
      <c r="B84" s="13" t="s">
        <v>327</v>
      </c>
      <c r="C84" s="445">
        <f>Trederusap4tries</f>
        <v>0</v>
      </c>
      <c r="D84" s="55" t="s">
        <v>478</v>
      </c>
      <c r="E84" s="90" t="s">
        <v>324</v>
      </c>
      <c r="F84" s="446">
        <f>TenetinzlP4pts</f>
        <v>0</v>
      </c>
    </row>
    <row r="85" spans="1:6" ht="14.95" customHeight="1" thickBot="1" x14ac:dyDescent="0.3">
      <c r="A85" s="14" t="s">
        <v>511</v>
      </c>
      <c r="B85" s="13" t="s">
        <v>324</v>
      </c>
      <c r="C85" s="445">
        <f>Tuinzlp4tries</f>
        <v>0</v>
      </c>
      <c r="D85" s="55" t="s">
        <v>617</v>
      </c>
      <c r="E85" s="90" t="s">
        <v>326</v>
      </c>
      <c r="F85" s="446">
        <f>Tessiercanp4pts</f>
        <v>0</v>
      </c>
    </row>
    <row r="86" spans="1:6" ht="14.95" customHeight="1" thickBot="1" x14ac:dyDescent="0.3">
      <c r="A86" s="14" t="s">
        <v>443</v>
      </c>
      <c r="B86" s="13" t="s">
        <v>326</v>
      </c>
      <c r="C86" s="445">
        <f>Tuttosicanp4tries</f>
        <v>0</v>
      </c>
      <c r="D86" s="55" t="s">
        <v>621</v>
      </c>
      <c r="E86" s="90" t="s">
        <v>327</v>
      </c>
      <c r="F86" s="446">
        <f>Trederusap4pts</f>
        <v>0</v>
      </c>
    </row>
    <row r="87" spans="1:6" ht="14.95" customHeight="1" thickBot="1" x14ac:dyDescent="0.3">
      <c r="A87" s="14" t="s">
        <v>508</v>
      </c>
      <c r="B87" s="13" t="s">
        <v>324</v>
      </c>
      <c r="C87" s="445">
        <f>Vaha_akolonzlp4tries</f>
        <v>0</v>
      </c>
      <c r="D87" s="55" t="s">
        <v>511</v>
      </c>
      <c r="E87" s="90" t="s">
        <v>324</v>
      </c>
      <c r="F87" s="446">
        <f>Tuinzlp4pts</f>
        <v>0</v>
      </c>
    </row>
    <row r="88" spans="1:6" ht="14.95" customHeight="1" thickBot="1" x14ac:dyDescent="0.3">
      <c r="A88" s="14" t="s">
        <v>1031</v>
      </c>
      <c r="B88" s="13" t="s">
        <v>327</v>
      </c>
      <c r="C88" s="445">
        <f>Vogelusap4tries</f>
        <v>0</v>
      </c>
      <c r="D88" s="55" t="s">
        <v>443</v>
      </c>
      <c r="E88" s="90" t="s">
        <v>326</v>
      </c>
      <c r="F88" s="446">
        <f>Tuttosicanp4pts</f>
        <v>0</v>
      </c>
    </row>
    <row r="89" spans="1:6" ht="14.95" customHeight="1" thickBot="1" x14ac:dyDescent="0.3">
      <c r="A89" s="14" t="s">
        <v>626</v>
      </c>
      <c r="B89" s="13" t="s">
        <v>324</v>
      </c>
      <c r="C89" s="445">
        <f>Vilikonzlp4tries</f>
        <v>0</v>
      </c>
      <c r="D89" s="55" t="s">
        <v>508</v>
      </c>
      <c r="E89" s="90" t="s">
        <v>324</v>
      </c>
      <c r="F89" s="446">
        <f>Vaha_akolonzlp4pts</f>
        <v>0</v>
      </c>
    </row>
    <row r="90" spans="1:6" ht="14.95" customHeight="1" thickBot="1" x14ac:dyDescent="0.3">
      <c r="A90" s="14" t="s">
        <v>790</v>
      </c>
      <c r="B90" s="13" t="s">
        <v>324</v>
      </c>
      <c r="C90" s="445">
        <f>Waakanzlp4tries</f>
        <v>0</v>
      </c>
      <c r="D90" s="55" t="s">
        <v>626</v>
      </c>
      <c r="E90" s="90" t="s">
        <v>324</v>
      </c>
      <c r="F90" s="446">
        <f>Vilikonzlp4pts</f>
        <v>0</v>
      </c>
    </row>
    <row r="91" spans="1:6" ht="14.95" customHeight="1" thickBot="1" x14ac:dyDescent="0.3">
      <c r="A91" s="14" t="s">
        <v>461</v>
      </c>
      <c r="B91" s="13" t="s">
        <v>325</v>
      </c>
      <c r="C91" s="445">
        <f>WongausP4tries</f>
        <v>0</v>
      </c>
      <c r="D91" s="55" t="s">
        <v>790</v>
      </c>
      <c r="E91" s="90" t="s">
        <v>324</v>
      </c>
      <c r="F91" s="446">
        <f>Waakanzlp4pts</f>
        <v>0</v>
      </c>
    </row>
    <row r="92" spans="1:6" ht="14.95" customHeight="1" thickBot="1" x14ac:dyDescent="0.3">
      <c r="A92" s="14" t="s">
        <v>788</v>
      </c>
      <c r="B92" s="13" t="s">
        <v>324</v>
      </c>
      <c r="C92" s="445">
        <f>Woodman_Wickliffenzlp4tries</f>
        <v>0</v>
      </c>
      <c r="D92" s="55" t="s">
        <v>788</v>
      </c>
      <c r="E92" s="90" t="s">
        <v>324</v>
      </c>
      <c r="F92" s="446">
        <f>Woodman_Wickliffenzlp4pts</f>
        <v>0</v>
      </c>
    </row>
    <row r="93" spans="1:6" ht="14.95" customHeight="1" thickBot="1" x14ac:dyDescent="0.3">
      <c r="A93" s="14" t="s">
        <v>769</v>
      </c>
      <c r="B93" s="13" t="s">
        <v>327</v>
      </c>
      <c r="C93" s="445">
        <f>Zackaryusap4tries</f>
        <v>0</v>
      </c>
      <c r="D93" s="55" t="s">
        <v>769</v>
      </c>
      <c r="E93" s="90" t="s">
        <v>327</v>
      </c>
      <c r="F93" s="446">
        <f>Zackaryusap4pts</f>
        <v>0</v>
      </c>
    </row>
    <row r="94" spans="1:6" ht="14.95" customHeight="1" thickBot="1" x14ac:dyDescent="0.3">
      <c r="A94" s="165" t="s">
        <v>328</v>
      </c>
      <c r="B94" s="165"/>
      <c r="C94" s="180">
        <f>SUM(C4:C93)</f>
        <v>28</v>
      </c>
      <c r="D94" s="248" t="s">
        <v>328</v>
      </c>
      <c r="E94" s="248"/>
      <c r="F94" s="249">
        <f>SUM(F4:F93)</f>
        <v>182</v>
      </c>
    </row>
    <row r="95" spans="1:6" ht="14.95" customHeight="1" x14ac:dyDescent="0.3">
      <c r="A95" s="388" t="s">
        <v>10</v>
      </c>
    </row>
    <row r="96" spans="1:6" ht="14.95" customHeight="1" x14ac:dyDescent="0.25"/>
    <row r="97" ht="14.95" customHeight="1" x14ac:dyDescent="0.25"/>
    <row r="98" ht="14.95" customHeight="1" x14ac:dyDescent="0.25"/>
    <row r="99" ht="14.95" customHeight="1" x14ac:dyDescent="0.25"/>
    <row r="100" ht="14.95" customHeight="1" x14ac:dyDescent="0.25"/>
    <row r="101" ht="14.95" customHeight="1" x14ac:dyDescent="0.25"/>
    <row r="102" ht="14.95" customHeight="1" x14ac:dyDescent="0.25"/>
    <row r="103" ht="14.95" customHeight="1" x14ac:dyDescent="0.25"/>
    <row r="104" ht="14.95" customHeight="1" x14ac:dyDescent="0.25"/>
    <row r="105" ht="14.95" customHeight="1" x14ac:dyDescent="0.25"/>
    <row r="106" ht="14.95" customHeight="1" x14ac:dyDescent="0.25"/>
    <row r="107" ht="14.95" customHeight="1" x14ac:dyDescent="0.25"/>
    <row r="108" ht="14.95" customHeight="1" x14ac:dyDescent="0.25"/>
    <row r="109" ht="14.95" customHeight="1" x14ac:dyDescent="0.25"/>
    <row r="110" ht="14.95" customHeight="1" x14ac:dyDescent="0.25"/>
    <row r="111" ht="14.95" customHeight="1" x14ac:dyDescent="0.25"/>
    <row r="112" ht="14.95" customHeight="1" x14ac:dyDescent="0.25"/>
    <row r="113" ht="14.95" customHeight="1" x14ac:dyDescent="0.25"/>
    <row r="114" ht="14.95" customHeight="1" x14ac:dyDescent="0.25"/>
    <row r="115" ht="14.95" customHeight="1" x14ac:dyDescent="0.25"/>
    <row r="116" ht="14.95" customHeight="1" x14ac:dyDescent="0.25"/>
    <row r="117" ht="14.95" customHeight="1" x14ac:dyDescent="0.25"/>
    <row r="118" ht="14.95" customHeight="1" x14ac:dyDescent="0.25"/>
    <row r="119" ht="14.95" customHeight="1" x14ac:dyDescent="0.25"/>
  </sheetData>
  <sortState xmlns:xlrd2="http://schemas.microsoft.com/office/spreadsheetml/2017/richdata2" ref="D4:F93">
    <sortCondition descending="1" ref="F4:F93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00CF-4D01-493B-9B51-C443F76410C6}">
  <dimension ref="A1:AF86"/>
  <sheetViews>
    <sheetView topLeftCell="A15" workbookViewId="0">
      <selection activeCell="G41" sqref="G41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7" thickBot="1" x14ac:dyDescent="0.3">
      <c r="A1" s="497" t="s">
        <v>990</v>
      </c>
      <c r="B1" s="498"/>
      <c r="C1" s="498"/>
      <c r="D1" s="498"/>
      <c r="E1" s="498"/>
      <c r="F1" s="498"/>
      <c r="G1" s="498"/>
      <c r="H1" s="498"/>
      <c r="I1" s="498"/>
      <c r="J1" s="499"/>
      <c r="K1" s="500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6">
        <v>2024</v>
      </c>
      <c r="T1" s="517"/>
      <c r="U1" s="518"/>
      <c r="V1" s="516">
        <v>2024</v>
      </c>
      <c r="W1" s="517"/>
      <c r="X1" s="518"/>
      <c r="AA1" s="516">
        <v>2023</v>
      </c>
      <c r="AB1" s="517"/>
      <c r="AC1" s="518"/>
      <c r="AD1" s="510">
        <v>2022</v>
      </c>
      <c r="AE1" s="511"/>
      <c r="AF1" s="512"/>
    </row>
    <row r="2" spans="1:32" ht="14.95" customHeight="1" thickBot="1" x14ac:dyDescent="0.3">
      <c r="A2" s="354" t="s">
        <v>0</v>
      </c>
      <c r="B2" s="309" t="s">
        <v>223</v>
      </c>
      <c r="C2" s="391" t="s">
        <v>500</v>
      </c>
      <c r="D2" s="150" t="s">
        <v>11</v>
      </c>
      <c r="E2" s="367" t="s">
        <v>1</v>
      </c>
      <c r="F2" s="356" t="s">
        <v>2</v>
      </c>
      <c r="G2" s="311" t="s">
        <v>223</v>
      </c>
      <c r="H2" s="123" t="s">
        <v>500</v>
      </c>
      <c r="I2" s="128" t="s">
        <v>11</v>
      </c>
      <c r="J2" s="365" t="s">
        <v>1</v>
      </c>
      <c r="K2" s="501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AA2" s="519"/>
      <c r="AB2" s="520"/>
      <c r="AC2" s="521"/>
      <c r="AD2" s="513"/>
      <c r="AE2" s="514"/>
      <c r="AF2" s="515"/>
    </row>
    <row r="3" spans="1:32" ht="14.95" thickBot="1" x14ac:dyDescent="0.3">
      <c r="A3" s="355" t="s">
        <v>871</v>
      </c>
      <c r="B3" s="310">
        <v>0</v>
      </c>
      <c r="C3" s="392">
        <v>0</v>
      </c>
      <c r="D3" s="151">
        <v>0</v>
      </c>
      <c r="E3" s="361">
        <f t="shared" ref="E3:E42" si="0">SUM(B3:D3)</f>
        <v>0</v>
      </c>
      <c r="F3" s="357" t="s">
        <v>871</v>
      </c>
      <c r="G3" s="312">
        <v>0</v>
      </c>
      <c r="H3" s="393">
        <v>0</v>
      </c>
      <c r="I3" s="129">
        <v>0</v>
      </c>
      <c r="J3" s="366">
        <f t="shared" ref="J3:J42" si="1">SUM(G3:I3)</f>
        <v>0</v>
      </c>
      <c r="K3" s="360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185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thickBot="1" x14ac:dyDescent="0.3">
      <c r="A4" s="355" t="s">
        <v>784</v>
      </c>
      <c r="B4" s="310">
        <v>0</v>
      </c>
      <c r="C4" s="392">
        <v>0</v>
      </c>
      <c r="D4" s="151">
        <v>0</v>
      </c>
      <c r="E4" s="361">
        <f t="shared" si="0"/>
        <v>0</v>
      </c>
      <c r="F4" s="357" t="s">
        <v>784</v>
      </c>
      <c r="G4" s="312">
        <v>0</v>
      </c>
      <c r="H4" s="393">
        <v>0</v>
      </c>
      <c r="I4" s="129">
        <v>0</v>
      </c>
      <c r="J4" s="366">
        <f t="shared" si="1"/>
        <v>0</v>
      </c>
      <c r="K4" s="355" t="s">
        <v>220</v>
      </c>
      <c r="L4" s="361" t="s">
        <v>8</v>
      </c>
      <c r="M4" s="361" t="s">
        <v>8</v>
      </c>
      <c r="N4" s="362" t="s">
        <v>8</v>
      </c>
      <c r="O4" s="363" t="s">
        <v>8</v>
      </c>
      <c r="P4" s="361" t="s">
        <v>8</v>
      </c>
      <c r="Q4" s="362" t="s">
        <v>8</v>
      </c>
      <c r="R4" s="364">
        <v>4</v>
      </c>
      <c r="S4" s="59">
        <v>3</v>
      </c>
      <c r="T4" s="59">
        <v>3</v>
      </c>
      <c r="U4" s="117">
        <v>100</v>
      </c>
      <c r="V4" s="59">
        <v>5</v>
      </c>
      <c r="W4" s="59">
        <v>7</v>
      </c>
      <c r="X4" s="117">
        <f>SUM(V4/W4)*100</f>
        <v>71.428571428571431</v>
      </c>
      <c r="AA4" s="260">
        <v>1</v>
      </c>
      <c r="AB4" s="59">
        <v>3</v>
      </c>
      <c r="AC4" s="117">
        <f>SUM(AA4/AB4)*100</f>
        <v>33.333333333333329</v>
      </c>
      <c r="AD4" s="260">
        <v>13</v>
      </c>
      <c r="AE4" s="59">
        <v>20</v>
      </c>
      <c r="AF4" s="117">
        <f>SUM(AD4/AE4)*100</f>
        <v>65</v>
      </c>
    </row>
    <row r="5" spans="1:32" ht="14.95" customHeight="1" thickBot="1" x14ac:dyDescent="0.3">
      <c r="A5" s="355" t="s">
        <v>329</v>
      </c>
      <c r="B5" s="310">
        <v>0</v>
      </c>
      <c r="C5" s="392">
        <v>0</v>
      </c>
      <c r="D5" s="151">
        <v>0</v>
      </c>
      <c r="E5" s="361">
        <f t="shared" si="0"/>
        <v>0</v>
      </c>
      <c r="F5" s="357" t="s">
        <v>329</v>
      </c>
      <c r="G5" s="312">
        <v>0</v>
      </c>
      <c r="H5" s="393">
        <v>0</v>
      </c>
      <c r="I5" s="129">
        <v>0</v>
      </c>
      <c r="J5" s="366">
        <f t="shared" si="1"/>
        <v>0</v>
      </c>
      <c r="K5" s="355" t="s">
        <v>428</v>
      </c>
      <c r="L5" s="361" t="s">
        <v>8</v>
      </c>
      <c r="M5" s="361" t="s">
        <v>8</v>
      </c>
      <c r="N5" s="362" t="s">
        <v>8</v>
      </c>
      <c r="O5" s="363" t="s">
        <v>8</v>
      </c>
      <c r="P5" s="361" t="s">
        <v>8</v>
      </c>
      <c r="Q5" s="362" t="s">
        <v>8</v>
      </c>
      <c r="R5" s="364">
        <v>-1</v>
      </c>
      <c r="S5" s="59" t="s">
        <v>8</v>
      </c>
      <c r="T5" s="59" t="s">
        <v>8</v>
      </c>
      <c r="U5" s="117" t="s">
        <v>8</v>
      </c>
      <c r="V5" s="59" t="s">
        <v>8</v>
      </c>
      <c r="W5" s="59" t="s">
        <v>8</v>
      </c>
      <c r="X5" s="117" t="s">
        <v>8</v>
      </c>
      <c r="AA5" s="260">
        <v>6</v>
      </c>
      <c r="AB5" s="59">
        <v>13</v>
      </c>
      <c r="AC5" s="117">
        <f>SUM(AA5/AB5)*100</f>
        <v>46.153846153846153</v>
      </c>
      <c r="AD5" s="260" t="s">
        <v>8</v>
      </c>
      <c r="AE5" s="59" t="s">
        <v>8</v>
      </c>
      <c r="AF5" s="117" t="s">
        <v>8</v>
      </c>
    </row>
    <row r="6" spans="1:32" ht="14.95" thickBot="1" x14ac:dyDescent="0.3">
      <c r="A6" s="355" t="s">
        <v>330</v>
      </c>
      <c r="B6" s="310">
        <v>0</v>
      </c>
      <c r="C6" s="392">
        <v>0</v>
      </c>
      <c r="D6" s="151">
        <v>0</v>
      </c>
      <c r="E6" s="361">
        <f t="shared" si="0"/>
        <v>0</v>
      </c>
      <c r="F6" s="358" t="s">
        <v>330</v>
      </c>
      <c r="G6" s="312">
        <v>0</v>
      </c>
      <c r="H6" s="393">
        <v>0</v>
      </c>
      <c r="I6" s="129">
        <v>0</v>
      </c>
      <c r="J6" s="366">
        <f t="shared" si="1"/>
        <v>0</v>
      </c>
      <c r="K6" s="354" t="s">
        <v>281</v>
      </c>
      <c r="L6" s="361" t="s">
        <v>8</v>
      </c>
      <c r="M6" s="361" t="s">
        <v>8</v>
      </c>
      <c r="N6" s="362" t="s">
        <v>8</v>
      </c>
      <c r="O6" s="363" t="s">
        <v>8</v>
      </c>
      <c r="P6" s="361" t="s">
        <v>8</v>
      </c>
      <c r="Q6" s="362" t="s">
        <v>8</v>
      </c>
      <c r="R6" s="364">
        <v>2</v>
      </c>
      <c r="S6" s="185" t="s">
        <v>8</v>
      </c>
      <c r="T6" s="59" t="s">
        <v>8</v>
      </c>
      <c r="U6" s="117" t="s">
        <v>8</v>
      </c>
      <c r="V6" s="185">
        <v>11</v>
      </c>
      <c r="W6" s="59">
        <v>18</v>
      </c>
      <c r="X6" s="117">
        <f>SUM(V6/W6)*100</f>
        <v>61.111111111111114</v>
      </c>
      <c r="AA6" s="185">
        <v>3</v>
      </c>
      <c r="AB6" s="59">
        <v>3</v>
      </c>
      <c r="AC6" s="117">
        <f>SUM(AA6/AB6)*100</f>
        <v>100</v>
      </c>
      <c r="AD6" s="185">
        <v>3</v>
      </c>
      <c r="AE6" s="59">
        <v>7</v>
      </c>
      <c r="AF6" s="117">
        <f>SUM(AD6/AE6)*100</f>
        <v>42.857142857142854</v>
      </c>
    </row>
    <row r="7" spans="1:32" ht="14.95" thickBot="1" x14ac:dyDescent="0.3">
      <c r="A7" s="355" t="s">
        <v>866</v>
      </c>
      <c r="B7" s="310">
        <v>0</v>
      </c>
      <c r="C7" s="392">
        <v>0</v>
      </c>
      <c r="D7" s="151">
        <v>0</v>
      </c>
      <c r="E7" s="361">
        <f t="shared" si="0"/>
        <v>0</v>
      </c>
      <c r="F7" s="358" t="s">
        <v>866</v>
      </c>
      <c r="G7" s="312">
        <v>0</v>
      </c>
      <c r="H7" s="393">
        <v>0</v>
      </c>
      <c r="I7" s="129">
        <v>0</v>
      </c>
      <c r="J7" s="366">
        <f t="shared" si="1"/>
        <v>0</v>
      </c>
      <c r="K7" s="354" t="s">
        <v>260</v>
      </c>
      <c r="L7" s="361">
        <v>0</v>
      </c>
      <c r="M7" s="361">
        <v>1</v>
      </c>
      <c r="N7" s="362">
        <f t="shared" ref="N7" si="2">SUM(L7/M7)*100</f>
        <v>0</v>
      </c>
      <c r="O7" s="363" t="s">
        <v>8</v>
      </c>
      <c r="P7" s="361" t="s">
        <v>8</v>
      </c>
      <c r="Q7" s="362" t="s">
        <v>8</v>
      </c>
      <c r="R7" s="364">
        <v>-3</v>
      </c>
      <c r="S7" s="59">
        <v>1</v>
      </c>
      <c r="T7" s="59">
        <v>3</v>
      </c>
      <c r="U7" s="117">
        <v>33.333333333333329</v>
      </c>
      <c r="V7" s="59" t="s">
        <v>8</v>
      </c>
      <c r="W7" s="59" t="s">
        <v>8</v>
      </c>
      <c r="X7" s="117" t="s">
        <v>8</v>
      </c>
      <c r="AA7" s="260" t="s">
        <v>8</v>
      </c>
      <c r="AB7" s="59" t="s">
        <v>8</v>
      </c>
      <c r="AC7" s="117" t="s">
        <v>8</v>
      </c>
      <c r="AD7" s="185" t="s">
        <v>8</v>
      </c>
      <c r="AE7" s="59" t="s">
        <v>8</v>
      </c>
      <c r="AF7" s="117" t="s">
        <v>8</v>
      </c>
    </row>
    <row r="8" spans="1:32" ht="14.95" thickBot="1" x14ac:dyDescent="0.3">
      <c r="A8" s="355" t="s">
        <v>220</v>
      </c>
      <c r="B8" s="310">
        <v>0</v>
      </c>
      <c r="C8" s="392">
        <v>0</v>
      </c>
      <c r="D8" s="151">
        <v>0</v>
      </c>
      <c r="E8" s="361">
        <f t="shared" si="0"/>
        <v>0</v>
      </c>
      <c r="F8" s="358" t="s">
        <v>220</v>
      </c>
      <c r="G8" s="312">
        <v>0</v>
      </c>
      <c r="H8" s="393">
        <v>0</v>
      </c>
      <c r="I8" s="129">
        <v>0</v>
      </c>
      <c r="J8" s="366">
        <f t="shared" si="1"/>
        <v>0</v>
      </c>
      <c r="K8" s="354" t="s">
        <v>655</v>
      </c>
      <c r="L8" s="363" t="s">
        <v>8</v>
      </c>
      <c r="M8" s="361" t="s">
        <v>8</v>
      </c>
      <c r="N8" s="362" t="s">
        <v>8</v>
      </c>
      <c r="O8" s="363" t="s">
        <v>8</v>
      </c>
      <c r="P8" s="361" t="s">
        <v>8</v>
      </c>
      <c r="Q8" s="362" t="s">
        <v>8</v>
      </c>
      <c r="R8" s="364">
        <v>-1</v>
      </c>
      <c r="S8" s="185">
        <v>10</v>
      </c>
      <c r="T8" s="59">
        <v>17</v>
      </c>
      <c r="U8" s="117">
        <v>58.82352941176471</v>
      </c>
      <c r="V8" s="185">
        <v>11</v>
      </c>
      <c r="W8" s="59">
        <v>15</v>
      </c>
      <c r="X8" s="117">
        <f t="shared" ref="X8" si="3">SUM(V8/W8)*100</f>
        <v>73.333333333333329</v>
      </c>
      <c r="AA8" s="185" t="s">
        <v>8</v>
      </c>
      <c r="AB8" s="59" t="s">
        <v>8</v>
      </c>
      <c r="AC8" s="117" t="s">
        <v>8</v>
      </c>
      <c r="AD8" s="185" t="s">
        <v>8</v>
      </c>
      <c r="AE8" s="59" t="s">
        <v>8</v>
      </c>
      <c r="AF8" s="117" t="s">
        <v>8</v>
      </c>
    </row>
    <row r="9" spans="1:32" ht="14.95" thickBot="1" x14ac:dyDescent="0.3">
      <c r="A9" s="355" t="s">
        <v>428</v>
      </c>
      <c r="B9" s="310">
        <v>0</v>
      </c>
      <c r="C9" s="392">
        <v>0</v>
      </c>
      <c r="D9" s="151">
        <v>0</v>
      </c>
      <c r="E9" s="361">
        <f t="shared" si="0"/>
        <v>0</v>
      </c>
      <c r="F9" s="358" t="s">
        <v>428</v>
      </c>
      <c r="G9" s="312">
        <v>0</v>
      </c>
      <c r="H9" s="393">
        <v>0</v>
      </c>
      <c r="I9" s="129">
        <v>0</v>
      </c>
      <c r="J9" s="366">
        <f t="shared" si="1"/>
        <v>0</v>
      </c>
      <c r="K9" s="354" t="s">
        <v>427</v>
      </c>
      <c r="L9" s="363" t="s">
        <v>8</v>
      </c>
      <c r="M9" s="361" t="s">
        <v>8</v>
      </c>
      <c r="N9" s="362" t="s">
        <v>8</v>
      </c>
      <c r="O9" s="363" t="s">
        <v>8</v>
      </c>
      <c r="P9" s="361" t="s">
        <v>8</v>
      </c>
      <c r="Q9" s="362" t="s">
        <v>8</v>
      </c>
      <c r="R9" s="364">
        <v>-1</v>
      </c>
      <c r="S9" s="185" t="s">
        <v>8</v>
      </c>
      <c r="T9" s="59" t="s">
        <v>8</v>
      </c>
      <c r="U9" s="117" t="s">
        <v>8</v>
      </c>
      <c r="V9" s="185" t="s">
        <v>8</v>
      </c>
      <c r="W9" s="59" t="s">
        <v>8</v>
      </c>
      <c r="X9" s="117" t="s">
        <v>8</v>
      </c>
      <c r="AA9" s="185">
        <v>5</v>
      </c>
      <c r="AB9" s="59">
        <v>7</v>
      </c>
      <c r="AC9" s="117">
        <f>SUM(AA9/AB9)*100</f>
        <v>71.428571428571431</v>
      </c>
      <c r="AD9" s="185">
        <v>3</v>
      </c>
      <c r="AE9" s="59">
        <v>7</v>
      </c>
      <c r="AF9" s="117">
        <f>SUM(AD9/AE9)*100</f>
        <v>42.857142857142854</v>
      </c>
    </row>
    <row r="10" spans="1:32" ht="14.95" thickBot="1" x14ac:dyDescent="0.3">
      <c r="A10" s="355" t="s">
        <v>280</v>
      </c>
      <c r="B10" s="310">
        <v>0</v>
      </c>
      <c r="C10" s="392">
        <v>0</v>
      </c>
      <c r="D10" s="151">
        <v>0</v>
      </c>
      <c r="E10" s="361">
        <f t="shared" si="0"/>
        <v>0</v>
      </c>
      <c r="F10" s="358" t="s">
        <v>280</v>
      </c>
      <c r="G10" s="312">
        <v>0</v>
      </c>
      <c r="H10" s="393">
        <v>0</v>
      </c>
      <c r="I10" s="129">
        <v>0</v>
      </c>
      <c r="J10" s="366">
        <f t="shared" si="1"/>
        <v>0</v>
      </c>
      <c r="K10" s="354" t="s">
        <v>872</v>
      </c>
      <c r="L10" s="363">
        <v>5</v>
      </c>
      <c r="M10" s="361">
        <v>6</v>
      </c>
      <c r="N10" s="362">
        <f t="shared" ref="N10" si="4">SUM(L10/M10)*100</f>
        <v>83.333333333333343</v>
      </c>
      <c r="O10" s="363">
        <v>1</v>
      </c>
      <c r="P10" s="361">
        <v>2</v>
      </c>
      <c r="Q10" s="362">
        <f t="shared" ref="Q10" si="5">SUM(O10/P10)*100</f>
        <v>50</v>
      </c>
      <c r="R10" s="364">
        <v>-1</v>
      </c>
      <c r="S10" s="185">
        <v>13</v>
      </c>
      <c r="T10" s="59">
        <v>21</v>
      </c>
      <c r="U10" s="117">
        <v>61.904761904761905</v>
      </c>
      <c r="V10" s="185" t="s">
        <v>8</v>
      </c>
      <c r="W10" s="59" t="s">
        <v>8</v>
      </c>
      <c r="X10" s="117" t="s">
        <v>8</v>
      </c>
      <c r="AA10" s="185" t="s">
        <v>8</v>
      </c>
      <c r="AB10" s="59" t="s">
        <v>8</v>
      </c>
      <c r="AC10" s="117" t="s">
        <v>8</v>
      </c>
      <c r="AD10" s="185" t="s">
        <v>8</v>
      </c>
      <c r="AE10" s="59" t="s">
        <v>8</v>
      </c>
      <c r="AF10" s="117" t="s">
        <v>8</v>
      </c>
    </row>
    <row r="11" spans="1:32" ht="14.95" thickBot="1" x14ac:dyDescent="0.3">
      <c r="A11" s="355" t="s">
        <v>231</v>
      </c>
      <c r="B11" s="310">
        <v>0</v>
      </c>
      <c r="C11" s="392">
        <v>0</v>
      </c>
      <c r="D11" s="151">
        <v>0</v>
      </c>
      <c r="E11" s="361">
        <f t="shared" si="0"/>
        <v>0</v>
      </c>
      <c r="F11" s="358" t="s">
        <v>231</v>
      </c>
      <c r="G11" s="312">
        <v>0</v>
      </c>
      <c r="H11" s="393">
        <v>0</v>
      </c>
      <c r="I11" s="129">
        <v>0</v>
      </c>
      <c r="J11" s="366">
        <f t="shared" si="1"/>
        <v>0</v>
      </c>
      <c r="K11" s="45"/>
      <c r="L11" s="45"/>
      <c r="M11" s="45"/>
      <c r="N11" s="45"/>
      <c r="O11" s="45"/>
      <c r="P11" s="45"/>
      <c r="Q11" s="45"/>
    </row>
    <row r="12" spans="1:32" ht="14.95" customHeight="1" thickBot="1" x14ac:dyDescent="0.3">
      <c r="A12" s="355" t="s">
        <v>654</v>
      </c>
      <c r="B12" s="310">
        <v>0</v>
      </c>
      <c r="C12" s="392">
        <v>0</v>
      </c>
      <c r="D12" s="151">
        <v>0</v>
      </c>
      <c r="E12" s="361">
        <f t="shared" si="0"/>
        <v>0</v>
      </c>
      <c r="F12" s="358" t="s">
        <v>654</v>
      </c>
      <c r="G12" s="312">
        <v>0</v>
      </c>
      <c r="H12" s="393">
        <v>0</v>
      </c>
      <c r="I12" s="129">
        <v>0</v>
      </c>
      <c r="J12" s="366">
        <f t="shared" si="1"/>
        <v>0</v>
      </c>
      <c r="K12" s="508" t="s">
        <v>226</v>
      </c>
      <c r="L12" s="502">
        <v>2026</v>
      </c>
      <c r="M12" s="503"/>
      <c r="N12" s="504"/>
      <c r="O12" s="516">
        <v>2025</v>
      </c>
      <c r="P12" s="517"/>
      <c r="Q12" s="518"/>
      <c r="R12" s="516">
        <v>2024</v>
      </c>
      <c r="S12" s="517"/>
      <c r="T12" s="518"/>
      <c r="U12" s="516">
        <v>2023</v>
      </c>
      <c r="V12" s="517"/>
      <c r="W12" s="518"/>
      <c r="AA12" s="516">
        <v>2022</v>
      </c>
      <c r="AB12" s="517"/>
      <c r="AC12" s="518"/>
    </row>
    <row r="13" spans="1:32" ht="14.95" customHeight="1" thickBot="1" x14ac:dyDescent="0.3">
      <c r="A13" s="355" t="s">
        <v>331</v>
      </c>
      <c r="B13" s="310">
        <v>0</v>
      </c>
      <c r="C13" s="392">
        <v>0</v>
      </c>
      <c r="D13" s="151">
        <v>0</v>
      </c>
      <c r="E13" s="361">
        <f t="shared" si="0"/>
        <v>0</v>
      </c>
      <c r="F13" s="358" t="s">
        <v>331</v>
      </c>
      <c r="G13" s="312">
        <v>0</v>
      </c>
      <c r="H13" s="393">
        <v>0</v>
      </c>
      <c r="I13" s="129">
        <v>0</v>
      </c>
      <c r="J13" s="366">
        <f t="shared" si="1"/>
        <v>0</v>
      </c>
      <c r="K13" s="509"/>
      <c r="L13" s="505"/>
      <c r="M13" s="506"/>
      <c r="N13" s="507"/>
      <c r="O13" s="519"/>
      <c r="P13" s="520"/>
      <c r="Q13" s="521"/>
      <c r="R13" s="519"/>
      <c r="S13" s="520"/>
      <c r="T13" s="521"/>
      <c r="U13" s="519"/>
      <c r="V13" s="520"/>
      <c r="W13" s="521"/>
      <c r="AA13" s="519"/>
      <c r="AB13" s="520"/>
      <c r="AC13" s="521"/>
    </row>
    <row r="14" spans="1:32" ht="14.95" thickBot="1" x14ac:dyDescent="0.3">
      <c r="A14" s="355" t="s">
        <v>332</v>
      </c>
      <c r="B14" s="310">
        <v>0</v>
      </c>
      <c r="C14" s="392">
        <v>0</v>
      </c>
      <c r="D14" s="151">
        <v>0</v>
      </c>
      <c r="E14" s="361">
        <f t="shared" si="0"/>
        <v>0</v>
      </c>
      <c r="F14" s="358" t="s">
        <v>332</v>
      </c>
      <c r="G14" s="312">
        <v>0</v>
      </c>
      <c r="H14" s="393">
        <v>0</v>
      </c>
      <c r="I14" s="129">
        <v>0</v>
      </c>
      <c r="J14" s="366">
        <f t="shared" si="1"/>
        <v>0</v>
      </c>
      <c r="K14" s="138"/>
      <c r="L14" s="29" t="s">
        <v>17</v>
      </c>
      <c r="M14" s="29" t="s">
        <v>5</v>
      </c>
      <c r="N14" s="29" t="s">
        <v>6</v>
      </c>
      <c r="O14" s="59" t="s">
        <v>17</v>
      </c>
      <c r="P14" s="59" t="s">
        <v>5</v>
      </c>
      <c r="Q14" s="59" t="s">
        <v>6</v>
      </c>
      <c r="R14" s="59" t="s">
        <v>17</v>
      </c>
      <c r="S14" s="59" t="s">
        <v>5</v>
      </c>
      <c r="T14" s="59" t="s">
        <v>6</v>
      </c>
      <c r="U14" s="59" t="s">
        <v>17</v>
      </c>
      <c r="V14" s="59" t="s">
        <v>5</v>
      </c>
      <c r="W14" s="59" t="s">
        <v>6</v>
      </c>
      <c r="AA14" s="185" t="s">
        <v>17</v>
      </c>
      <c r="AB14" s="59" t="s">
        <v>5</v>
      </c>
      <c r="AC14" s="59" t="s">
        <v>6</v>
      </c>
    </row>
    <row r="15" spans="1:32" ht="14.95" thickBot="1" x14ac:dyDescent="0.3">
      <c r="A15" s="355" t="s">
        <v>860</v>
      </c>
      <c r="B15" s="310">
        <v>0</v>
      </c>
      <c r="C15" s="392">
        <v>0</v>
      </c>
      <c r="D15" s="151">
        <v>0</v>
      </c>
      <c r="E15" s="361">
        <f t="shared" si="0"/>
        <v>0</v>
      </c>
      <c r="F15" s="358" t="s">
        <v>860</v>
      </c>
      <c r="G15" s="312">
        <v>0</v>
      </c>
      <c r="H15" s="393">
        <v>0</v>
      </c>
      <c r="I15" s="129">
        <v>0</v>
      </c>
      <c r="J15" s="366">
        <f t="shared" si="1"/>
        <v>0</v>
      </c>
      <c r="K15" s="355" t="s">
        <v>220</v>
      </c>
      <c r="L15" s="361" t="s">
        <v>8</v>
      </c>
      <c r="M15" s="361" t="s">
        <v>8</v>
      </c>
      <c r="N15" s="362" t="s">
        <v>8</v>
      </c>
      <c r="O15" s="59" t="s">
        <v>8</v>
      </c>
      <c r="P15" s="59" t="s">
        <v>8</v>
      </c>
      <c r="Q15" s="117" t="s">
        <v>8</v>
      </c>
      <c r="R15" s="59" t="s">
        <v>8</v>
      </c>
      <c r="S15" s="59" t="s">
        <v>8</v>
      </c>
      <c r="T15" s="117" t="s">
        <v>8</v>
      </c>
      <c r="U15" s="59">
        <v>1</v>
      </c>
      <c r="V15" s="59">
        <v>3</v>
      </c>
      <c r="W15" s="117">
        <f>SUM(U15/V15)*100</f>
        <v>33.333333333333329</v>
      </c>
      <c r="AA15" s="260">
        <v>6</v>
      </c>
      <c r="AB15" s="59">
        <v>6</v>
      </c>
      <c r="AC15" s="117">
        <f>SUM(AA15/AB15)*100</f>
        <v>100</v>
      </c>
    </row>
    <row r="16" spans="1:32" ht="14.95" thickBot="1" x14ac:dyDescent="0.3">
      <c r="A16" s="355" t="s">
        <v>333</v>
      </c>
      <c r="B16" s="310">
        <v>0</v>
      </c>
      <c r="C16" s="392">
        <v>0</v>
      </c>
      <c r="D16" s="151">
        <v>0</v>
      </c>
      <c r="E16" s="361">
        <f t="shared" si="0"/>
        <v>0</v>
      </c>
      <c r="F16" s="358" t="s">
        <v>333</v>
      </c>
      <c r="G16" s="312">
        <v>0</v>
      </c>
      <c r="H16" s="393">
        <v>0</v>
      </c>
      <c r="I16" s="129">
        <v>0</v>
      </c>
      <c r="J16" s="366">
        <f t="shared" si="1"/>
        <v>0</v>
      </c>
      <c r="K16" s="354" t="s">
        <v>281</v>
      </c>
      <c r="L16" s="361" t="s">
        <v>8</v>
      </c>
      <c r="M16" s="361" t="s">
        <v>8</v>
      </c>
      <c r="N16" s="362" t="s">
        <v>8</v>
      </c>
      <c r="O16" s="185" t="s">
        <v>8</v>
      </c>
      <c r="P16" s="59" t="s">
        <v>8</v>
      </c>
      <c r="Q16" s="117" t="s">
        <v>8</v>
      </c>
      <c r="R16" s="185">
        <v>5</v>
      </c>
      <c r="S16" s="59">
        <v>9</v>
      </c>
      <c r="T16" s="117">
        <f>SUM(R16/S16)*100</f>
        <v>55.555555555555557</v>
      </c>
      <c r="U16" s="185">
        <v>1</v>
      </c>
      <c r="V16" s="59">
        <v>1</v>
      </c>
      <c r="W16" s="117">
        <f>SUM(U16/V16)*100</f>
        <v>100</v>
      </c>
      <c r="AA16" s="185" t="s">
        <v>8</v>
      </c>
      <c r="AB16" s="59" t="s">
        <v>8</v>
      </c>
      <c r="AC16" s="117" t="s">
        <v>8</v>
      </c>
    </row>
    <row r="17" spans="1:29" ht="14.95" thickBot="1" x14ac:dyDescent="0.3">
      <c r="A17" s="355" t="s">
        <v>334</v>
      </c>
      <c r="B17" s="310">
        <v>0</v>
      </c>
      <c r="C17" s="392">
        <v>0</v>
      </c>
      <c r="D17" s="151">
        <v>0</v>
      </c>
      <c r="E17" s="361">
        <f t="shared" si="0"/>
        <v>0</v>
      </c>
      <c r="F17" s="358" t="s">
        <v>334</v>
      </c>
      <c r="G17" s="312">
        <v>0</v>
      </c>
      <c r="H17" s="393">
        <v>0</v>
      </c>
      <c r="I17" s="129">
        <v>0</v>
      </c>
      <c r="J17" s="366">
        <f t="shared" si="1"/>
        <v>0</v>
      </c>
      <c r="K17" s="354" t="s">
        <v>655</v>
      </c>
      <c r="L17" s="361" t="s">
        <v>8</v>
      </c>
      <c r="M17" s="361" t="s">
        <v>8</v>
      </c>
      <c r="N17" s="362" t="s">
        <v>8</v>
      </c>
      <c r="O17" s="185">
        <v>5</v>
      </c>
      <c r="P17" s="59">
        <v>8</v>
      </c>
      <c r="Q17" s="117">
        <v>62.5</v>
      </c>
      <c r="R17" s="185" t="s">
        <v>8</v>
      </c>
      <c r="S17" s="59" t="s">
        <v>8</v>
      </c>
      <c r="T17" s="117" t="s">
        <v>8</v>
      </c>
      <c r="U17" s="185">
        <v>5</v>
      </c>
      <c r="V17" s="59">
        <v>7</v>
      </c>
      <c r="W17" s="117">
        <f>SUM(U17/V17)*100</f>
        <v>71.428571428571431</v>
      </c>
      <c r="AA17" s="185" t="s">
        <v>8</v>
      </c>
      <c r="AB17" s="59" t="s">
        <v>8</v>
      </c>
      <c r="AC17" s="117" t="s">
        <v>8</v>
      </c>
    </row>
    <row r="18" spans="1:29" ht="14.95" thickBot="1" x14ac:dyDescent="0.3">
      <c r="A18" s="355" t="s">
        <v>991</v>
      </c>
      <c r="B18" s="310">
        <v>0</v>
      </c>
      <c r="C18" s="392">
        <v>0</v>
      </c>
      <c r="D18" s="151">
        <v>1</v>
      </c>
      <c r="E18" s="361">
        <f t="shared" si="0"/>
        <v>1</v>
      </c>
      <c r="F18" s="358" t="s">
        <v>991</v>
      </c>
      <c r="G18" s="312">
        <v>0</v>
      </c>
      <c r="H18" s="393">
        <v>0</v>
      </c>
      <c r="I18" s="129">
        <v>5</v>
      </c>
      <c r="J18" s="366">
        <f t="shared" si="1"/>
        <v>5</v>
      </c>
      <c r="K18" s="354" t="s">
        <v>427</v>
      </c>
      <c r="L18" s="363" t="s">
        <v>8</v>
      </c>
      <c r="M18" s="361" t="s">
        <v>8</v>
      </c>
      <c r="N18" s="362" t="s">
        <v>8</v>
      </c>
      <c r="O18" s="185" t="s">
        <v>8</v>
      </c>
      <c r="P18" s="59" t="s">
        <v>8</v>
      </c>
      <c r="Q18" s="117" t="s">
        <v>8</v>
      </c>
      <c r="R18" s="185" t="s">
        <v>8</v>
      </c>
      <c r="S18" s="59" t="s">
        <v>8</v>
      </c>
      <c r="T18" s="117" t="s">
        <v>8</v>
      </c>
      <c r="U18" s="185">
        <v>5</v>
      </c>
      <c r="V18" s="59">
        <v>7</v>
      </c>
      <c r="W18" s="117">
        <f>SUM(U18/V18)*100</f>
        <v>71.428571428571431</v>
      </c>
      <c r="AA18" s="185" t="s">
        <v>8</v>
      </c>
      <c r="AB18" s="59" t="s">
        <v>8</v>
      </c>
      <c r="AC18" s="117" t="s">
        <v>8</v>
      </c>
    </row>
    <row r="19" spans="1:29" ht="14.95" thickBot="1" x14ac:dyDescent="0.3">
      <c r="A19" s="355" t="s">
        <v>335</v>
      </c>
      <c r="B19" s="310">
        <v>0</v>
      </c>
      <c r="C19" s="392">
        <v>0</v>
      </c>
      <c r="D19" s="151">
        <v>0</v>
      </c>
      <c r="E19" s="361">
        <f t="shared" si="0"/>
        <v>0</v>
      </c>
      <c r="F19" s="358" t="s">
        <v>335</v>
      </c>
      <c r="G19" s="312">
        <v>0</v>
      </c>
      <c r="H19" s="393">
        <v>0</v>
      </c>
      <c r="I19" s="129">
        <v>0</v>
      </c>
      <c r="J19" s="366">
        <f t="shared" si="1"/>
        <v>0</v>
      </c>
      <c r="K19" s="354" t="s">
        <v>872</v>
      </c>
      <c r="L19" s="363">
        <v>1</v>
      </c>
      <c r="M19" s="361">
        <v>2</v>
      </c>
      <c r="N19" s="362">
        <f t="shared" ref="N19" si="6">SUM(L19/M19)*100</f>
        <v>50</v>
      </c>
      <c r="O19" s="185" t="s">
        <v>8</v>
      </c>
      <c r="P19" s="59" t="s">
        <v>8</v>
      </c>
      <c r="Q19" s="117" t="s">
        <v>8</v>
      </c>
      <c r="R19" s="185" t="s">
        <v>8</v>
      </c>
      <c r="S19" s="59" t="s">
        <v>8</v>
      </c>
      <c r="T19" s="117" t="s">
        <v>8</v>
      </c>
      <c r="U19" s="185">
        <v>5</v>
      </c>
      <c r="V19" s="59">
        <v>7</v>
      </c>
      <c r="W19" s="117">
        <f>SUM(U19/V19)*100</f>
        <v>71.428571428571431</v>
      </c>
      <c r="AA19" s="185" t="s">
        <v>8</v>
      </c>
      <c r="AB19" s="59" t="s">
        <v>8</v>
      </c>
      <c r="AC19" s="117" t="s">
        <v>8</v>
      </c>
    </row>
    <row r="20" spans="1:29" ht="14.95" customHeight="1" thickBot="1" x14ac:dyDescent="0.3">
      <c r="A20" s="355" t="s">
        <v>488</v>
      </c>
      <c r="B20" s="310">
        <v>0</v>
      </c>
      <c r="C20" s="392">
        <v>0</v>
      </c>
      <c r="D20" s="151">
        <v>0</v>
      </c>
      <c r="E20" s="361">
        <f t="shared" si="0"/>
        <v>0</v>
      </c>
      <c r="F20" s="358" t="s">
        <v>488</v>
      </c>
      <c r="G20" s="312">
        <v>0</v>
      </c>
      <c r="H20" s="393">
        <v>0</v>
      </c>
      <c r="I20" s="129">
        <v>0</v>
      </c>
      <c r="J20" s="366">
        <f t="shared" si="1"/>
        <v>0</v>
      </c>
    </row>
    <row r="21" spans="1:29" ht="14.95" customHeight="1" thickBot="1" x14ac:dyDescent="0.3">
      <c r="A21" s="355" t="s">
        <v>281</v>
      </c>
      <c r="B21" s="310">
        <v>0</v>
      </c>
      <c r="C21" s="392">
        <v>0</v>
      </c>
      <c r="D21" s="151">
        <v>0</v>
      </c>
      <c r="E21" s="361">
        <f t="shared" si="0"/>
        <v>0</v>
      </c>
      <c r="F21" s="358" t="s">
        <v>281</v>
      </c>
      <c r="G21" s="312">
        <v>0</v>
      </c>
      <c r="H21" s="393">
        <v>0</v>
      </c>
      <c r="I21" s="129">
        <v>0</v>
      </c>
      <c r="J21" s="366">
        <f t="shared" si="1"/>
        <v>0</v>
      </c>
      <c r="K21" s="528" t="s">
        <v>345</v>
      </c>
      <c r="L21" s="510">
        <v>2025</v>
      </c>
      <c r="M21" s="511"/>
      <c r="N21" s="512"/>
      <c r="O21" s="516">
        <v>2022</v>
      </c>
      <c r="P21" s="517"/>
      <c r="Q21" s="518"/>
    </row>
    <row r="22" spans="1:29" ht="14.95" thickBot="1" x14ac:dyDescent="0.3">
      <c r="A22" s="355" t="s">
        <v>260</v>
      </c>
      <c r="B22" s="310">
        <v>1</v>
      </c>
      <c r="C22" s="392">
        <v>0</v>
      </c>
      <c r="D22" s="151">
        <v>1</v>
      </c>
      <c r="E22" s="361">
        <f t="shared" si="0"/>
        <v>2</v>
      </c>
      <c r="F22" s="358" t="s">
        <v>260</v>
      </c>
      <c r="G22" s="312">
        <v>5</v>
      </c>
      <c r="H22" s="393">
        <v>0</v>
      </c>
      <c r="I22" s="129">
        <v>5</v>
      </c>
      <c r="J22" s="366">
        <f t="shared" si="1"/>
        <v>10</v>
      </c>
      <c r="K22" s="529"/>
      <c r="L22" s="513"/>
      <c r="M22" s="514"/>
      <c r="N22" s="515"/>
      <c r="O22" s="519"/>
      <c r="P22" s="520"/>
      <c r="Q22" s="521"/>
    </row>
    <row r="23" spans="1:29" ht="14.95" thickBot="1" x14ac:dyDescent="0.3">
      <c r="A23" s="355" t="s">
        <v>655</v>
      </c>
      <c r="B23" s="310">
        <v>0</v>
      </c>
      <c r="C23" s="392">
        <v>0</v>
      </c>
      <c r="D23" s="151">
        <v>0</v>
      </c>
      <c r="E23" s="361">
        <f t="shared" si="0"/>
        <v>0</v>
      </c>
      <c r="F23" s="358" t="s">
        <v>655</v>
      </c>
      <c r="G23" s="312">
        <v>0</v>
      </c>
      <c r="H23" s="393">
        <v>0</v>
      </c>
      <c r="I23" s="129">
        <v>0</v>
      </c>
      <c r="J23" s="366">
        <f t="shared" si="1"/>
        <v>0</v>
      </c>
      <c r="K23" s="300"/>
      <c r="L23" s="59" t="s">
        <v>17</v>
      </c>
      <c r="M23" s="59" t="s">
        <v>5</v>
      </c>
      <c r="N23" s="59" t="s">
        <v>6</v>
      </c>
      <c r="O23" s="59" t="s">
        <v>17</v>
      </c>
      <c r="P23" s="59" t="s">
        <v>5</v>
      </c>
      <c r="Q23" s="59" t="s">
        <v>6</v>
      </c>
    </row>
    <row r="24" spans="1:29" ht="14.95" thickBot="1" x14ac:dyDescent="0.3">
      <c r="A24" s="355" t="s">
        <v>633</v>
      </c>
      <c r="B24" s="310">
        <v>0</v>
      </c>
      <c r="C24" s="392">
        <v>0</v>
      </c>
      <c r="D24" s="151">
        <v>0</v>
      </c>
      <c r="E24" s="361">
        <f t="shared" si="0"/>
        <v>0</v>
      </c>
      <c r="F24" s="358" t="s">
        <v>633</v>
      </c>
      <c r="G24" s="312">
        <v>0</v>
      </c>
      <c r="H24" s="393">
        <v>0</v>
      </c>
      <c r="I24" s="129">
        <v>0</v>
      </c>
      <c r="J24" s="366">
        <f t="shared" si="1"/>
        <v>0</v>
      </c>
      <c r="K24" s="355" t="s">
        <v>220</v>
      </c>
      <c r="L24" s="59">
        <v>3</v>
      </c>
      <c r="M24" s="59">
        <v>3</v>
      </c>
      <c r="N24" s="117">
        <f t="shared" ref="N24" si="7">SUM(L24/M24)*100</f>
        <v>100</v>
      </c>
      <c r="O24" s="59">
        <v>5</v>
      </c>
      <c r="P24" s="59">
        <v>7</v>
      </c>
      <c r="Q24" s="117">
        <v>71</v>
      </c>
    </row>
    <row r="25" spans="1:29" ht="14.95" thickBot="1" x14ac:dyDescent="0.3">
      <c r="A25" s="355" t="s">
        <v>662</v>
      </c>
      <c r="B25" s="310">
        <v>0</v>
      </c>
      <c r="C25" s="392">
        <v>0</v>
      </c>
      <c r="D25" s="151">
        <v>0</v>
      </c>
      <c r="E25" s="361">
        <f t="shared" si="0"/>
        <v>0</v>
      </c>
      <c r="F25" s="358" t="s">
        <v>662</v>
      </c>
      <c r="G25" s="312">
        <v>0</v>
      </c>
      <c r="H25" s="393">
        <v>0</v>
      </c>
      <c r="I25" s="129">
        <v>0</v>
      </c>
      <c r="J25" s="366">
        <f t="shared" si="1"/>
        <v>0</v>
      </c>
      <c r="K25" s="354" t="s">
        <v>281</v>
      </c>
      <c r="L25" s="59" t="s">
        <v>8</v>
      </c>
      <c r="M25" s="59" t="s">
        <v>8</v>
      </c>
      <c r="N25" s="117" t="s">
        <v>8</v>
      </c>
      <c r="O25" s="185">
        <v>1</v>
      </c>
      <c r="P25" s="59">
        <v>4</v>
      </c>
      <c r="Q25" s="117">
        <v>25</v>
      </c>
      <c r="R25" s="9"/>
      <c r="S25" s="9"/>
      <c r="T25" s="9"/>
    </row>
    <row r="26" spans="1:29" ht="14.95" thickBot="1" x14ac:dyDescent="0.3">
      <c r="A26" s="355" t="s">
        <v>336</v>
      </c>
      <c r="B26" s="310">
        <v>0</v>
      </c>
      <c r="C26" s="392">
        <v>0</v>
      </c>
      <c r="D26" s="151">
        <v>0</v>
      </c>
      <c r="E26" s="361">
        <f t="shared" si="0"/>
        <v>0</v>
      </c>
      <c r="F26" s="358" t="s">
        <v>336</v>
      </c>
      <c r="G26" s="312">
        <v>0</v>
      </c>
      <c r="H26" s="393">
        <v>0</v>
      </c>
      <c r="I26" s="129">
        <v>0</v>
      </c>
      <c r="J26" s="366">
        <f t="shared" si="1"/>
        <v>0</v>
      </c>
      <c r="K26" s="354" t="s">
        <v>872</v>
      </c>
      <c r="L26" s="185">
        <v>10</v>
      </c>
      <c r="M26" s="59">
        <v>15</v>
      </c>
      <c r="N26" s="117">
        <f t="shared" ref="N26" si="8">SUM(L26/M26)*100</f>
        <v>66.666666666666657</v>
      </c>
      <c r="O26" s="185" t="s">
        <v>8</v>
      </c>
      <c r="P26" s="59" t="s">
        <v>8</v>
      </c>
      <c r="Q26" s="117" t="s">
        <v>8</v>
      </c>
      <c r="R26" s="9"/>
      <c r="S26" s="9"/>
      <c r="T26" s="9"/>
    </row>
    <row r="27" spans="1:29" ht="14.95" thickBot="1" x14ac:dyDescent="0.3">
      <c r="A27" s="355" t="s">
        <v>337</v>
      </c>
      <c r="B27" s="310">
        <v>0</v>
      </c>
      <c r="C27" s="392">
        <v>0</v>
      </c>
      <c r="D27" s="151">
        <v>0</v>
      </c>
      <c r="E27" s="361">
        <f t="shared" si="0"/>
        <v>0</v>
      </c>
      <c r="F27" s="358" t="s">
        <v>337</v>
      </c>
      <c r="G27" s="312">
        <v>0</v>
      </c>
      <c r="H27" s="393">
        <v>0</v>
      </c>
      <c r="I27" s="129">
        <v>0</v>
      </c>
      <c r="J27" s="366">
        <f t="shared" si="1"/>
        <v>0</v>
      </c>
      <c r="O27" s="20"/>
      <c r="P27" s="20"/>
      <c r="Q27" s="23"/>
    </row>
    <row r="28" spans="1:29" ht="14.95" thickBot="1" x14ac:dyDescent="0.3">
      <c r="A28" s="355" t="s">
        <v>338</v>
      </c>
      <c r="B28" s="310">
        <v>0</v>
      </c>
      <c r="C28" s="392">
        <v>0</v>
      </c>
      <c r="D28" s="151">
        <v>1</v>
      </c>
      <c r="E28" s="361">
        <f t="shared" si="0"/>
        <v>1</v>
      </c>
      <c r="F28" s="358" t="s">
        <v>338</v>
      </c>
      <c r="G28" s="312">
        <v>0</v>
      </c>
      <c r="H28" s="393">
        <v>0</v>
      </c>
      <c r="I28" s="129">
        <v>5</v>
      </c>
      <c r="J28" s="366">
        <f t="shared" si="1"/>
        <v>5</v>
      </c>
      <c r="K28" s="526" t="s">
        <v>500</v>
      </c>
      <c r="L28" s="530">
        <v>2026</v>
      </c>
      <c r="M28" s="531"/>
      <c r="N28" s="532"/>
      <c r="O28" s="516">
        <v>2024</v>
      </c>
      <c r="P28" s="517"/>
      <c r="Q28" s="518"/>
      <c r="R28" s="516">
        <v>2023</v>
      </c>
      <c r="S28" s="517"/>
      <c r="T28" s="518"/>
    </row>
    <row r="29" spans="1:29" ht="14.95" thickBot="1" x14ac:dyDescent="0.3">
      <c r="A29" s="355" t="s">
        <v>339</v>
      </c>
      <c r="B29" s="310">
        <v>1</v>
      </c>
      <c r="C29" s="392">
        <v>0</v>
      </c>
      <c r="D29" s="151">
        <v>1</v>
      </c>
      <c r="E29" s="361">
        <f t="shared" si="0"/>
        <v>2</v>
      </c>
      <c r="F29" s="358" t="s">
        <v>339</v>
      </c>
      <c r="G29" s="312">
        <v>5</v>
      </c>
      <c r="H29" s="393">
        <v>0</v>
      </c>
      <c r="I29" s="129">
        <v>5</v>
      </c>
      <c r="J29" s="366">
        <f t="shared" si="1"/>
        <v>10</v>
      </c>
      <c r="K29" s="527"/>
      <c r="L29" s="533"/>
      <c r="M29" s="534"/>
      <c r="N29" s="535"/>
      <c r="O29" s="519"/>
      <c r="P29" s="520"/>
      <c r="Q29" s="521"/>
      <c r="R29" s="519"/>
      <c r="S29" s="520"/>
      <c r="T29" s="521"/>
    </row>
    <row r="30" spans="1:29" ht="14.95" customHeight="1" thickBot="1" x14ac:dyDescent="0.3">
      <c r="A30" s="355" t="s">
        <v>218</v>
      </c>
      <c r="B30" s="310">
        <v>0</v>
      </c>
      <c r="C30" s="392">
        <v>0</v>
      </c>
      <c r="D30" s="151">
        <v>0</v>
      </c>
      <c r="E30" s="361">
        <f t="shared" si="0"/>
        <v>0</v>
      </c>
      <c r="F30" s="358" t="s">
        <v>218</v>
      </c>
      <c r="G30" s="312">
        <v>0</v>
      </c>
      <c r="H30" s="393">
        <v>0</v>
      </c>
      <c r="I30" s="129">
        <v>0</v>
      </c>
      <c r="J30" s="366">
        <f t="shared" si="1"/>
        <v>0</v>
      </c>
      <c r="K30" s="220"/>
      <c r="L30" s="29" t="s">
        <v>17</v>
      </c>
      <c r="M30" s="29" t="s">
        <v>5</v>
      </c>
      <c r="N30" s="29" t="s">
        <v>6</v>
      </c>
      <c r="O30" s="59" t="s">
        <v>17</v>
      </c>
      <c r="P30" s="59" t="s">
        <v>5</v>
      </c>
      <c r="Q30" s="59" t="s">
        <v>6</v>
      </c>
      <c r="R30" s="59" t="s">
        <v>17</v>
      </c>
      <c r="S30" s="59" t="s">
        <v>5</v>
      </c>
      <c r="T30" s="59" t="s">
        <v>6</v>
      </c>
    </row>
    <row r="31" spans="1:29" ht="14.95" thickBot="1" x14ac:dyDescent="0.3">
      <c r="A31" s="355" t="s">
        <v>219</v>
      </c>
      <c r="B31" s="310">
        <v>0</v>
      </c>
      <c r="C31" s="392">
        <v>0</v>
      </c>
      <c r="D31" s="151">
        <v>0</v>
      </c>
      <c r="E31" s="361">
        <f t="shared" si="0"/>
        <v>0</v>
      </c>
      <c r="F31" s="358" t="s">
        <v>219</v>
      </c>
      <c r="G31" s="312">
        <v>0</v>
      </c>
      <c r="H31" s="393">
        <v>0</v>
      </c>
      <c r="I31" s="129">
        <v>0</v>
      </c>
      <c r="J31" s="366">
        <f t="shared" si="1"/>
        <v>0</v>
      </c>
      <c r="K31" s="355" t="s">
        <v>220</v>
      </c>
      <c r="L31" s="361" t="s">
        <v>8</v>
      </c>
      <c r="M31" s="361" t="s">
        <v>8</v>
      </c>
      <c r="N31" s="362" t="s">
        <v>8</v>
      </c>
      <c r="O31" s="59">
        <v>2</v>
      </c>
      <c r="P31" s="59">
        <v>4</v>
      </c>
      <c r="Q31" s="117">
        <f>SUM(O31/P31)*100</f>
        <v>50</v>
      </c>
      <c r="R31" s="185" t="s">
        <v>8</v>
      </c>
      <c r="S31" s="59" t="s">
        <v>8</v>
      </c>
      <c r="T31" s="117" t="s">
        <v>8</v>
      </c>
    </row>
    <row r="32" spans="1:29" ht="14.95" thickBot="1" x14ac:dyDescent="0.3">
      <c r="A32" s="355" t="s">
        <v>208</v>
      </c>
      <c r="B32" s="310">
        <v>0</v>
      </c>
      <c r="C32" s="392">
        <v>0</v>
      </c>
      <c r="D32" s="151">
        <v>0</v>
      </c>
      <c r="E32" s="361">
        <f t="shared" si="0"/>
        <v>0</v>
      </c>
      <c r="F32" s="358" t="s">
        <v>208</v>
      </c>
      <c r="G32" s="312">
        <v>0</v>
      </c>
      <c r="H32" s="393">
        <v>0</v>
      </c>
      <c r="I32" s="129">
        <v>0</v>
      </c>
      <c r="J32" s="366">
        <f t="shared" si="1"/>
        <v>0</v>
      </c>
      <c r="K32" s="355" t="s">
        <v>428</v>
      </c>
      <c r="L32" s="361" t="s">
        <v>8</v>
      </c>
      <c r="M32" s="361" t="s">
        <v>8</v>
      </c>
      <c r="N32" s="362" t="s">
        <v>8</v>
      </c>
      <c r="O32" s="185" t="s">
        <v>8</v>
      </c>
      <c r="P32" s="59" t="s">
        <v>8</v>
      </c>
      <c r="Q32" s="117" t="s">
        <v>8</v>
      </c>
      <c r="R32" s="59">
        <v>5</v>
      </c>
      <c r="S32" s="59">
        <v>9</v>
      </c>
      <c r="T32" s="117">
        <f>SUM(R32/S32)*100</f>
        <v>55.555555555555557</v>
      </c>
    </row>
    <row r="33" spans="1:20" ht="14.95" thickBot="1" x14ac:dyDescent="0.3">
      <c r="A33" s="355" t="s">
        <v>340</v>
      </c>
      <c r="B33" s="310">
        <v>0</v>
      </c>
      <c r="C33" s="392">
        <v>0</v>
      </c>
      <c r="D33" s="151">
        <v>0</v>
      </c>
      <c r="E33" s="361">
        <f t="shared" si="0"/>
        <v>0</v>
      </c>
      <c r="F33" s="358" t="s">
        <v>340</v>
      </c>
      <c r="G33" s="312">
        <v>0</v>
      </c>
      <c r="H33" s="393">
        <v>0</v>
      </c>
      <c r="I33" s="129">
        <v>0</v>
      </c>
      <c r="J33" s="366">
        <f t="shared" si="1"/>
        <v>0</v>
      </c>
      <c r="K33" s="354" t="s">
        <v>281</v>
      </c>
      <c r="L33" s="361" t="s">
        <v>8</v>
      </c>
      <c r="M33" s="361" t="s">
        <v>8</v>
      </c>
      <c r="N33" s="362" t="s">
        <v>8</v>
      </c>
      <c r="O33" s="185" t="s">
        <v>8</v>
      </c>
      <c r="P33" s="59" t="s">
        <v>8</v>
      </c>
      <c r="Q33" s="117" t="s">
        <v>8</v>
      </c>
      <c r="R33" s="185">
        <v>2</v>
      </c>
      <c r="S33" s="59">
        <v>2</v>
      </c>
      <c r="T33" s="117">
        <f>SUM(R33/S33)*100</f>
        <v>100</v>
      </c>
    </row>
    <row r="34" spans="1:20" ht="14.95" thickBot="1" x14ac:dyDescent="0.3">
      <c r="A34" s="355" t="s">
        <v>341</v>
      </c>
      <c r="B34" s="310">
        <v>0</v>
      </c>
      <c r="C34" s="392">
        <v>0</v>
      </c>
      <c r="D34" s="151">
        <v>0</v>
      </c>
      <c r="E34" s="361">
        <f t="shared" si="0"/>
        <v>0</v>
      </c>
      <c r="F34" s="358" t="s">
        <v>341</v>
      </c>
      <c r="G34" s="312">
        <v>0</v>
      </c>
      <c r="H34" s="393">
        <v>0</v>
      </c>
      <c r="I34" s="129">
        <v>0</v>
      </c>
      <c r="J34" s="366">
        <f t="shared" si="1"/>
        <v>0</v>
      </c>
      <c r="K34" s="355" t="s">
        <v>655</v>
      </c>
      <c r="L34" s="363" t="s">
        <v>8</v>
      </c>
      <c r="M34" s="361" t="s">
        <v>8</v>
      </c>
      <c r="N34" s="362" t="s">
        <v>8</v>
      </c>
      <c r="O34" s="59">
        <v>9</v>
      </c>
      <c r="P34" s="59">
        <v>13</v>
      </c>
      <c r="Q34" s="117">
        <f>SUM(O34/P34)*100</f>
        <v>69.230769230769226</v>
      </c>
      <c r="R34" s="185" t="s">
        <v>8</v>
      </c>
      <c r="S34" s="59" t="s">
        <v>8</v>
      </c>
      <c r="T34" s="117" t="s">
        <v>8</v>
      </c>
    </row>
    <row r="35" spans="1:20" ht="14.95" thickBot="1" x14ac:dyDescent="0.3">
      <c r="A35" s="355" t="s">
        <v>342</v>
      </c>
      <c r="B35" s="310">
        <v>0</v>
      </c>
      <c r="C35" s="392">
        <v>0</v>
      </c>
      <c r="D35" s="151">
        <v>0</v>
      </c>
      <c r="E35" s="361">
        <f t="shared" si="0"/>
        <v>0</v>
      </c>
      <c r="F35" s="358" t="s">
        <v>342</v>
      </c>
      <c r="G35" s="312">
        <v>0</v>
      </c>
      <c r="H35" s="393">
        <v>0</v>
      </c>
      <c r="I35" s="129">
        <v>0</v>
      </c>
      <c r="J35" s="366">
        <f t="shared" si="1"/>
        <v>0</v>
      </c>
    </row>
    <row r="36" spans="1:20" ht="14.95" thickBot="1" x14ac:dyDescent="0.3">
      <c r="A36" s="355" t="s">
        <v>427</v>
      </c>
      <c r="B36" s="310">
        <v>0</v>
      </c>
      <c r="C36" s="392">
        <v>0</v>
      </c>
      <c r="D36" s="151">
        <v>0</v>
      </c>
      <c r="E36" s="361">
        <f t="shared" si="0"/>
        <v>0</v>
      </c>
      <c r="F36" s="358" t="s">
        <v>427</v>
      </c>
      <c r="G36" s="312">
        <v>0</v>
      </c>
      <c r="H36" s="393">
        <v>0</v>
      </c>
      <c r="I36" s="129">
        <v>0</v>
      </c>
      <c r="J36" s="366">
        <f t="shared" si="1"/>
        <v>0</v>
      </c>
    </row>
    <row r="37" spans="1:20" ht="14.95" thickBot="1" x14ac:dyDescent="0.3">
      <c r="A37" s="355" t="s">
        <v>343</v>
      </c>
      <c r="B37" s="310">
        <v>0</v>
      </c>
      <c r="C37" s="392">
        <v>0</v>
      </c>
      <c r="D37" s="151">
        <v>1</v>
      </c>
      <c r="E37" s="361">
        <f t="shared" si="0"/>
        <v>1</v>
      </c>
      <c r="F37" s="358" t="s">
        <v>343</v>
      </c>
      <c r="G37" s="312">
        <v>0</v>
      </c>
      <c r="H37" s="393">
        <v>0</v>
      </c>
      <c r="I37" s="129">
        <v>5</v>
      </c>
      <c r="J37" s="366">
        <f t="shared" si="1"/>
        <v>5</v>
      </c>
    </row>
    <row r="38" spans="1:20" ht="14.95" thickBot="1" x14ac:dyDescent="0.3">
      <c r="A38" s="355" t="s">
        <v>906</v>
      </c>
      <c r="B38" s="310">
        <v>0</v>
      </c>
      <c r="C38" s="392">
        <v>0</v>
      </c>
      <c r="D38" s="151">
        <v>0</v>
      </c>
      <c r="E38" s="361">
        <f t="shared" si="0"/>
        <v>0</v>
      </c>
      <c r="F38" s="358" t="s">
        <v>906</v>
      </c>
      <c r="G38" s="312">
        <v>0</v>
      </c>
      <c r="H38" s="393">
        <v>0</v>
      </c>
      <c r="I38" s="129">
        <v>0</v>
      </c>
      <c r="J38" s="366">
        <f t="shared" si="1"/>
        <v>0</v>
      </c>
    </row>
    <row r="39" spans="1:20" ht="14.95" thickBot="1" x14ac:dyDescent="0.3">
      <c r="A39" s="355" t="s">
        <v>768</v>
      </c>
      <c r="B39" s="310">
        <v>0</v>
      </c>
      <c r="C39" s="392">
        <v>0</v>
      </c>
      <c r="D39" s="151">
        <v>0</v>
      </c>
      <c r="E39" s="361">
        <f t="shared" si="0"/>
        <v>0</v>
      </c>
      <c r="F39" s="358" t="s">
        <v>768</v>
      </c>
      <c r="G39" s="312">
        <v>0</v>
      </c>
      <c r="H39" s="393">
        <v>0</v>
      </c>
      <c r="I39" s="129">
        <v>0</v>
      </c>
      <c r="J39" s="366">
        <f t="shared" si="1"/>
        <v>0</v>
      </c>
    </row>
    <row r="40" spans="1:20" ht="14.95" thickBot="1" x14ac:dyDescent="0.3">
      <c r="A40" s="355" t="s">
        <v>653</v>
      </c>
      <c r="B40" s="310">
        <v>0</v>
      </c>
      <c r="C40" s="392">
        <v>0</v>
      </c>
      <c r="D40" s="151">
        <v>0</v>
      </c>
      <c r="E40" s="361">
        <f t="shared" si="0"/>
        <v>0</v>
      </c>
      <c r="F40" s="358" t="s">
        <v>653</v>
      </c>
      <c r="G40" s="312">
        <v>0</v>
      </c>
      <c r="H40" s="393">
        <v>0</v>
      </c>
      <c r="I40" s="129">
        <v>0</v>
      </c>
      <c r="J40" s="366">
        <f t="shared" si="1"/>
        <v>0</v>
      </c>
    </row>
    <row r="41" spans="1:20" ht="14.95" thickBot="1" x14ac:dyDescent="0.3">
      <c r="A41" s="355" t="s">
        <v>872</v>
      </c>
      <c r="B41" s="310">
        <v>0</v>
      </c>
      <c r="C41" s="392">
        <v>0</v>
      </c>
      <c r="D41" s="151">
        <v>0</v>
      </c>
      <c r="E41" s="361">
        <f t="shared" si="0"/>
        <v>0</v>
      </c>
      <c r="F41" s="358" t="s">
        <v>872</v>
      </c>
      <c r="G41" s="312">
        <v>2</v>
      </c>
      <c r="H41" s="393">
        <v>0</v>
      </c>
      <c r="I41" s="129">
        <v>8</v>
      </c>
      <c r="J41" s="366">
        <f t="shared" si="1"/>
        <v>10</v>
      </c>
    </row>
    <row r="42" spans="1:20" ht="14.95" thickBot="1" x14ac:dyDescent="0.3">
      <c r="A42" s="355" t="s">
        <v>3</v>
      </c>
      <c r="B42" s="310">
        <f>SUM(B3:B41)</f>
        <v>2</v>
      </c>
      <c r="C42" s="392">
        <f>SUM(C3:C41)</f>
        <v>0</v>
      </c>
      <c r="D42" s="151">
        <f>SUM(D3:D41)</f>
        <v>5</v>
      </c>
      <c r="E42" s="361">
        <f t="shared" si="0"/>
        <v>7</v>
      </c>
      <c r="F42" s="359" t="s">
        <v>3</v>
      </c>
      <c r="G42" s="313">
        <f>SUM(G3:G41)</f>
        <v>12</v>
      </c>
      <c r="H42" s="394">
        <f>SUM(H3:H41)</f>
        <v>0</v>
      </c>
      <c r="I42" s="128">
        <f>SUM(I3:I41)</f>
        <v>33</v>
      </c>
      <c r="J42" s="365">
        <f t="shared" si="1"/>
        <v>45</v>
      </c>
    </row>
    <row r="43" spans="1:20" ht="16.3" x14ac:dyDescent="0.25">
      <c r="D43" s="50"/>
      <c r="F43" s="3"/>
      <c r="G43" s="3"/>
      <c r="H43" s="3"/>
      <c r="I43" s="51"/>
      <c r="J43" s="3"/>
    </row>
    <row r="44" spans="1:20" ht="17" thickBot="1" x14ac:dyDescent="0.3">
      <c r="A44" t="s">
        <v>7</v>
      </c>
      <c r="D44" s="50"/>
      <c r="F44" s="3"/>
      <c r="G44" s="3"/>
      <c r="H44" s="3"/>
      <c r="I44" s="51"/>
      <c r="J44" s="3"/>
    </row>
    <row r="45" spans="1:20" ht="14.95" customHeight="1" thickBot="1" x14ac:dyDescent="0.3">
      <c r="A45" s="354" t="s">
        <v>0</v>
      </c>
      <c r="B45" s="309" t="s">
        <v>223</v>
      </c>
      <c r="C45" s="391" t="s">
        <v>500</v>
      </c>
      <c r="D45" s="150" t="s">
        <v>11</v>
      </c>
      <c r="E45" s="367" t="s">
        <v>1</v>
      </c>
      <c r="F45" s="356" t="s">
        <v>2</v>
      </c>
      <c r="G45" s="311" t="s">
        <v>223</v>
      </c>
      <c r="H45" s="123" t="s">
        <v>500</v>
      </c>
      <c r="I45" s="128" t="s">
        <v>11</v>
      </c>
      <c r="J45" s="365" t="s">
        <v>1</v>
      </c>
    </row>
    <row r="46" spans="1:20" ht="14.95" thickBot="1" x14ac:dyDescent="0.3">
      <c r="A46" s="355" t="s">
        <v>260</v>
      </c>
      <c r="B46" s="310">
        <v>1</v>
      </c>
      <c r="C46" s="392">
        <v>0</v>
      </c>
      <c r="D46" s="151">
        <v>1</v>
      </c>
      <c r="E46" s="361">
        <f>SUM(B46:D46)</f>
        <v>2</v>
      </c>
      <c r="F46" s="357" t="s">
        <v>260</v>
      </c>
      <c r="G46" s="312">
        <v>5</v>
      </c>
      <c r="H46" s="393">
        <v>0</v>
      </c>
      <c r="I46" s="129">
        <v>5</v>
      </c>
      <c r="J46" s="366">
        <f>SUM(G46:I46)</f>
        <v>10</v>
      </c>
    </row>
    <row r="47" spans="1:20" ht="14.95" thickBot="1" x14ac:dyDescent="0.3">
      <c r="A47" s="355" t="s">
        <v>339</v>
      </c>
      <c r="B47" s="310">
        <v>1</v>
      </c>
      <c r="C47" s="392">
        <v>0</v>
      </c>
      <c r="D47" s="151">
        <v>1</v>
      </c>
      <c r="E47" s="361">
        <f>SUM(B47:D47)</f>
        <v>2</v>
      </c>
      <c r="F47" s="357" t="s">
        <v>339</v>
      </c>
      <c r="G47" s="312">
        <v>5</v>
      </c>
      <c r="H47" s="393">
        <v>0</v>
      </c>
      <c r="I47" s="129">
        <v>5</v>
      </c>
      <c r="J47" s="366">
        <f>SUM(G47:I47)</f>
        <v>10</v>
      </c>
    </row>
    <row r="48" spans="1:20" ht="14.95" thickBot="1" x14ac:dyDescent="0.3">
      <c r="A48" s="355" t="s">
        <v>991</v>
      </c>
      <c r="B48" s="310">
        <v>0</v>
      </c>
      <c r="C48" s="392">
        <v>0</v>
      </c>
      <c r="D48" s="151">
        <v>1</v>
      </c>
      <c r="E48" s="361">
        <f>SUM(B48:D48)</f>
        <v>1</v>
      </c>
      <c r="F48" s="357" t="s">
        <v>872</v>
      </c>
      <c r="G48" s="312">
        <v>2</v>
      </c>
      <c r="H48" s="393">
        <v>0</v>
      </c>
      <c r="I48" s="129">
        <v>8</v>
      </c>
      <c r="J48" s="366">
        <f>SUM(G48:I48)</f>
        <v>10</v>
      </c>
    </row>
    <row r="49" spans="1:10" ht="14.95" thickBot="1" x14ac:dyDescent="0.3">
      <c r="A49" s="355" t="s">
        <v>338</v>
      </c>
      <c r="B49" s="310">
        <v>0</v>
      </c>
      <c r="C49" s="392">
        <v>0</v>
      </c>
      <c r="D49" s="151">
        <v>1</v>
      </c>
      <c r="E49" s="361">
        <f>SUM(B49:D49)</f>
        <v>1</v>
      </c>
      <c r="F49" s="358" t="s">
        <v>991</v>
      </c>
      <c r="G49" s="312">
        <v>0</v>
      </c>
      <c r="H49" s="393">
        <v>0</v>
      </c>
      <c r="I49" s="129">
        <v>5</v>
      </c>
      <c r="J49" s="366">
        <f>SUM(G49:I49)</f>
        <v>5</v>
      </c>
    </row>
    <row r="50" spans="1:10" ht="14.95" thickBot="1" x14ac:dyDescent="0.3">
      <c r="A50" s="355" t="s">
        <v>343</v>
      </c>
      <c r="B50" s="310">
        <v>0</v>
      </c>
      <c r="C50" s="392">
        <v>0</v>
      </c>
      <c r="D50" s="151">
        <v>1</v>
      </c>
      <c r="E50" s="361">
        <f>SUM(B50:D50)</f>
        <v>1</v>
      </c>
      <c r="F50" s="358" t="s">
        <v>338</v>
      </c>
      <c r="G50" s="312">
        <v>0</v>
      </c>
      <c r="H50" s="393">
        <v>0</v>
      </c>
      <c r="I50" s="129">
        <v>5</v>
      </c>
      <c r="J50" s="366">
        <f>SUM(G50:I50)</f>
        <v>5</v>
      </c>
    </row>
    <row r="51" spans="1:10" ht="14.95" thickBot="1" x14ac:dyDescent="0.3">
      <c r="A51" s="355" t="s">
        <v>871</v>
      </c>
      <c r="B51" s="310">
        <v>0</v>
      </c>
      <c r="C51" s="392">
        <v>0</v>
      </c>
      <c r="D51" s="151">
        <v>0</v>
      </c>
      <c r="E51" s="361">
        <f>SUM(B51:D51)</f>
        <v>0</v>
      </c>
      <c r="F51" s="358" t="s">
        <v>343</v>
      </c>
      <c r="G51" s="312">
        <v>0</v>
      </c>
      <c r="H51" s="393">
        <v>0</v>
      </c>
      <c r="I51" s="129">
        <v>5</v>
      </c>
      <c r="J51" s="366">
        <f>SUM(G51:I51)</f>
        <v>5</v>
      </c>
    </row>
    <row r="52" spans="1:10" ht="14.95" thickBot="1" x14ac:dyDescent="0.3">
      <c r="A52" s="355" t="s">
        <v>784</v>
      </c>
      <c r="B52" s="310">
        <v>0</v>
      </c>
      <c r="C52" s="392">
        <v>0</v>
      </c>
      <c r="D52" s="151">
        <v>0</v>
      </c>
      <c r="E52" s="361">
        <f>SUM(B52:D52)</f>
        <v>0</v>
      </c>
      <c r="F52" s="358" t="s">
        <v>871</v>
      </c>
      <c r="G52" s="312">
        <v>0</v>
      </c>
      <c r="H52" s="393">
        <v>0</v>
      </c>
      <c r="I52" s="129">
        <v>0</v>
      </c>
      <c r="J52" s="366">
        <f>SUM(G52:I52)</f>
        <v>0</v>
      </c>
    </row>
    <row r="53" spans="1:10" ht="14.95" thickBot="1" x14ac:dyDescent="0.3">
      <c r="A53" s="355" t="s">
        <v>329</v>
      </c>
      <c r="B53" s="310">
        <v>0</v>
      </c>
      <c r="C53" s="392">
        <v>0</v>
      </c>
      <c r="D53" s="151">
        <v>0</v>
      </c>
      <c r="E53" s="361">
        <f>SUM(B53:D53)</f>
        <v>0</v>
      </c>
      <c r="F53" s="358" t="s">
        <v>784</v>
      </c>
      <c r="G53" s="312">
        <v>0</v>
      </c>
      <c r="H53" s="393">
        <v>0</v>
      </c>
      <c r="I53" s="129">
        <v>0</v>
      </c>
      <c r="J53" s="366">
        <f>SUM(G53:I53)</f>
        <v>0</v>
      </c>
    </row>
    <row r="54" spans="1:10" ht="14.95" thickBot="1" x14ac:dyDescent="0.3">
      <c r="A54" s="355" t="s">
        <v>330</v>
      </c>
      <c r="B54" s="310">
        <v>0</v>
      </c>
      <c r="C54" s="392">
        <v>0</v>
      </c>
      <c r="D54" s="151">
        <v>0</v>
      </c>
      <c r="E54" s="361">
        <f>SUM(B54:D54)</f>
        <v>0</v>
      </c>
      <c r="F54" s="358" t="s">
        <v>329</v>
      </c>
      <c r="G54" s="312">
        <v>0</v>
      </c>
      <c r="H54" s="393">
        <v>0</v>
      </c>
      <c r="I54" s="129">
        <v>0</v>
      </c>
      <c r="J54" s="366">
        <f>SUM(G54:I54)</f>
        <v>0</v>
      </c>
    </row>
    <row r="55" spans="1:10" ht="14.95" thickBot="1" x14ac:dyDescent="0.3">
      <c r="A55" s="355" t="s">
        <v>866</v>
      </c>
      <c r="B55" s="310">
        <v>0</v>
      </c>
      <c r="C55" s="392">
        <v>0</v>
      </c>
      <c r="D55" s="151">
        <v>0</v>
      </c>
      <c r="E55" s="361">
        <f>SUM(B55:D55)</f>
        <v>0</v>
      </c>
      <c r="F55" s="358" t="s">
        <v>330</v>
      </c>
      <c r="G55" s="312">
        <v>0</v>
      </c>
      <c r="H55" s="393">
        <v>0</v>
      </c>
      <c r="I55" s="129">
        <v>0</v>
      </c>
      <c r="J55" s="366">
        <f>SUM(G55:I55)</f>
        <v>0</v>
      </c>
    </row>
    <row r="56" spans="1:10" ht="14.95" thickBot="1" x14ac:dyDescent="0.3">
      <c r="A56" s="355" t="s">
        <v>220</v>
      </c>
      <c r="B56" s="310">
        <v>0</v>
      </c>
      <c r="C56" s="392">
        <v>0</v>
      </c>
      <c r="D56" s="151">
        <v>0</v>
      </c>
      <c r="E56" s="361">
        <f>SUM(B56:D56)</f>
        <v>0</v>
      </c>
      <c r="F56" s="358" t="s">
        <v>866</v>
      </c>
      <c r="G56" s="312">
        <v>0</v>
      </c>
      <c r="H56" s="393">
        <v>0</v>
      </c>
      <c r="I56" s="129">
        <v>0</v>
      </c>
      <c r="J56" s="366">
        <f>SUM(G56:I56)</f>
        <v>0</v>
      </c>
    </row>
    <row r="57" spans="1:10" ht="14.95" thickBot="1" x14ac:dyDescent="0.3">
      <c r="A57" s="355" t="s">
        <v>428</v>
      </c>
      <c r="B57" s="310">
        <v>0</v>
      </c>
      <c r="C57" s="392">
        <v>0</v>
      </c>
      <c r="D57" s="151">
        <v>0</v>
      </c>
      <c r="E57" s="361">
        <f>SUM(B57:D57)</f>
        <v>0</v>
      </c>
      <c r="F57" s="358" t="s">
        <v>220</v>
      </c>
      <c r="G57" s="312">
        <v>0</v>
      </c>
      <c r="H57" s="393">
        <v>0</v>
      </c>
      <c r="I57" s="129">
        <v>0</v>
      </c>
      <c r="J57" s="366">
        <f>SUM(G57:I57)</f>
        <v>0</v>
      </c>
    </row>
    <row r="58" spans="1:10" ht="14.95" thickBot="1" x14ac:dyDescent="0.3">
      <c r="A58" s="355" t="s">
        <v>280</v>
      </c>
      <c r="B58" s="310">
        <v>0</v>
      </c>
      <c r="C58" s="392">
        <v>0</v>
      </c>
      <c r="D58" s="151">
        <v>0</v>
      </c>
      <c r="E58" s="361">
        <f>SUM(B58:D58)</f>
        <v>0</v>
      </c>
      <c r="F58" s="358" t="s">
        <v>428</v>
      </c>
      <c r="G58" s="312">
        <v>0</v>
      </c>
      <c r="H58" s="393">
        <v>0</v>
      </c>
      <c r="I58" s="129">
        <v>0</v>
      </c>
      <c r="J58" s="366">
        <f>SUM(G58:I58)</f>
        <v>0</v>
      </c>
    </row>
    <row r="59" spans="1:10" ht="14.95" thickBot="1" x14ac:dyDescent="0.3">
      <c r="A59" s="355" t="s">
        <v>231</v>
      </c>
      <c r="B59" s="310">
        <v>0</v>
      </c>
      <c r="C59" s="392">
        <v>0</v>
      </c>
      <c r="D59" s="151">
        <v>0</v>
      </c>
      <c r="E59" s="361">
        <f>SUM(B59:D59)</f>
        <v>0</v>
      </c>
      <c r="F59" s="358" t="s">
        <v>280</v>
      </c>
      <c r="G59" s="312">
        <v>0</v>
      </c>
      <c r="H59" s="393">
        <v>0</v>
      </c>
      <c r="I59" s="129">
        <v>0</v>
      </c>
      <c r="J59" s="366">
        <f>SUM(G59:I59)</f>
        <v>0</v>
      </c>
    </row>
    <row r="60" spans="1:10" ht="14.95" thickBot="1" x14ac:dyDescent="0.3">
      <c r="A60" s="355" t="s">
        <v>654</v>
      </c>
      <c r="B60" s="310">
        <v>0</v>
      </c>
      <c r="C60" s="392">
        <v>0</v>
      </c>
      <c r="D60" s="151">
        <v>0</v>
      </c>
      <c r="E60" s="361">
        <f>SUM(B60:D60)</f>
        <v>0</v>
      </c>
      <c r="F60" s="358" t="s">
        <v>231</v>
      </c>
      <c r="G60" s="312">
        <v>0</v>
      </c>
      <c r="H60" s="393">
        <v>0</v>
      </c>
      <c r="I60" s="129">
        <v>0</v>
      </c>
      <c r="J60" s="366">
        <f>SUM(G60:I60)</f>
        <v>0</v>
      </c>
    </row>
    <row r="61" spans="1:10" ht="14.95" thickBot="1" x14ac:dyDescent="0.3">
      <c r="A61" s="355" t="s">
        <v>331</v>
      </c>
      <c r="B61" s="310">
        <v>0</v>
      </c>
      <c r="C61" s="392">
        <v>0</v>
      </c>
      <c r="D61" s="151">
        <v>0</v>
      </c>
      <c r="E61" s="361">
        <f>SUM(B61:D61)</f>
        <v>0</v>
      </c>
      <c r="F61" s="358" t="s">
        <v>654</v>
      </c>
      <c r="G61" s="312">
        <v>0</v>
      </c>
      <c r="H61" s="393">
        <v>0</v>
      </c>
      <c r="I61" s="129">
        <v>0</v>
      </c>
      <c r="J61" s="366">
        <f>SUM(G61:I61)</f>
        <v>0</v>
      </c>
    </row>
    <row r="62" spans="1:10" ht="14.95" thickBot="1" x14ac:dyDescent="0.3">
      <c r="A62" s="355" t="s">
        <v>332</v>
      </c>
      <c r="B62" s="310">
        <v>0</v>
      </c>
      <c r="C62" s="392">
        <v>0</v>
      </c>
      <c r="D62" s="151">
        <v>0</v>
      </c>
      <c r="E62" s="361">
        <f>SUM(B62:D62)</f>
        <v>0</v>
      </c>
      <c r="F62" s="358" t="s">
        <v>331</v>
      </c>
      <c r="G62" s="312">
        <v>0</v>
      </c>
      <c r="H62" s="393">
        <v>0</v>
      </c>
      <c r="I62" s="129">
        <v>0</v>
      </c>
      <c r="J62" s="366">
        <f>SUM(G62:I62)</f>
        <v>0</v>
      </c>
    </row>
    <row r="63" spans="1:10" ht="14.95" thickBot="1" x14ac:dyDescent="0.3">
      <c r="A63" s="355" t="s">
        <v>860</v>
      </c>
      <c r="B63" s="310">
        <v>0</v>
      </c>
      <c r="C63" s="392">
        <v>0</v>
      </c>
      <c r="D63" s="151">
        <v>0</v>
      </c>
      <c r="E63" s="361">
        <f>SUM(B63:D63)</f>
        <v>0</v>
      </c>
      <c r="F63" s="358" t="s">
        <v>332</v>
      </c>
      <c r="G63" s="312">
        <v>0</v>
      </c>
      <c r="H63" s="393">
        <v>0</v>
      </c>
      <c r="I63" s="129">
        <v>0</v>
      </c>
      <c r="J63" s="366">
        <f>SUM(G63:I63)</f>
        <v>0</v>
      </c>
    </row>
    <row r="64" spans="1:10" ht="14.95" thickBot="1" x14ac:dyDescent="0.3">
      <c r="A64" s="355" t="s">
        <v>333</v>
      </c>
      <c r="B64" s="310">
        <v>0</v>
      </c>
      <c r="C64" s="392">
        <v>0</v>
      </c>
      <c r="D64" s="151">
        <v>0</v>
      </c>
      <c r="E64" s="361">
        <f>SUM(B64:D64)</f>
        <v>0</v>
      </c>
      <c r="F64" s="358" t="s">
        <v>860</v>
      </c>
      <c r="G64" s="312">
        <v>0</v>
      </c>
      <c r="H64" s="393">
        <v>0</v>
      </c>
      <c r="I64" s="129">
        <v>0</v>
      </c>
      <c r="J64" s="366">
        <f>SUM(G64:I64)</f>
        <v>0</v>
      </c>
    </row>
    <row r="65" spans="1:10" ht="14.95" thickBot="1" x14ac:dyDescent="0.3">
      <c r="A65" s="355" t="s">
        <v>334</v>
      </c>
      <c r="B65" s="310">
        <v>0</v>
      </c>
      <c r="C65" s="392">
        <v>0</v>
      </c>
      <c r="D65" s="151">
        <v>0</v>
      </c>
      <c r="E65" s="361">
        <f>SUM(B65:D65)</f>
        <v>0</v>
      </c>
      <c r="F65" s="358" t="s">
        <v>333</v>
      </c>
      <c r="G65" s="312">
        <v>0</v>
      </c>
      <c r="H65" s="393">
        <v>0</v>
      </c>
      <c r="I65" s="129">
        <v>0</v>
      </c>
      <c r="J65" s="366">
        <f>SUM(G65:I65)</f>
        <v>0</v>
      </c>
    </row>
    <row r="66" spans="1:10" ht="14.95" thickBot="1" x14ac:dyDescent="0.3">
      <c r="A66" s="355" t="s">
        <v>335</v>
      </c>
      <c r="B66" s="310">
        <v>0</v>
      </c>
      <c r="C66" s="392">
        <v>0</v>
      </c>
      <c r="D66" s="151">
        <v>0</v>
      </c>
      <c r="E66" s="361">
        <f>SUM(B66:D66)</f>
        <v>0</v>
      </c>
      <c r="F66" s="358" t="s">
        <v>334</v>
      </c>
      <c r="G66" s="312">
        <v>0</v>
      </c>
      <c r="H66" s="393">
        <v>0</v>
      </c>
      <c r="I66" s="129">
        <v>0</v>
      </c>
      <c r="J66" s="366">
        <f>SUM(G66:I66)</f>
        <v>0</v>
      </c>
    </row>
    <row r="67" spans="1:10" ht="14.95" thickBot="1" x14ac:dyDescent="0.3">
      <c r="A67" s="355" t="s">
        <v>488</v>
      </c>
      <c r="B67" s="310">
        <v>0</v>
      </c>
      <c r="C67" s="392">
        <v>0</v>
      </c>
      <c r="D67" s="151">
        <v>0</v>
      </c>
      <c r="E67" s="361">
        <f>SUM(B67:D67)</f>
        <v>0</v>
      </c>
      <c r="F67" s="358" t="s">
        <v>335</v>
      </c>
      <c r="G67" s="312">
        <v>0</v>
      </c>
      <c r="H67" s="393">
        <v>0</v>
      </c>
      <c r="I67" s="129">
        <v>0</v>
      </c>
      <c r="J67" s="366">
        <f>SUM(G67:I67)</f>
        <v>0</v>
      </c>
    </row>
    <row r="68" spans="1:10" ht="14.95" thickBot="1" x14ac:dyDescent="0.3">
      <c r="A68" s="355" t="s">
        <v>281</v>
      </c>
      <c r="B68" s="310">
        <v>0</v>
      </c>
      <c r="C68" s="392">
        <v>0</v>
      </c>
      <c r="D68" s="151">
        <v>0</v>
      </c>
      <c r="E68" s="361">
        <f>SUM(B68:D68)</f>
        <v>0</v>
      </c>
      <c r="F68" s="358" t="s">
        <v>488</v>
      </c>
      <c r="G68" s="312">
        <v>0</v>
      </c>
      <c r="H68" s="393">
        <v>0</v>
      </c>
      <c r="I68" s="129">
        <v>0</v>
      </c>
      <c r="J68" s="366">
        <f>SUM(G68:I68)</f>
        <v>0</v>
      </c>
    </row>
    <row r="69" spans="1:10" ht="14.95" thickBot="1" x14ac:dyDescent="0.3">
      <c r="A69" s="355" t="s">
        <v>655</v>
      </c>
      <c r="B69" s="310">
        <v>0</v>
      </c>
      <c r="C69" s="392">
        <v>0</v>
      </c>
      <c r="D69" s="151">
        <v>0</v>
      </c>
      <c r="E69" s="361">
        <f>SUM(B69:D69)</f>
        <v>0</v>
      </c>
      <c r="F69" s="358" t="s">
        <v>281</v>
      </c>
      <c r="G69" s="312">
        <v>0</v>
      </c>
      <c r="H69" s="393">
        <v>0</v>
      </c>
      <c r="I69" s="129">
        <v>0</v>
      </c>
      <c r="J69" s="366">
        <f>SUM(G69:I69)</f>
        <v>0</v>
      </c>
    </row>
    <row r="70" spans="1:10" ht="14.95" thickBot="1" x14ac:dyDescent="0.3">
      <c r="A70" s="355" t="s">
        <v>633</v>
      </c>
      <c r="B70" s="310">
        <v>0</v>
      </c>
      <c r="C70" s="392">
        <v>0</v>
      </c>
      <c r="D70" s="151">
        <v>0</v>
      </c>
      <c r="E70" s="361">
        <f>SUM(B70:D70)</f>
        <v>0</v>
      </c>
      <c r="F70" s="358" t="s">
        <v>655</v>
      </c>
      <c r="G70" s="312">
        <v>0</v>
      </c>
      <c r="H70" s="393">
        <v>0</v>
      </c>
      <c r="I70" s="129">
        <v>0</v>
      </c>
      <c r="J70" s="366">
        <f>SUM(G70:I70)</f>
        <v>0</v>
      </c>
    </row>
    <row r="71" spans="1:10" ht="14.95" thickBot="1" x14ac:dyDescent="0.3">
      <c r="A71" s="355" t="s">
        <v>662</v>
      </c>
      <c r="B71" s="310">
        <v>0</v>
      </c>
      <c r="C71" s="392">
        <v>0</v>
      </c>
      <c r="D71" s="151">
        <v>0</v>
      </c>
      <c r="E71" s="361">
        <f>SUM(B71:D71)</f>
        <v>0</v>
      </c>
      <c r="F71" s="358" t="s">
        <v>633</v>
      </c>
      <c r="G71" s="312">
        <v>0</v>
      </c>
      <c r="H71" s="393">
        <v>0</v>
      </c>
      <c r="I71" s="129">
        <v>0</v>
      </c>
      <c r="J71" s="366">
        <f>SUM(G71:I71)</f>
        <v>0</v>
      </c>
    </row>
    <row r="72" spans="1:10" ht="14.95" thickBot="1" x14ac:dyDescent="0.3">
      <c r="A72" s="355" t="s">
        <v>336</v>
      </c>
      <c r="B72" s="310">
        <v>0</v>
      </c>
      <c r="C72" s="392">
        <v>0</v>
      </c>
      <c r="D72" s="151">
        <v>0</v>
      </c>
      <c r="E72" s="361">
        <f>SUM(B72:D72)</f>
        <v>0</v>
      </c>
      <c r="F72" s="358" t="s">
        <v>662</v>
      </c>
      <c r="G72" s="312">
        <v>0</v>
      </c>
      <c r="H72" s="393">
        <v>0</v>
      </c>
      <c r="I72" s="129">
        <v>0</v>
      </c>
      <c r="J72" s="366">
        <f>SUM(G72:I72)</f>
        <v>0</v>
      </c>
    </row>
    <row r="73" spans="1:10" ht="14.95" thickBot="1" x14ac:dyDescent="0.3">
      <c r="A73" s="355" t="s">
        <v>337</v>
      </c>
      <c r="B73" s="310">
        <v>0</v>
      </c>
      <c r="C73" s="392">
        <v>0</v>
      </c>
      <c r="D73" s="151">
        <v>0</v>
      </c>
      <c r="E73" s="361">
        <f>SUM(B73:D73)</f>
        <v>0</v>
      </c>
      <c r="F73" s="358" t="s">
        <v>336</v>
      </c>
      <c r="G73" s="312">
        <v>0</v>
      </c>
      <c r="H73" s="393">
        <v>0</v>
      </c>
      <c r="I73" s="129">
        <v>0</v>
      </c>
      <c r="J73" s="366">
        <f>SUM(G73:I73)</f>
        <v>0</v>
      </c>
    </row>
    <row r="74" spans="1:10" ht="14.95" thickBot="1" x14ac:dyDescent="0.3">
      <c r="A74" s="355" t="s">
        <v>218</v>
      </c>
      <c r="B74" s="310">
        <v>0</v>
      </c>
      <c r="C74" s="392">
        <v>0</v>
      </c>
      <c r="D74" s="151">
        <v>0</v>
      </c>
      <c r="E74" s="361">
        <f>SUM(B74:D74)</f>
        <v>0</v>
      </c>
      <c r="F74" s="358" t="s">
        <v>337</v>
      </c>
      <c r="G74" s="312">
        <v>0</v>
      </c>
      <c r="H74" s="393">
        <v>0</v>
      </c>
      <c r="I74" s="129">
        <v>0</v>
      </c>
      <c r="J74" s="366">
        <f>SUM(G74:I74)</f>
        <v>0</v>
      </c>
    </row>
    <row r="75" spans="1:10" ht="14.95" thickBot="1" x14ac:dyDescent="0.3">
      <c r="A75" s="355" t="s">
        <v>219</v>
      </c>
      <c r="B75" s="310">
        <v>0</v>
      </c>
      <c r="C75" s="392">
        <v>0</v>
      </c>
      <c r="D75" s="151">
        <v>0</v>
      </c>
      <c r="E75" s="361">
        <f>SUM(B75:D75)</f>
        <v>0</v>
      </c>
      <c r="F75" s="358" t="s">
        <v>218</v>
      </c>
      <c r="G75" s="312">
        <v>0</v>
      </c>
      <c r="H75" s="393">
        <v>0</v>
      </c>
      <c r="I75" s="129">
        <v>0</v>
      </c>
      <c r="J75" s="366">
        <f>SUM(G75:I75)</f>
        <v>0</v>
      </c>
    </row>
    <row r="76" spans="1:10" ht="14.95" thickBot="1" x14ac:dyDescent="0.3">
      <c r="A76" s="355" t="s">
        <v>208</v>
      </c>
      <c r="B76" s="310">
        <v>0</v>
      </c>
      <c r="C76" s="392">
        <v>0</v>
      </c>
      <c r="D76" s="151">
        <v>0</v>
      </c>
      <c r="E76" s="361">
        <f>SUM(B76:D76)</f>
        <v>0</v>
      </c>
      <c r="F76" s="358" t="s">
        <v>219</v>
      </c>
      <c r="G76" s="312">
        <v>0</v>
      </c>
      <c r="H76" s="393">
        <v>0</v>
      </c>
      <c r="I76" s="129">
        <v>0</v>
      </c>
      <c r="J76" s="366">
        <f>SUM(G76:I76)</f>
        <v>0</v>
      </c>
    </row>
    <row r="77" spans="1:10" ht="14.95" thickBot="1" x14ac:dyDescent="0.3">
      <c r="A77" s="355" t="s">
        <v>340</v>
      </c>
      <c r="B77" s="310">
        <v>0</v>
      </c>
      <c r="C77" s="392">
        <v>0</v>
      </c>
      <c r="D77" s="151">
        <v>0</v>
      </c>
      <c r="E77" s="361">
        <f>SUM(B77:D77)</f>
        <v>0</v>
      </c>
      <c r="F77" s="358" t="s">
        <v>208</v>
      </c>
      <c r="G77" s="312">
        <v>0</v>
      </c>
      <c r="H77" s="393">
        <v>0</v>
      </c>
      <c r="I77" s="129">
        <v>0</v>
      </c>
      <c r="J77" s="366">
        <f>SUM(G77:I77)</f>
        <v>0</v>
      </c>
    </row>
    <row r="78" spans="1:10" ht="14.95" thickBot="1" x14ac:dyDescent="0.3">
      <c r="A78" s="355" t="s">
        <v>341</v>
      </c>
      <c r="B78" s="310">
        <v>0</v>
      </c>
      <c r="C78" s="392">
        <v>0</v>
      </c>
      <c r="D78" s="151">
        <v>0</v>
      </c>
      <c r="E78" s="361">
        <f>SUM(B78:D78)</f>
        <v>0</v>
      </c>
      <c r="F78" s="358" t="s">
        <v>340</v>
      </c>
      <c r="G78" s="312">
        <v>0</v>
      </c>
      <c r="H78" s="393">
        <v>0</v>
      </c>
      <c r="I78" s="129">
        <v>0</v>
      </c>
      <c r="J78" s="366">
        <f>SUM(G78:I78)</f>
        <v>0</v>
      </c>
    </row>
    <row r="79" spans="1:10" ht="14.95" thickBot="1" x14ac:dyDescent="0.3">
      <c r="A79" s="355" t="s">
        <v>342</v>
      </c>
      <c r="B79" s="310">
        <v>0</v>
      </c>
      <c r="C79" s="392">
        <v>0</v>
      </c>
      <c r="D79" s="151">
        <v>0</v>
      </c>
      <c r="E79" s="361">
        <f>SUM(B79:D79)</f>
        <v>0</v>
      </c>
      <c r="F79" s="358" t="s">
        <v>341</v>
      </c>
      <c r="G79" s="312">
        <v>0</v>
      </c>
      <c r="H79" s="393">
        <v>0</v>
      </c>
      <c r="I79" s="129">
        <v>0</v>
      </c>
      <c r="J79" s="366">
        <f>SUM(G79:I79)</f>
        <v>0</v>
      </c>
    </row>
    <row r="80" spans="1:10" ht="14.95" thickBot="1" x14ac:dyDescent="0.3">
      <c r="A80" s="355" t="s">
        <v>427</v>
      </c>
      <c r="B80" s="310">
        <v>0</v>
      </c>
      <c r="C80" s="392">
        <v>0</v>
      </c>
      <c r="D80" s="151">
        <v>0</v>
      </c>
      <c r="E80" s="361">
        <f>SUM(B80:D80)</f>
        <v>0</v>
      </c>
      <c r="F80" s="358" t="s">
        <v>342</v>
      </c>
      <c r="G80" s="312">
        <v>0</v>
      </c>
      <c r="H80" s="393">
        <v>0</v>
      </c>
      <c r="I80" s="129">
        <v>0</v>
      </c>
      <c r="J80" s="366">
        <f>SUM(G80:I80)</f>
        <v>0</v>
      </c>
    </row>
    <row r="81" spans="1:10" ht="14.95" thickBot="1" x14ac:dyDescent="0.3">
      <c r="A81" s="355" t="s">
        <v>906</v>
      </c>
      <c r="B81" s="310">
        <v>0</v>
      </c>
      <c r="C81" s="392">
        <v>0</v>
      </c>
      <c r="D81" s="151">
        <v>0</v>
      </c>
      <c r="E81" s="361">
        <f>SUM(B81:D81)</f>
        <v>0</v>
      </c>
      <c r="F81" s="358" t="s">
        <v>427</v>
      </c>
      <c r="G81" s="312">
        <v>0</v>
      </c>
      <c r="H81" s="393">
        <v>0</v>
      </c>
      <c r="I81" s="129">
        <v>0</v>
      </c>
      <c r="J81" s="366">
        <f>SUM(G81:I81)</f>
        <v>0</v>
      </c>
    </row>
    <row r="82" spans="1:10" ht="14.95" thickBot="1" x14ac:dyDescent="0.3">
      <c r="A82" s="355" t="s">
        <v>768</v>
      </c>
      <c r="B82" s="310">
        <v>0</v>
      </c>
      <c r="C82" s="392">
        <v>0</v>
      </c>
      <c r="D82" s="151">
        <v>0</v>
      </c>
      <c r="E82" s="361">
        <f>SUM(B82:D82)</f>
        <v>0</v>
      </c>
      <c r="F82" s="358" t="s">
        <v>906</v>
      </c>
      <c r="G82" s="312">
        <v>0</v>
      </c>
      <c r="H82" s="393">
        <v>0</v>
      </c>
      <c r="I82" s="129">
        <v>0</v>
      </c>
      <c r="J82" s="366">
        <f>SUM(G82:I82)</f>
        <v>0</v>
      </c>
    </row>
    <row r="83" spans="1:10" ht="14.95" thickBot="1" x14ac:dyDescent="0.3">
      <c r="A83" s="355" t="s">
        <v>653</v>
      </c>
      <c r="B83" s="310">
        <v>0</v>
      </c>
      <c r="C83" s="392">
        <v>0</v>
      </c>
      <c r="D83" s="151">
        <v>0</v>
      </c>
      <c r="E83" s="361">
        <f>SUM(B83:D83)</f>
        <v>0</v>
      </c>
      <c r="F83" s="358" t="s">
        <v>768</v>
      </c>
      <c r="G83" s="312">
        <v>0</v>
      </c>
      <c r="H83" s="393">
        <v>0</v>
      </c>
      <c r="I83" s="129">
        <v>0</v>
      </c>
      <c r="J83" s="366">
        <f>SUM(G83:I83)</f>
        <v>0</v>
      </c>
    </row>
    <row r="84" spans="1:10" ht="14.95" thickBot="1" x14ac:dyDescent="0.3">
      <c r="A84" s="355" t="s">
        <v>872</v>
      </c>
      <c r="B84" s="310">
        <v>0</v>
      </c>
      <c r="C84" s="392">
        <v>0</v>
      </c>
      <c r="D84" s="151">
        <v>0</v>
      </c>
      <c r="E84" s="361">
        <f>SUM(B84:D84)</f>
        <v>0</v>
      </c>
      <c r="F84" s="358" t="s">
        <v>653</v>
      </c>
      <c r="G84" s="312">
        <v>0</v>
      </c>
      <c r="H84" s="393">
        <v>0</v>
      </c>
      <c r="I84" s="129">
        <v>0</v>
      </c>
      <c r="J84" s="366">
        <f>SUM(G84:I84)</f>
        <v>0</v>
      </c>
    </row>
    <row r="85" spans="1:10" ht="14.95" thickBot="1" x14ac:dyDescent="0.3">
      <c r="A85" s="355" t="s">
        <v>3</v>
      </c>
      <c r="B85" s="310">
        <f>SUM(B46:B84)</f>
        <v>2</v>
      </c>
      <c r="C85" s="392">
        <f>SUM(C46:C84)</f>
        <v>0</v>
      </c>
      <c r="D85" s="151">
        <f>SUM(D46:D84)</f>
        <v>5</v>
      </c>
      <c r="E85" s="361">
        <f t="shared" ref="E85" si="9">SUM(B85:D85)</f>
        <v>7</v>
      </c>
      <c r="F85" s="359" t="s">
        <v>3</v>
      </c>
      <c r="G85" s="313">
        <f>SUM(G46:G84)</f>
        <v>12</v>
      </c>
      <c r="H85" s="394">
        <f>SUM(H46:H84)</f>
        <v>0</v>
      </c>
      <c r="I85" s="128">
        <f>SUM(I46:I84)</f>
        <v>33</v>
      </c>
      <c r="J85" s="365">
        <f t="shared" ref="J85" si="10">SUM(G85:I85)</f>
        <v>45</v>
      </c>
    </row>
    <row r="86" spans="1:10" ht="16.3" x14ac:dyDescent="0.3">
      <c r="A86" s="524" t="s">
        <v>10</v>
      </c>
      <c r="B86" s="524"/>
      <c r="C86" s="524"/>
      <c r="D86" s="525"/>
    </row>
  </sheetData>
  <sortState xmlns:xlrd2="http://schemas.microsoft.com/office/spreadsheetml/2017/richdata2" ref="F46:J84">
    <sortCondition descending="1" ref="J46:J84"/>
  </sortState>
  <mergeCells count="23">
    <mergeCell ref="A86:D86"/>
    <mergeCell ref="O21:Q22"/>
    <mergeCell ref="K28:K29"/>
    <mergeCell ref="O28:Q29"/>
    <mergeCell ref="L21:N22"/>
    <mergeCell ref="K21:K22"/>
    <mergeCell ref="L28:N29"/>
    <mergeCell ref="AD1:AF2"/>
    <mergeCell ref="O12:Q13"/>
    <mergeCell ref="R28:T29"/>
    <mergeCell ref="V1:X2"/>
    <mergeCell ref="U12:W13"/>
    <mergeCell ref="O1:Q2"/>
    <mergeCell ref="R1:R2"/>
    <mergeCell ref="R12:T13"/>
    <mergeCell ref="S1:U2"/>
    <mergeCell ref="AA1:AC2"/>
    <mergeCell ref="AA12:AC13"/>
    <mergeCell ref="A1:J1"/>
    <mergeCell ref="K1:K2"/>
    <mergeCell ref="L1:N2"/>
    <mergeCell ref="K12:K13"/>
    <mergeCell ref="L12:N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5327-4A76-4A68-AD08-B3FF5A5D4438}">
  <dimension ref="A1:P64"/>
  <sheetViews>
    <sheetView workbookViewId="0">
      <selection activeCell="F13" sqref="F13"/>
    </sheetView>
  </sheetViews>
  <sheetFormatPr defaultRowHeight="14.3" x14ac:dyDescent="0.25"/>
  <cols>
    <col min="1" max="1" width="19.625" customWidth="1"/>
    <col min="2" max="2" width="5" bestFit="1" customWidth="1"/>
    <col min="3" max="4" width="4.5" customWidth="1"/>
    <col min="5" max="5" width="19.625" customWidth="1"/>
    <col min="6" max="6" width="5" bestFit="1" customWidth="1"/>
    <col min="7" max="8" width="4.5" customWidth="1"/>
    <col min="9" max="9" width="19.625" customWidth="1"/>
    <col min="10" max="16" width="5.625" customWidth="1"/>
  </cols>
  <sheetData>
    <row r="1" spans="1:16" ht="14.95" customHeight="1" thickBot="1" x14ac:dyDescent="0.3">
      <c r="A1" s="536" t="s">
        <v>997</v>
      </c>
      <c r="B1" s="537"/>
      <c r="C1" s="537"/>
      <c r="D1" s="537"/>
      <c r="E1" s="537"/>
      <c r="F1" s="537"/>
      <c r="G1" s="537"/>
      <c r="H1" s="538"/>
      <c r="I1" s="539" t="s">
        <v>15</v>
      </c>
      <c r="J1" s="502">
        <v>2025</v>
      </c>
      <c r="K1" s="503"/>
      <c r="L1" s="504"/>
      <c r="M1" s="502" t="s">
        <v>12</v>
      </c>
      <c r="N1" s="503"/>
      <c r="O1" s="504"/>
      <c r="P1" s="522" t="s">
        <v>16</v>
      </c>
    </row>
    <row r="2" spans="1:16" ht="14.95" customHeight="1" thickBot="1" x14ac:dyDescent="0.3">
      <c r="A2" s="323" t="s">
        <v>0</v>
      </c>
      <c r="B2" s="324" t="s">
        <v>500</v>
      </c>
      <c r="C2" s="324" t="s">
        <v>11</v>
      </c>
      <c r="D2" s="325" t="s">
        <v>1</v>
      </c>
      <c r="E2" s="122" t="s">
        <v>2</v>
      </c>
      <c r="F2" s="314" t="s">
        <v>500</v>
      </c>
      <c r="G2" s="334" t="s">
        <v>11</v>
      </c>
      <c r="H2" s="318" t="s">
        <v>1</v>
      </c>
      <c r="I2" s="540"/>
      <c r="J2" s="505"/>
      <c r="K2" s="506"/>
      <c r="L2" s="507"/>
      <c r="M2" s="505"/>
      <c r="N2" s="506"/>
      <c r="O2" s="507"/>
      <c r="P2" s="523"/>
    </row>
    <row r="3" spans="1:16" ht="14.95" customHeight="1" thickBot="1" x14ac:dyDescent="0.3">
      <c r="A3" s="326" t="s">
        <v>827</v>
      </c>
      <c r="B3" s="327">
        <v>0</v>
      </c>
      <c r="C3" s="328">
        <v>0</v>
      </c>
      <c r="D3" s="329">
        <f t="shared" ref="D3:D31" si="0">SUM(B3:C3)</f>
        <v>0</v>
      </c>
      <c r="E3" s="124" t="s">
        <v>827</v>
      </c>
      <c r="F3" s="315">
        <v>0</v>
      </c>
      <c r="G3" s="335">
        <v>0</v>
      </c>
      <c r="H3" s="319">
        <f t="shared" ref="H3:H31" si="1">SUM(F3:G3)</f>
        <v>0</v>
      </c>
      <c r="I3" s="330"/>
      <c r="J3" s="29" t="s">
        <v>17</v>
      </c>
      <c r="K3" s="29" t="s">
        <v>5</v>
      </c>
      <c r="L3" s="29" t="s">
        <v>6</v>
      </c>
      <c r="M3" s="71" t="s">
        <v>17</v>
      </c>
      <c r="N3" s="29" t="s">
        <v>5</v>
      </c>
      <c r="O3" s="29" t="s">
        <v>6</v>
      </c>
      <c r="P3" s="1"/>
    </row>
    <row r="4" spans="1:16" ht="14.95" customHeight="1" thickBot="1" x14ac:dyDescent="0.3">
      <c r="A4" s="326" t="s">
        <v>880</v>
      </c>
      <c r="B4" s="327">
        <v>0</v>
      </c>
      <c r="C4" s="328">
        <v>0</v>
      </c>
      <c r="D4" s="329">
        <f t="shared" si="0"/>
        <v>0</v>
      </c>
      <c r="E4" s="124" t="s">
        <v>880</v>
      </c>
      <c r="F4" s="315">
        <v>0</v>
      </c>
      <c r="G4" s="335">
        <v>0</v>
      </c>
      <c r="H4" s="319">
        <f t="shared" si="1"/>
        <v>0</v>
      </c>
      <c r="I4" s="326" t="s">
        <v>864</v>
      </c>
      <c r="J4" s="329">
        <v>1</v>
      </c>
      <c r="K4" s="329">
        <v>2</v>
      </c>
      <c r="L4" s="331">
        <f t="shared" ref="L4" si="2">SUM(J4/K4)*100</f>
        <v>50</v>
      </c>
      <c r="M4" s="332" t="s">
        <v>8</v>
      </c>
      <c r="N4" s="329" t="s">
        <v>8</v>
      </c>
      <c r="O4" s="331" t="s">
        <v>8</v>
      </c>
      <c r="P4" s="333">
        <v>-1</v>
      </c>
    </row>
    <row r="5" spans="1:16" ht="14.95" customHeight="1" thickBot="1" x14ac:dyDescent="0.3">
      <c r="A5" s="326" t="s">
        <v>818</v>
      </c>
      <c r="B5" s="327">
        <v>0</v>
      </c>
      <c r="C5" s="328">
        <v>0</v>
      </c>
      <c r="D5" s="329">
        <f t="shared" si="0"/>
        <v>0</v>
      </c>
      <c r="E5" s="124" t="s">
        <v>818</v>
      </c>
      <c r="F5" s="315">
        <v>0</v>
      </c>
      <c r="G5" s="335">
        <v>0</v>
      </c>
      <c r="H5" s="319">
        <f t="shared" si="1"/>
        <v>0</v>
      </c>
      <c r="I5" s="323" t="s">
        <v>809</v>
      </c>
      <c r="J5" s="332">
        <v>7</v>
      </c>
      <c r="K5" s="329">
        <v>19</v>
      </c>
      <c r="L5" s="331">
        <f t="shared" ref="L5:L6" si="3">SUM(J5/K5)*100</f>
        <v>36.84210526315789</v>
      </c>
      <c r="M5" s="332">
        <v>1</v>
      </c>
      <c r="N5" s="329">
        <v>1</v>
      </c>
      <c r="O5" s="331">
        <f t="shared" ref="O5" si="4">SUM(M5/N5)*100</f>
        <v>100</v>
      </c>
      <c r="P5" s="333">
        <v>3</v>
      </c>
    </row>
    <row r="6" spans="1:16" ht="14.95" customHeight="1" thickBot="1" x14ac:dyDescent="0.3">
      <c r="A6" s="326" t="s">
        <v>816</v>
      </c>
      <c r="B6" s="327">
        <v>0</v>
      </c>
      <c r="C6" s="328">
        <v>0</v>
      </c>
      <c r="D6" s="329">
        <f t="shared" si="0"/>
        <v>0</v>
      </c>
      <c r="E6" s="126" t="s">
        <v>816</v>
      </c>
      <c r="F6" s="315">
        <v>0</v>
      </c>
      <c r="G6" s="335">
        <v>0</v>
      </c>
      <c r="H6" s="319">
        <f t="shared" si="1"/>
        <v>0</v>
      </c>
      <c r="I6" s="323" t="s">
        <v>810</v>
      </c>
      <c r="J6" s="332">
        <v>1</v>
      </c>
      <c r="K6" s="329">
        <v>2</v>
      </c>
      <c r="L6" s="331">
        <f t="shared" si="3"/>
        <v>50</v>
      </c>
      <c r="M6" s="332" t="s">
        <v>8</v>
      </c>
      <c r="N6" s="329" t="s">
        <v>8</v>
      </c>
      <c r="O6" s="331" t="s">
        <v>8</v>
      </c>
      <c r="P6" s="333">
        <v>-1</v>
      </c>
    </row>
    <row r="7" spans="1:16" ht="14.95" customHeight="1" thickBot="1" x14ac:dyDescent="0.3">
      <c r="A7" s="326" t="s">
        <v>828</v>
      </c>
      <c r="B7" s="327">
        <v>0</v>
      </c>
      <c r="C7" s="328">
        <v>0</v>
      </c>
      <c r="D7" s="329">
        <f t="shared" si="0"/>
        <v>0</v>
      </c>
      <c r="E7" s="126" t="s">
        <v>828</v>
      </c>
      <c r="F7" s="315">
        <v>0</v>
      </c>
      <c r="G7" s="335">
        <v>0</v>
      </c>
      <c r="H7" s="319">
        <f t="shared" si="1"/>
        <v>0</v>
      </c>
      <c r="I7" s="323" t="s">
        <v>882</v>
      </c>
      <c r="J7" s="332">
        <v>2</v>
      </c>
      <c r="K7" s="329">
        <v>4</v>
      </c>
      <c r="L7" s="331">
        <f t="shared" ref="L7" si="5">SUM(J7/K7)*100</f>
        <v>50</v>
      </c>
      <c r="M7" s="332" t="s">
        <v>8</v>
      </c>
      <c r="N7" s="329" t="s">
        <v>8</v>
      </c>
      <c r="O7" s="331" t="s">
        <v>8</v>
      </c>
      <c r="P7" s="333">
        <v>-1</v>
      </c>
    </row>
    <row r="8" spans="1:16" ht="14.95" customHeight="1" thickBot="1" x14ac:dyDescent="0.3">
      <c r="A8" s="326" t="s">
        <v>824</v>
      </c>
      <c r="B8" s="327">
        <v>0</v>
      </c>
      <c r="C8" s="328">
        <v>0</v>
      </c>
      <c r="D8" s="329">
        <f t="shared" si="0"/>
        <v>0</v>
      </c>
      <c r="E8" s="126" t="s">
        <v>824</v>
      </c>
      <c r="F8" s="315">
        <v>0</v>
      </c>
      <c r="G8" s="335">
        <v>0</v>
      </c>
      <c r="H8" s="319">
        <f t="shared" si="1"/>
        <v>0</v>
      </c>
      <c r="I8" s="45"/>
      <c r="J8" s="45"/>
      <c r="K8" s="45"/>
      <c r="L8" s="45"/>
      <c r="M8" s="45"/>
      <c r="N8" s="45"/>
      <c r="O8" s="45"/>
    </row>
    <row r="9" spans="1:16" ht="14.95" customHeight="1" thickBot="1" x14ac:dyDescent="0.3">
      <c r="A9" s="326" t="s">
        <v>825</v>
      </c>
      <c r="B9" s="327">
        <v>0</v>
      </c>
      <c r="C9" s="328">
        <v>0</v>
      </c>
      <c r="D9" s="329">
        <f t="shared" si="0"/>
        <v>0</v>
      </c>
      <c r="E9" s="126" t="s">
        <v>825</v>
      </c>
      <c r="F9" s="315">
        <v>0</v>
      </c>
      <c r="G9" s="335">
        <v>0</v>
      </c>
      <c r="H9" s="319">
        <f t="shared" si="1"/>
        <v>0</v>
      </c>
      <c r="I9" s="528" t="s">
        <v>345</v>
      </c>
      <c r="J9" s="530">
        <v>2025</v>
      </c>
      <c r="K9" s="531"/>
      <c r="L9" s="532"/>
    </row>
    <row r="10" spans="1:16" ht="14.95" customHeight="1" thickBot="1" x14ac:dyDescent="0.3">
      <c r="A10" s="326" t="s">
        <v>885</v>
      </c>
      <c r="B10" s="327">
        <v>0</v>
      </c>
      <c r="C10" s="328">
        <v>0</v>
      </c>
      <c r="D10" s="329">
        <f t="shared" si="0"/>
        <v>0</v>
      </c>
      <c r="E10" s="126" t="s">
        <v>885</v>
      </c>
      <c r="F10" s="315">
        <v>0</v>
      </c>
      <c r="G10" s="335">
        <v>0</v>
      </c>
      <c r="H10" s="319">
        <f t="shared" si="1"/>
        <v>0</v>
      </c>
      <c r="I10" s="529"/>
      <c r="J10" s="533"/>
      <c r="K10" s="534"/>
      <c r="L10" s="535"/>
    </row>
    <row r="11" spans="1:16" ht="14.95" customHeight="1" thickBot="1" x14ac:dyDescent="0.3">
      <c r="A11" s="326" t="s">
        <v>813</v>
      </c>
      <c r="B11" s="327">
        <v>0</v>
      </c>
      <c r="C11" s="328">
        <v>0</v>
      </c>
      <c r="D11" s="329">
        <f t="shared" si="0"/>
        <v>0</v>
      </c>
      <c r="E11" s="126" t="s">
        <v>813</v>
      </c>
      <c r="F11" s="315">
        <v>0</v>
      </c>
      <c r="G11" s="335">
        <v>0</v>
      </c>
      <c r="H11" s="319">
        <f t="shared" si="1"/>
        <v>0</v>
      </c>
      <c r="I11" s="300"/>
      <c r="J11" s="29" t="s">
        <v>17</v>
      </c>
      <c r="K11" s="29" t="s">
        <v>5</v>
      </c>
      <c r="L11" s="29" t="s">
        <v>6</v>
      </c>
    </row>
    <row r="12" spans="1:16" ht="14.95" customHeight="1" thickBot="1" x14ac:dyDescent="0.3">
      <c r="A12" s="326" t="s">
        <v>823</v>
      </c>
      <c r="B12" s="327">
        <v>0</v>
      </c>
      <c r="C12" s="328">
        <v>0</v>
      </c>
      <c r="D12" s="329">
        <f t="shared" si="0"/>
        <v>0</v>
      </c>
      <c r="E12" s="126" t="s">
        <v>823</v>
      </c>
      <c r="F12" s="315">
        <v>0</v>
      </c>
      <c r="G12" s="335">
        <v>0</v>
      </c>
      <c r="H12" s="319">
        <f t="shared" si="1"/>
        <v>0</v>
      </c>
      <c r="I12" s="326" t="s">
        <v>864</v>
      </c>
      <c r="J12" s="332" t="s">
        <v>8</v>
      </c>
      <c r="K12" s="329" t="s">
        <v>8</v>
      </c>
      <c r="L12" s="331" t="s">
        <v>8</v>
      </c>
    </row>
    <row r="13" spans="1:16" ht="14.95" customHeight="1" thickBot="1" x14ac:dyDescent="0.3">
      <c r="A13" s="326" t="s">
        <v>864</v>
      </c>
      <c r="B13" s="327">
        <v>0</v>
      </c>
      <c r="C13" s="328">
        <v>0</v>
      </c>
      <c r="D13" s="329">
        <f t="shared" si="0"/>
        <v>0</v>
      </c>
      <c r="E13" s="126" t="s">
        <v>864</v>
      </c>
      <c r="F13" s="315">
        <v>0</v>
      </c>
      <c r="G13" s="335">
        <v>0</v>
      </c>
      <c r="H13" s="319">
        <f t="shared" si="1"/>
        <v>0</v>
      </c>
      <c r="I13" s="323" t="s">
        <v>809</v>
      </c>
      <c r="J13" s="332">
        <v>3</v>
      </c>
      <c r="K13" s="329">
        <v>3</v>
      </c>
      <c r="L13" s="331">
        <f t="shared" ref="L13:L14" si="6">SUM(J13/K13)*100</f>
        <v>100</v>
      </c>
      <c r="M13" s="9"/>
      <c r="N13" s="9"/>
      <c r="O13" s="9"/>
    </row>
    <row r="14" spans="1:16" ht="14.95" customHeight="1" thickBot="1" x14ac:dyDescent="0.3">
      <c r="A14" s="326" t="s">
        <v>829</v>
      </c>
      <c r="B14" s="327">
        <v>0</v>
      </c>
      <c r="C14" s="328">
        <v>0</v>
      </c>
      <c r="D14" s="329">
        <f t="shared" si="0"/>
        <v>0</v>
      </c>
      <c r="E14" s="126" t="s">
        <v>829</v>
      </c>
      <c r="F14" s="315">
        <v>0</v>
      </c>
      <c r="G14" s="335">
        <v>0</v>
      </c>
      <c r="H14" s="319">
        <f t="shared" si="1"/>
        <v>0</v>
      </c>
      <c r="I14" s="323" t="s">
        <v>810</v>
      </c>
      <c r="J14" s="332">
        <v>0</v>
      </c>
      <c r="K14" s="329">
        <v>1</v>
      </c>
      <c r="L14" s="331">
        <f t="shared" si="6"/>
        <v>0</v>
      </c>
      <c r="M14" s="20"/>
      <c r="N14" s="20"/>
      <c r="O14" s="23"/>
    </row>
    <row r="15" spans="1:16" ht="14.95" customHeight="1" thickBot="1" x14ac:dyDescent="0.3">
      <c r="A15" s="326" t="s">
        <v>809</v>
      </c>
      <c r="B15" s="327">
        <v>0</v>
      </c>
      <c r="C15" s="328">
        <v>0</v>
      </c>
      <c r="D15" s="329">
        <f t="shared" si="0"/>
        <v>0</v>
      </c>
      <c r="E15" s="126" t="s">
        <v>809</v>
      </c>
      <c r="F15" s="315">
        <v>0</v>
      </c>
      <c r="G15" s="335">
        <v>0</v>
      </c>
      <c r="H15" s="319">
        <f t="shared" si="1"/>
        <v>0</v>
      </c>
      <c r="I15" s="323" t="s">
        <v>882</v>
      </c>
      <c r="J15" s="332" t="s">
        <v>8</v>
      </c>
      <c r="K15" s="329" t="s">
        <v>8</v>
      </c>
      <c r="L15" s="331" t="s">
        <v>8</v>
      </c>
    </row>
    <row r="16" spans="1:16" ht="14.95" customHeight="1" thickBot="1" x14ac:dyDescent="0.3">
      <c r="A16" s="326" t="s">
        <v>822</v>
      </c>
      <c r="B16" s="327">
        <v>0</v>
      </c>
      <c r="C16" s="328">
        <v>0</v>
      </c>
      <c r="D16" s="329">
        <f t="shared" si="0"/>
        <v>0</v>
      </c>
      <c r="E16" s="126" t="s">
        <v>822</v>
      </c>
      <c r="F16" s="315">
        <v>0</v>
      </c>
      <c r="G16" s="335">
        <v>0</v>
      </c>
      <c r="H16" s="319">
        <f t="shared" si="1"/>
        <v>0</v>
      </c>
    </row>
    <row r="17" spans="1:8" ht="14.95" customHeight="1" thickBot="1" x14ac:dyDescent="0.3">
      <c r="A17" s="326" t="s">
        <v>812</v>
      </c>
      <c r="B17" s="327">
        <v>0</v>
      </c>
      <c r="C17" s="328">
        <v>0</v>
      </c>
      <c r="D17" s="329">
        <f t="shared" si="0"/>
        <v>0</v>
      </c>
      <c r="E17" s="126" t="s">
        <v>812</v>
      </c>
      <c r="F17" s="315">
        <v>0</v>
      </c>
      <c r="G17" s="335">
        <v>0</v>
      </c>
      <c r="H17" s="319">
        <f t="shared" si="1"/>
        <v>0</v>
      </c>
    </row>
    <row r="18" spans="1:8" ht="14.95" customHeight="1" thickBot="1" x14ac:dyDescent="0.3">
      <c r="A18" s="326" t="s">
        <v>817</v>
      </c>
      <c r="B18" s="327">
        <v>0</v>
      </c>
      <c r="C18" s="328">
        <v>0</v>
      </c>
      <c r="D18" s="329">
        <f t="shared" si="0"/>
        <v>0</v>
      </c>
      <c r="E18" s="126" t="s">
        <v>817</v>
      </c>
      <c r="F18" s="315">
        <v>0</v>
      </c>
      <c r="G18" s="335">
        <v>0</v>
      </c>
      <c r="H18" s="319">
        <f t="shared" si="1"/>
        <v>0</v>
      </c>
    </row>
    <row r="19" spans="1:8" ht="14.95" customHeight="1" thickBot="1" x14ac:dyDescent="0.3">
      <c r="A19" s="326" t="s">
        <v>826</v>
      </c>
      <c r="B19" s="327">
        <v>0</v>
      </c>
      <c r="C19" s="328">
        <v>0</v>
      </c>
      <c r="D19" s="329">
        <f t="shared" si="0"/>
        <v>0</v>
      </c>
      <c r="E19" s="126" t="s">
        <v>826</v>
      </c>
      <c r="F19" s="315">
        <v>0</v>
      </c>
      <c r="G19" s="335">
        <v>0</v>
      </c>
      <c r="H19" s="319">
        <f t="shared" si="1"/>
        <v>0</v>
      </c>
    </row>
    <row r="20" spans="1:8" ht="14.95" customHeight="1" thickBot="1" x14ac:dyDescent="0.3">
      <c r="A20" s="326" t="s">
        <v>811</v>
      </c>
      <c r="B20" s="327">
        <v>0</v>
      </c>
      <c r="C20" s="328">
        <v>0</v>
      </c>
      <c r="D20" s="329">
        <f t="shared" si="0"/>
        <v>0</v>
      </c>
      <c r="E20" s="126" t="s">
        <v>811</v>
      </c>
      <c r="F20" s="315">
        <v>0</v>
      </c>
      <c r="G20" s="335">
        <v>0</v>
      </c>
      <c r="H20" s="319">
        <f t="shared" si="1"/>
        <v>0</v>
      </c>
    </row>
    <row r="21" spans="1:8" ht="14.95" customHeight="1" thickBot="1" x14ac:dyDescent="0.3">
      <c r="A21" s="326" t="s">
        <v>208</v>
      </c>
      <c r="B21" s="327">
        <v>0</v>
      </c>
      <c r="C21" s="328">
        <v>0</v>
      </c>
      <c r="D21" s="329">
        <f t="shared" ref="D21:D28" si="7">SUM(B21:C21)</f>
        <v>0</v>
      </c>
      <c r="E21" s="126" t="s">
        <v>208</v>
      </c>
      <c r="F21" s="315">
        <v>0</v>
      </c>
      <c r="G21" s="335">
        <v>0</v>
      </c>
      <c r="H21" s="319">
        <f t="shared" ref="H21:H28" si="8">SUM(F21:G21)</f>
        <v>0</v>
      </c>
    </row>
    <row r="22" spans="1:8" ht="14.95" customHeight="1" thickBot="1" x14ac:dyDescent="0.3">
      <c r="A22" s="326" t="s">
        <v>881</v>
      </c>
      <c r="B22" s="327">
        <v>0</v>
      </c>
      <c r="C22" s="328">
        <v>0</v>
      </c>
      <c r="D22" s="329">
        <f t="shared" si="7"/>
        <v>0</v>
      </c>
      <c r="E22" s="126" t="s">
        <v>881</v>
      </c>
      <c r="F22" s="315">
        <v>0</v>
      </c>
      <c r="G22" s="335">
        <v>0</v>
      </c>
      <c r="H22" s="319">
        <f t="shared" si="8"/>
        <v>0</v>
      </c>
    </row>
    <row r="23" spans="1:8" ht="14.95" customHeight="1" thickBot="1" x14ac:dyDescent="0.3">
      <c r="A23" s="326" t="s">
        <v>820</v>
      </c>
      <c r="B23" s="327">
        <v>0</v>
      </c>
      <c r="C23" s="328">
        <v>0</v>
      </c>
      <c r="D23" s="329">
        <f t="shared" si="7"/>
        <v>0</v>
      </c>
      <c r="E23" s="126" t="s">
        <v>820</v>
      </c>
      <c r="F23" s="315">
        <v>0</v>
      </c>
      <c r="G23" s="335">
        <v>0</v>
      </c>
      <c r="H23" s="319">
        <f t="shared" si="8"/>
        <v>0</v>
      </c>
    </row>
    <row r="24" spans="1:8" ht="14.95" customHeight="1" thickBot="1" x14ac:dyDescent="0.3">
      <c r="A24" s="326" t="s">
        <v>814</v>
      </c>
      <c r="B24" s="327">
        <v>0</v>
      </c>
      <c r="C24" s="328">
        <v>0</v>
      </c>
      <c r="D24" s="329">
        <f t="shared" si="7"/>
        <v>0</v>
      </c>
      <c r="E24" s="126" t="s">
        <v>814</v>
      </c>
      <c r="F24" s="315">
        <v>0</v>
      </c>
      <c r="G24" s="335">
        <v>0</v>
      </c>
      <c r="H24" s="319">
        <f t="shared" si="8"/>
        <v>0</v>
      </c>
    </row>
    <row r="25" spans="1:8" ht="14.95" customHeight="1" thickBot="1" x14ac:dyDescent="0.3">
      <c r="A25" s="326" t="s">
        <v>815</v>
      </c>
      <c r="B25" s="327">
        <v>0</v>
      </c>
      <c r="C25" s="328">
        <v>0</v>
      </c>
      <c r="D25" s="329">
        <f t="shared" si="7"/>
        <v>0</v>
      </c>
      <c r="E25" s="126" t="s">
        <v>815</v>
      </c>
      <c r="F25" s="315">
        <v>0</v>
      </c>
      <c r="G25" s="335">
        <v>0</v>
      </c>
      <c r="H25" s="319">
        <f t="shared" si="8"/>
        <v>0</v>
      </c>
    </row>
    <row r="26" spans="1:8" ht="14.95" customHeight="1" thickBot="1" x14ac:dyDescent="0.3">
      <c r="A26" s="326" t="s">
        <v>821</v>
      </c>
      <c r="B26" s="327">
        <v>0</v>
      </c>
      <c r="C26" s="328">
        <v>0</v>
      </c>
      <c r="D26" s="329">
        <f t="shared" si="7"/>
        <v>0</v>
      </c>
      <c r="E26" s="126" t="s">
        <v>821</v>
      </c>
      <c r="F26" s="315">
        <v>0</v>
      </c>
      <c r="G26" s="335">
        <v>0</v>
      </c>
      <c r="H26" s="319">
        <f t="shared" si="8"/>
        <v>0</v>
      </c>
    </row>
    <row r="27" spans="1:8" ht="14.95" customHeight="1" thickBot="1" x14ac:dyDescent="0.3">
      <c r="A27" s="326" t="s">
        <v>830</v>
      </c>
      <c r="B27" s="327">
        <v>0</v>
      </c>
      <c r="C27" s="328">
        <v>0</v>
      </c>
      <c r="D27" s="329">
        <f t="shared" si="7"/>
        <v>0</v>
      </c>
      <c r="E27" s="126" t="s">
        <v>830</v>
      </c>
      <c r="F27" s="315">
        <v>0</v>
      </c>
      <c r="G27" s="335">
        <v>0</v>
      </c>
      <c r="H27" s="319">
        <f t="shared" si="8"/>
        <v>0</v>
      </c>
    </row>
    <row r="28" spans="1:8" ht="14.95" customHeight="1" thickBot="1" x14ac:dyDescent="0.3">
      <c r="A28" s="326" t="s">
        <v>810</v>
      </c>
      <c r="B28" s="327">
        <v>0</v>
      </c>
      <c r="C28" s="328">
        <v>0</v>
      </c>
      <c r="D28" s="329">
        <f t="shared" si="7"/>
        <v>0</v>
      </c>
      <c r="E28" s="126" t="s">
        <v>810</v>
      </c>
      <c r="F28" s="315">
        <v>0</v>
      </c>
      <c r="G28" s="335">
        <v>0</v>
      </c>
      <c r="H28" s="319">
        <f t="shared" si="8"/>
        <v>0</v>
      </c>
    </row>
    <row r="29" spans="1:8" ht="14.95" customHeight="1" thickBot="1" x14ac:dyDescent="0.3">
      <c r="A29" s="326" t="s">
        <v>882</v>
      </c>
      <c r="B29" s="327">
        <v>0</v>
      </c>
      <c r="C29" s="328">
        <v>0</v>
      </c>
      <c r="D29" s="329">
        <f t="shared" si="0"/>
        <v>0</v>
      </c>
      <c r="E29" s="126" t="s">
        <v>882</v>
      </c>
      <c r="F29" s="315">
        <v>0</v>
      </c>
      <c r="G29" s="335">
        <v>0</v>
      </c>
      <c r="H29" s="319">
        <f t="shared" si="1"/>
        <v>0</v>
      </c>
    </row>
    <row r="30" spans="1:8" ht="14.95" customHeight="1" thickBot="1" x14ac:dyDescent="0.3">
      <c r="A30" s="326" t="s">
        <v>819</v>
      </c>
      <c r="B30" s="327">
        <v>0</v>
      </c>
      <c r="C30" s="328">
        <v>0</v>
      </c>
      <c r="D30" s="329">
        <f t="shared" si="0"/>
        <v>0</v>
      </c>
      <c r="E30" s="126" t="s">
        <v>819</v>
      </c>
      <c r="F30" s="315">
        <v>0</v>
      </c>
      <c r="G30" s="335">
        <v>0</v>
      </c>
      <c r="H30" s="319">
        <f t="shared" si="1"/>
        <v>0</v>
      </c>
    </row>
    <row r="31" spans="1:8" ht="14.95" customHeight="1" thickBot="1" x14ac:dyDescent="0.3">
      <c r="A31" s="326" t="s">
        <v>3</v>
      </c>
      <c r="B31" s="327">
        <f>SUM(B3:B30)</f>
        <v>0</v>
      </c>
      <c r="C31" s="328">
        <f>SUM(C3:C30)</f>
        <v>0</v>
      </c>
      <c r="D31" s="329">
        <f t="shared" si="0"/>
        <v>0</v>
      </c>
      <c r="E31" s="127" t="s">
        <v>3</v>
      </c>
      <c r="F31" s="316">
        <f>SUM(F3:F30)</f>
        <v>0</v>
      </c>
      <c r="G31" s="334">
        <f>SUM(G3:G30)</f>
        <v>0</v>
      </c>
      <c r="H31" s="318">
        <f t="shared" si="1"/>
        <v>0</v>
      </c>
    </row>
    <row r="32" spans="1:8" ht="14.95" customHeight="1" x14ac:dyDescent="0.25">
      <c r="C32" s="50"/>
      <c r="E32" s="3"/>
      <c r="F32" s="3"/>
      <c r="G32" s="51"/>
      <c r="H32" s="3"/>
    </row>
    <row r="33" spans="1:8" ht="14.95" customHeight="1" thickBot="1" x14ac:dyDescent="0.3">
      <c r="A33" t="s">
        <v>7</v>
      </c>
      <c r="C33" s="50"/>
      <c r="E33" s="3"/>
      <c r="F33" s="3"/>
      <c r="G33" s="51"/>
      <c r="H33" s="3"/>
    </row>
    <row r="34" spans="1:8" ht="14.95" customHeight="1" thickBot="1" x14ac:dyDescent="0.3">
      <c r="A34" s="323" t="s">
        <v>0</v>
      </c>
      <c r="B34" s="324" t="s">
        <v>720</v>
      </c>
      <c r="C34" s="324" t="s">
        <v>11</v>
      </c>
      <c r="D34" s="325" t="s">
        <v>1</v>
      </c>
      <c r="E34" s="122" t="s">
        <v>2</v>
      </c>
      <c r="F34" s="314" t="s">
        <v>720</v>
      </c>
      <c r="G34" s="334" t="s">
        <v>11</v>
      </c>
      <c r="H34" s="318" t="s">
        <v>1</v>
      </c>
    </row>
    <row r="35" spans="1:8" ht="14.95" customHeight="1" thickBot="1" x14ac:dyDescent="0.3">
      <c r="A35" s="326" t="s">
        <v>811</v>
      </c>
      <c r="B35" s="327">
        <v>0</v>
      </c>
      <c r="C35" s="328">
        <v>4</v>
      </c>
      <c r="D35" s="329">
        <f t="shared" ref="D35:D62" si="9">SUM(B35:C35)</f>
        <v>4</v>
      </c>
      <c r="E35" s="124" t="s">
        <v>811</v>
      </c>
      <c r="F35" s="315">
        <v>0</v>
      </c>
      <c r="G35" s="335">
        <v>20</v>
      </c>
      <c r="H35" s="319">
        <f t="shared" ref="H35:H62" si="10">SUM(F35:G35)</f>
        <v>20</v>
      </c>
    </row>
    <row r="36" spans="1:8" ht="14.95" customHeight="1" thickBot="1" x14ac:dyDescent="0.3">
      <c r="A36" s="326" t="s">
        <v>812</v>
      </c>
      <c r="B36" s="327">
        <v>0</v>
      </c>
      <c r="C36" s="328">
        <v>3</v>
      </c>
      <c r="D36" s="329">
        <f t="shared" si="9"/>
        <v>3</v>
      </c>
      <c r="E36" s="124" t="s">
        <v>809</v>
      </c>
      <c r="F36" s="315">
        <v>9</v>
      </c>
      <c r="G36" s="335">
        <v>8</v>
      </c>
      <c r="H36" s="319">
        <f t="shared" si="10"/>
        <v>17</v>
      </c>
    </row>
    <row r="37" spans="1:8" ht="14.95" customHeight="1" thickBot="1" x14ac:dyDescent="0.3">
      <c r="A37" s="326" t="s">
        <v>829</v>
      </c>
      <c r="B37" s="327">
        <v>0</v>
      </c>
      <c r="C37" s="328">
        <v>2</v>
      </c>
      <c r="D37" s="329">
        <f t="shared" si="9"/>
        <v>2</v>
      </c>
      <c r="E37" s="124" t="s">
        <v>812</v>
      </c>
      <c r="F37" s="315">
        <v>0</v>
      </c>
      <c r="G37" s="335">
        <v>15</v>
      </c>
      <c r="H37" s="319">
        <f t="shared" si="10"/>
        <v>15</v>
      </c>
    </row>
    <row r="38" spans="1:8" ht="14.95" customHeight="1" thickBot="1" x14ac:dyDescent="0.3">
      <c r="A38" s="326" t="s">
        <v>880</v>
      </c>
      <c r="B38" s="327">
        <v>0</v>
      </c>
      <c r="C38" s="328">
        <v>1</v>
      </c>
      <c r="D38" s="329">
        <f t="shared" si="9"/>
        <v>1</v>
      </c>
      <c r="E38" s="126" t="s">
        <v>829</v>
      </c>
      <c r="F38" s="315">
        <v>0</v>
      </c>
      <c r="G38" s="335">
        <v>10</v>
      </c>
      <c r="H38" s="319">
        <f t="shared" si="10"/>
        <v>10</v>
      </c>
    </row>
    <row r="39" spans="1:8" ht="14.95" customHeight="1" thickBot="1" x14ac:dyDescent="0.3">
      <c r="A39" s="326" t="s">
        <v>818</v>
      </c>
      <c r="B39" s="327">
        <v>0</v>
      </c>
      <c r="C39" s="328">
        <v>1</v>
      </c>
      <c r="D39" s="329">
        <f t="shared" si="9"/>
        <v>1</v>
      </c>
      <c r="E39" s="126" t="s">
        <v>810</v>
      </c>
      <c r="F39" s="315">
        <v>0</v>
      </c>
      <c r="G39" s="335">
        <v>7</v>
      </c>
      <c r="H39" s="319">
        <f t="shared" si="10"/>
        <v>7</v>
      </c>
    </row>
    <row r="40" spans="1:8" ht="14.95" customHeight="1" thickBot="1" x14ac:dyDescent="0.3">
      <c r="A40" s="326" t="s">
        <v>828</v>
      </c>
      <c r="B40" s="327">
        <v>0</v>
      </c>
      <c r="C40" s="328">
        <v>1</v>
      </c>
      <c r="D40" s="329">
        <f t="shared" si="9"/>
        <v>1</v>
      </c>
      <c r="E40" s="126" t="s">
        <v>880</v>
      </c>
      <c r="F40" s="315">
        <v>0</v>
      </c>
      <c r="G40" s="335">
        <v>5</v>
      </c>
      <c r="H40" s="319">
        <f t="shared" si="10"/>
        <v>5</v>
      </c>
    </row>
    <row r="41" spans="1:8" ht="14.95" thickBot="1" x14ac:dyDescent="0.3">
      <c r="A41" s="326" t="s">
        <v>824</v>
      </c>
      <c r="B41" s="327">
        <v>0</v>
      </c>
      <c r="C41" s="328">
        <v>1</v>
      </c>
      <c r="D41" s="329">
        <f t="shared" si="9"/>
        <v>1</v>
      </c>
      <c r="E41" s="126" t="s">
        <v>818</v>
      </c>
      <c r="F41" s="315">
        <v>0</v>
      </c>
      <c r="G41" s="335">
        <v>5</v>
      </c>
      <c r="H41" s="319">
        <f t="shared" si="10"/>
        <v>5</v>
      </c>
    </row>
    <row r="42" spans="1:8" ht="14.95" thickBot="1" x14ac:dyDescent="0.3">
      <c r="A42" s="326" t="s">
        <v>885</v>
      </c>
      <c r="B42" s="327">
        <v>0</v>
      </c>
      <c r="C42" s="328">
        <v>1</v>
      </c>
      <c r="D42" s="329">
        <f t="shared" si="9"/>
        <v>1</v>
      </c>
      <c r="E42" s="126" t="s">
        <v>828</v>
      </c>
      <c r="F42" s="315">
        <v>0</v>
      </c>
      <c r="G42" s="335">
        <v>5</v>
      </c>
      <c r="H42" s="319">
        <f t="shared" si="10"/>
        <v>5</v>
      </c>
    </row>
    <row r="43" spans="1:8" ht="14.95" thickBot="1" x14ac:dyDescent="0.3">
      <c r="A43" s="326" t="s">
        <v>823</v>
      </c>
      <c r="B43" s="327">
        <v>0</v>
      </c>
      <c r="C43" s="328">
        <v>1</v>
      </c>
      <c r="D43" s="329">
        <f t="shared" si="9"/>
        <v>1</v>
      </c>
      <c r="E43" s="126" t="s">
        <v>824</v>
      </c>
      <c r="F43" s="315">
        <v>0</v>
      </c>
      <c r="G43" s="335">
        <v>5</v>
      </c>
      <c r="H43" s="319">
        <f t="shared" si="10"/>
        <v>5</v>
      </c>
    </row>
    <row r="44" spans="1:8" ht="14.95" thickBot="1" x14ac:dyDescent="0.3">
      <c r="A44" s="326" t="s">
        <v>822</v>
      </c>
      <c r="B44" s="327">
        <v>0</v>
      </c>
      <c r="C44" s="328">
        <v>1</v>
      </c>
      <c r="D44" s="329">
        <f t="shared" si="9"/>
        <v>1</v>
      </c>
      <c r="E44" s="126" t="s">
        <v>885</v>
      </c>
      <c r="F44" s="315">
        <v>0</v>
      </c>
      <c r="G44" s="335">
        <v>5</v>
      </c>
      <c r="H44" s="319">
        <f t="shared" si="10"/>
        <v>5</v>
      </c>
    </row>
    <row r="45" spans="1:8" ht="14.95" thickBot="1" x14ac:dyDescent="0.3">
      <c r="A45" s="326" t="s">
        <v>881</v>
      </c>
      <c r="B45" s="327">
        <v>0</v>
      </c>
      <c r="C45" s="328">
        <v>1</v>
      </c>
      <c r="D45" s="329">
        <f t="shared" si="9"/>
        <v>1</v>
      </c>
      <c r="E45" s="126" t="s">
        <v>823</v>
      </c>
      <c r="F45" s="315">
        <v>0</v>
      </c>
      <c r="G45" s="335">
        <v>5</v>
      </c>
      <c r="H45" s="319">
        <f t="shared" si="10"/>
        <v>5</v>
      </c>
    </row>
    <row r="46" spans="1:8" ht="14.95" thickBot="1" x14ac:dyDescent="0.3">
      <c r="A46" s="326" t="s">
        <v>820</v>
      </c>
      <c r="B46" s="327">
        <v>0</v>
      </c>
      <c r="C46" s="328">
        <v>1</v>
      </c>
      <c r="D46" s="329">
        <f t="shared" si="9"/>
        <v>1</v>
      </c>
      <c r="E46" s="126" t="s">
        <v>822</v>
      </c>
      <c r="F46" s="315">
        <v>0</v>
      </c>
      <c r="G46" s="335">
        <v>5</v>
      </c>
      <c r="H46" s="319">
        <f t="shared" si="10"/>
        <v>5</v>
      </c>
    </row>
    <row r="47" spans="1:8" ht="14.95" thickBot="1" x14ac:dyDescent="0.3">
      <c r="A47" s="326" t="s">
        <v>815</v>
      </c>
      <c r="B47" s="327">
        <v>1</v>
      </c>
      <c r="C47" s="328">
        <v>0</v>
      </c>
      <c r="D47" s="329">
        <f t="shared" si="9"/>
        <v>1</v>
      </c>
      <c r="E47" s="126" t="s">
        <v>881</v>
      </c>
      <c r="F47" s="315">
        <v>0</v>
      </c>
      <c r="G47" s="335">
        <v>5</v>
      </c>
      <c r="H47" s="319">
        <f t="shared" si="10"/>
        <v>5</v>
      </c>
    </row>
    <row r="48" spans="1:8" ht="14.95" thickBot="1" x14ac:dyDescent="0.3">
      <c r="A48" s="326" t="s">
        <v>810</v>
      </c>
      <c r="B48" s="327">
        <v>0</v>
      </c>
      <c r="C48" s="328">
        <v>1</v>
      </c>
      <c r="D48" s="329">
        <f t="shared" si="9"/>
        <v>1</v>
      </c>
      <c r="E48" s="126" t="s">
        <v>820</v>
      </c>
      <c r="F48" s="315">
        <v>0</v>
      </c>
      <c r="G48" s="335">
        <v>5</v>
      </c>
      <c r="H48" s="319">
        <f t="shared" si="10"/>
        <v>5</v>
      </c>
    </row>
    <row r="49" spans="1:8" ht="14.95" thickBot="1" x14ac:dyDescent="0.3">
      <c r="A49" s="326" t="s">
        <v>819</v>
      </c>
      <c r="B49" s="327">
        <v>0</v>
      </c>
      <c r="C49" s="328">
        <v>1</v>
      </c>
      <c r="D49" s="329">
        <f t="shared" si="9"/>
        <v>1</v>
      </c>
      <c r="E49" s="126" t="s">
        <v>815</v>
      </c>
      <c r="F49" s="315">
        <v>5</v>
      </c>
      <c r="G49" s="335">
        <v>0</v>
      </c>
      <c r="H49" s="319">
        <f t="shared" si="10"/>
        <v>5</v>
      </c>
    </row>
    <row r="50" spans="1:8" ht="14.95" thickBot="1" x14ac:dyDescent="0.3">
      <c r="A50" s="326" t="s">
        <v>827</v>
      </c>
      <c r="B50" s="327">
        <v>0</v>
      </c>
      <c r="C50" s="328">
        <v>0</v>
      </c>
      <c r="D50" s="329">
        <f t="shared" si="9"/>
        <v>0</v>
      </c>
      <c r="E50" s="126" t="s">
        <v>819</v>
      </c>
      <c r="F50" s="315">
        <v>0</v>
      </c>
      <c r="G50" s="335">
        <v>5</v>
      </c>
      <c r="H50" s="319">
        <f t="shared" si="10"/>
        <v>5</v>
      </c>
    </row>
    <row r="51" spans="1:8" ht="14.95" thickBot="1" x14ac:dyDescent="0.3">
      <c r="A51" s="326" t="s">
        <v>816</v>
      </c>
      <c r="B51" s="327">
        <v>0</v>
      </c>
      <c r="C51" s="328">
        <v>0</v>
      </c>
      <c r="D51" s="329">
        <f t="shared" si="9"/>
        <v>0</v>
      </c>
      <c r="E51" s="126" t="s">
        <v>882</v>
      </c>
      <c r="F51" s="315">
        <v>0</v>
      </c>
      <c r="G51" s="335">
        <v>4</v>
      </c>
      <c r="H51" s="319">
        <f t="shared" si="10"/>
        <v>4</v>
      </c>
    </row>
    <row r="52" spans="1:8" ht="14.95" thickBot="1" x14ac:dyDescent="0.3">
      <c r="A52" s="326" t="s">
        <v>825</v>
      </c>
      <c r="B52" s="327">
        <v>0</v>
      </c>
      <c r="C52" s="328">
        <v>0</v>
      </c>
      <c r="D52" s="329">
        <f t="shared" si="9"/>
        <v>0</v>
      </c>
      <c r="E52" s="126" t="s">
        <v>864</v>
      </c>
      <c r="F52" s="315">
        <v>0</v>
      </c>
      <c r="G52" s="335">
        <v>2</v>
      </c>
      <c r="H52" s="319">
        <f t="shared" si="10"/>
        <v>2</v>
      </c>
    </row>
    <row r="53" spans="1:8" ht="14.95" thickBot="1" x14ac:dyDescent="0.3">
      <c r="A53" s="326" t="s">
        <v>813</v>
      </c>
      <c r="B53" s="327">
        <v>0</v>
      </c>
      <c r="C53" s="328">
        <v>0</v>
      </c>
      <c r="D53" s="329">
        <f t="shared" si="9"/>
        <v>0</v>
      </c>
      <c r="E53" s="126" t="s">
        <v>827</v>
      </c>
      <c r="F53" s="315">
        <v>0</v>
      </c>
      <c r="G53" s="335">
        <v>0</v>
      </c>
      <c r="H53" s="319">
        <f t="shared" si="10"/>
        <v>0</v>
      </c>
    </row>
    <row r="54" spans="1:8" ht="14.95" thickBot="1" x14ac:dyDescent="0.3">
      <c r="A54" s="326" t="s">
        <v>864</v>
      </c>
      <c r="B54" s="327">
        <v>0</v>
      </c>
      <c r="C54" s="328">
        <v>0</v>
      </c>
      <c r="D54" s="329">
        <f t="shared" si="9"/>
        <v>0</v>
      </c>
      <c r="E54" s="126" t="s">
        <v>816</v>
      </c>
      <c r="F54" s="315">
        <v>0</v>
      </c>
      <c r="G54" s="335">
        <v>0</v>
      </c>
      <c r="H54" s="319">
        <f t="shared" si="10"/>
        <v>0</v>
      </c>
    </row>
    <row r="55" spans="1:8" ht="14.95" thickBot="1" x14ac:dyDescent="0.3">
      <c r="A55" s="326" t="s">
        <v>809</v>
      </c>
      <c r="B55" s="327">
        <v>0</v>
      </c>
      <c r="C55" s="328">
        <v>0</v>
      </c>
      <c r="D55" s="329">
        <f t="shared" si="9"/>
        <v>0</v>
      </c>
      <c r="E55" s="126" t="s">
        <v>825</v>
      </c>
      <c r="F55" s="315">
        <v>0</v>
      </c>
      <c r="G55" s="335">
        <v>0</v>
      </c>
      <c r="H55" s="319">
        <f t="shared" si="10"/>
        <v>0</v>
      </c>
    </row>
    <row r="56" spans="1:8" ht="14.95" thickBot="1" x14ac:dyDescent="0.3">
      <c r="A56" s="326" t="s">
        <v>817</v>
      </c>
      <c r="B56" s="327">
        <v>0</v>
      </c>
      <c r="C56" s="328">
        <v>0</v>
      </c>
      <c r="D56" s="329">
        <f t="shared" si="9"/>
        <v>0</v>
      </c>
      <c r="E56" s="126" t="s">
        <v>813</v>
      </c>
      <c r="F56" s="315">
        <v>0</v>
      </c>
      <c r="G56" s="335">
        <v>0</v>
      </c>
      <c r="H56" s="319">
        <f t="shared" si="10"/>
        <v>0</v>
      </c>
    </row>
    <row r="57" spans="1:8" ht="14.95" thickBot="1" x14ac:dyDescent="0.3">
      <c r="A57" s="326" t="s">
        <v>826</v>
      </c>
      <c r="B57" s="327">
        <v>0</v>
      </c>
      <c r="C57" s="328">
        <v>0</v>
      </c>
      <c r="D57" s="329">
        <f t="shared" si="9"/>
        <v>0</v>
      </c>
      <c r="E57" s="126" t="s">
        <v>817</v>
      </c>
      <c r="F57" s="315">
        <v>0</v>
      </c>
      <c r="G57" s="335">
        <v>0</v>
      </c>
      <c r="H57" s="319">
        <f t="shared" si="10"/>
        <v>0</v>
      </c>
    </row>
    <row r="58" spans="1:8" ht="14.95" thickBot="1" x14ac:dyDescent="0.3">
      <c r="A58" s="326" t="s">
        <v>208</v>
      </c>
      <c r="B58" s="327">
        <v>0</v>
      </c>
      <c r="C58" s="328">
        <v>0</v>
      </c>
      <c r="D58" s="329">
        <f t="shared" si="9"/>
        <v>0</v>
      </c>
      <c r="E58" s="126" t="s">
        <v>826</v>
      </c>
      <c r="F58" s="315">
        <v>0</v>
      </c>
      <c r="G58" s="335">
        <v>0</v>
      </c>
      <c r="H58" s="319">
        <f t="shared" si="10"/>
        <v>0</v>
      </c>
    </row>
    <row r="59" spans="1:8" ht="14.95" thickBot="1" x14ac:dyDescent="0.3">
      <c r="A59" s="326" t="s">
        <v>814</v>
      </c>
      <c r="B59" s="327">
        <v>0</v>
      </c>
      <c r="C59" s="328">
        <v>0</v>
      </c>
      <c r="D59" s="329">
        <f t="shared" si="9"/>
        <v>0</v>
      </c>
      <c r="E59" s="126" t="s">
        <v>208</v>
      </c>
      <c r="F59" s="315">
        <v>0</v>
      </c>
      <c r="G59" s="335">
        <v>0</v>
      </c>
      <c r="H59" s="319">
        <f t="shared" si="10"/>
        <v>0</v>
      </c>
    </row>
    <row r="60" spans="1:8" ht="14.95" thickBot="1" x14ac:dyDescent="0.3">
      <c r="A60" s="326" t="s">
        <v>821</v>
      </c>
      <c r="B60" s="327">
        <v>0</v>
      </c>
      <c r="C60" s="328">
        <v>0</v>
      </c>
      <c r="D60" s="329">
        <f t="shared" si="9"/>
        <v>0</v>
      </c>
      <c r="E60" s="126" t="s">
        <v>814</v>
      </c>
      <c r="F60" s="315">
        <v>0</v>
      </c>
      <c r="G60" s="335">
        <v>0</v>
      </c>
      <c r="H60" s="319">
        <f t="shared" si="10"/>
        <v>0</v>
      </c>
    </row>
    <row r="61" spans="1:8" ht="14.95" thickBot="1" x14ac:dyDescent="0.3">
      <c r="A61" s="326" t="s">
        <v>830</v>
      </c>
      <c r="B61" s="327">
        <v>0</v>
      </c>
      <c r="C61" s="328">
        <v>0</v>
      </c>
      <c r="D61" s="329">
        <f t="shared" si="9"/>
        <v>0</v>
      </c>
      <c r="E61" s="126" t="s">
        <v>821</v>
      </c>
      <c r="F61" s="315">
        <v>0</v>
      </c>
      <c r="G61" s="335">
        <v>0</v>
      </c>
      <c r="H61" s="319">
        <f t="shared" si="10"/>
        <v>0</v>
      </c>
    </row>
    <row r="62" spans="1:8" ht="14.95" thickBot="1" x14ac:dyDescent="0.3">
      <c r="A62" s="326" t="s">
        <v>882</v>
      </c>
      <c r="B62" s="327">
        <v>0</v>
      </c>
      <c r="C62" s="328">
        <v>0</v>
      </c>
      <c r="D62" s="329">
        <f t="shared" si="9"/>
        <v>0</v>
      </c>
      <c r="E62" s="126" t="s">
        <v>830</v>
      </c>
      <c r="F62" s="315">
        <v>0</v>
      </c>
      <c r="G62" s="335">
        <v>0</v>
      </c>
      <c r="H62" s="319">
        <f t="shared" si="10"/>
        <v>0</v>
      </c>
    </row>
    <row r="63" spans="1:8" ht="14.95" thickBot="1" x14ac:dyDescent="0.3">
      <c r="A63" s="326" t="s">
        <v>3</v>
      </c>
      <c r="B63" s="327">
        <f>SUM(B35:B62)</f>
        <v>1</v>
      </c>
      <c r="C63" s="328">
        <f>SUM(C35:C62)</f>
        <v>20</v>
      </c>
      <c r="D63" s="329">
        <f t="shared" ref="D63" si="11">SUM(B63:C63)</f>
        <v>21</v>
      </c>
      <c r="E63" s="127" t="s">
        <v>3</v>
      </c>
      <c r="F63" s="316">
        <f>SUM(F35:F62)</f>
        <v>14</v>
      </c>
      <c r="G63" s="334">
        <f>SUM(G35:G62)</f>
        <v>116</v>
      </c>
      <c r="H63" s="318">
        <f t="shared" ref="H63" si="12">SUM(F63:G63)</f>
        <v>130</v>
      </c>
    </row>
    <row r="64" spans="1:8" ht="16.3" x14ac:dyDescent="0.3">
      <c r="A64" s="524" t="s">
        <v>10</v>
      </c>
      <c r="B64" s="524"/>
      <c r="C64" s="525"/>
    </row>
  </sheetData>
  <sortState xmlns:xlrd2="http://schemas.microsoft.com/office/spreadsheetml/2017/richdata2" ref="E35:H62">
    <sortCondition descending="1" ref="H35:H62"/>
  </sortState>
  <mergeCells count="8">
    <mergeCell ref="P1:P2"/>
    <mergeCell ref="I9:I10"/>
    <mergeCell ref="J9:L10"/>
    <mergeCell ref="A64:C64"/>
    <mergeCell ref="A1:H1"/>
    <mergeCell ref="I1:I2"/>
    <mergeCell ref="J1:L2"/>
    <mergeCell ref="M1:O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577D-2580-4A0F-9EEF-2FC6E51A3462}">
  <dimension ref="A1:AF90"/>
  <sheetViews>
    <sheetView workbookViewId="0">
      <selection activeCell="B30" sqref="B30"/>
    </sheetView>
  </sheetViews>
  <sheetFormatPr defaultRowHeight="14.3" x14ac:dyDescent="0.25"/>
  <cols>
    <col min="1" max="1" width="16.5" customWidth="1"/>
    <col min="2" max="2" width="4.5" customWidth="1"/>
    <col min="3" max="3" width="4.875" customWidth="1"/>
    <col min="4" max="5" width="4.5" customWidth="1"/>
    <col min="6" max="6" width="16.5" customWidth="1"/>
    <col min="7" max="7" width="4.5" customWidth="1"/>
    <col min="8" max="8" width="4.875" customWidth="1"/>
    <col min="9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7" thickBot="1" x14ac:dyDescent="0.3">
      <c r="A1" s="541" t="s">
        <v>996</v>
      </c>
      <c r="B1" s="542"/>
      <c r="C1" s="542"/>
      <c r="D1" s="542"/>
      <c r="E1" s="542"/>
      <c r="F1" s="542"/>
      <c r="G1" s="542"/>
      <c r="H1" s="542"/>
      <c r="I1" s="542"/>
      <c r="J1" s="543"/>
      <c r="K1" s="544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246" t="s">
        <v>0</v>
      </c>
      <c r="B2" s="637" t="s">
        <v>223</v>
      </c>
      <c r="C2" s="492" t="s">
        <v>500</v>
      </c>
      <c r="D2" s="74" t="s">
        <v>11</v>
      </c>
      <c r="E2" s="176" t="s">
        <v>1</v>
      </c>
      <c r="F2" s="370" t="s">
        <v>2</v>
      </c>
      <c r="G2" s="172" t="s">
        <v>223</v>
      </c>
      <c r="H2" s="459" t="s">
        <v>500</v>
      </c>
      <c r="I2" s="70" t="s">
        <v>11</v>
      </c>
      <c r="J2" s="103" t="s">
        <v>1</v>
      </c>
      <c r="K2" s="545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AA2" s="519"/>
      <c r="AB2" s="520"/>
      <c r="AC2" s="521"/>
      <c r="AD2" s="519"/>
      <c r="AE2" s="520"/>
      <c r="AF2" s="521"/>
    </row>
    <row r="3" spans="1:32" ht="14.95" thickBot="1" x14ac:dyDescent="0.3">
      <c r="A3" s="166" t="s">
        <v>781</v>
      </c>
      <c r="B3" s="638">
        <v>0</v>
      </c>
      <c r="C3" s="493">
        <v>0</v>
      </c>
      <c r="D3" s="41">
        <v>0</v>
      </c>
      <c r="E3" s="168">
        <f t="shared" ref="E3:E44" si="0">SUM(B3:D3)</f>
        <v>0</v>
      </c>
      <c r="F3" s="18" t="s">
        <v>781</v>
      </c>
      <c r="G3" s="173">
        <v>0</v>
      </c>
      <c r="H3" s="231">
        <v>0</v>
      </c>
      <c r="I3" s="15">
        <v>0</v>
      </c>
      <c r="J3" s="104">
        <f t="shared" ref="J3:J44" si="1">SUM(G3:I3)</f>
        <v>0</v>
      </c>
      <c r="K3" s="167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166" t="s">
        <v>397</v>
      </c>
      <c r="B4" s="638">
        <v>0</v>
      </c>
      <c r="C4" s="493">
        <v>0</v>
      </c>
      <c r="D4" s="41">
        <v>0</v>
      </c>
      <c r="E4" s="168">
        <f t="shared" si="0"/>
        <v>0</v>
      </c>
      <c r="F4" s="18" t="s">
        <v>397</v>
      </c>
      <c r="G4" s="173">
        <v>0</v>
      </c>
      <c r="H4" s="231">
        <v>0</v>
      </c>
      <c r="I4" s="15">
        <v>0</v>
      </c>
      <c r="J4" s="104">
        <f t="shared" si="1"/>
        <v>0</v>
      </c>
      <c r="K4" s="166" t="s">
        <v>320</v>
      </c>
      <c r="L4" s="168" t="s">
        <v>8</v>
      </c>
      <c r="M4" s="168" t="s">
        <v>8</v>
      </c>
      <c r="N4" s="169" t="s">
        <v>8</v>
      </c>
      <c r="O4" s="168" t="s">
        <v>8</v>
      </c>
      <c r="P4" s="168" t="s">
        <v>8</v>
      </c>
      <c r="Q4" s="169" t="s">
        <v>8</v>
      </c>
      <c r="R4" s="376">
        <v>-1</v>
      </c>
      <c r="S4" s="59">
        <v>32</v>
      </c>
      <c r="T4" s="59">
        <v>44</v>
      </c>
      <c r="U4" s="117">
        <v>72.727272727272734</v>
      </c>
      <c r="V4" s="59">
        <v>11</v>
      </c>
      <c r="W4" s="59">
        <v>15</v>
      </c>
      <c r="X4" s="117">
        <f>SUM(V4/W4)*100</f>
        <v>73.333333333333329</v>
      </c>
      <c r="AA4" s="260">
        <v>33</v>
      </c>
      <c r="AB4" s="59">
        <v>44</v>
      </c>
      <c r="AC4" s="117">
        <f>SUM(AA4/AB4)*100</f>
        <v>75</v>
      </c>
      <c r="AD4" s="260">
        <v>19</v>
      </c>
      <c r="AE4" s="59">
        <v>31</v>
      </c>
      <c r="AF4" s="117">
        <f>SUM(AD4/AE4)*100</f>
        <v>61.29032258064516</v>
      </c>
    </row>
    <row r="5" spans="1:32" ht="14.95" thickBot="1" x14ac:dyDescent="0.3">
      <c r="A5" s="166" t="s">
        <v>307</v>
      </c>
      <c r="B5" s="638">
        <v>0</v>
      </c>
      <c r="C5" s="493">
        <v>0</v>
      </c>
      <c r="D5" s="41">
        <v>0</v>
      </c>
      <c r="E5" s="168">
        <f t="shared" si="0"/>
        <v>0</v>
      </c>
      <c r="F5" s="18" t="s">
        <v>307</v>
      </c>
      <c r="G5" s="173">
        <v>0</v>
      </c>
      <c r="H5" s="231">
        <v>0</v>
      </c>
      <c r="I5" s="15">
        <v>0</v>
      </c>
      <c r="J5" s="104">
        <f t="shared" si="1"/>
        <v>0</v>
      </c>
      <c r="K5" s="166" t="s">
        <v>150</v>
      </c>
      <c r="L5" s="168">
        <v>3</v>
      </c>
      <c r="M5" s="168">
        <v>5</v>
      </c>
      <c r="N5" s="169">
        <v>33.333333333333329</v>
      </c>
      <c r="O5" s="168">
        <v>1</v>
      </c>
      <c r="P5" s="168">
        <v>1</v>
      </c>
      <c r="Q5" s="169">
        <v>33.333333333333329</v>
      </c>
      <c r="R5" s="376">
        <v>2</v>
      </c>
      <c r="S5" s="59" t="s">
        <v>8</v>
      </c>
      <c r="T5" s="59" t="s">
        <v>8</v>
      </c>
      <c r="U5" s="117" t="s">
        <v>8</v>
      </c>
      <c r="V5" s="59">
        <v>0</v>
      </c>
      <c r="W5" s="59">
        <v>1</v>
      </c>
      <c r="X5" s="117">
        <f>SUM(V5/W5)*100</f>
        <v>0</v>
      </c>
      <c r="AA5" s="260" t="s">
        <v>8</v>
      </c>
      <c r="AB5" s="59" t="s">
        <v>8</v>
      </c>
      <c r="AC5" s="117" t="s">
        <v>8</v>
      </c>
      <c r="AD5" s="260" t="s">
        <v>8</v>
      </c>
      <c r="AE5" s="59" t="s">
        <v>8</v>
      </c>
      <c r="AF5" s="117" t="s">
        <v>8</v>
      </c>
    </row>
    <row r="6" spans="1:32" ht="14.95" thickBot="1" x14ac:dyDescent="0.3">
      <c r="A6" s="166" t="s">
        <v>1033</v>
      </c>
      <c r="B6" s="638">
        <v>1</v>
      </c>
      <c r="C6" s="493">
        <v>0</v>
      </c>
      <c r="D6" s="41">
        <v>0</v>
      </c>
      <c r="E6" s="168">
        <f t="shared" si="0"/>
        <v>1</v>
      </c>
      <c r="F6" s="17" t="s">
        <v>1033</v>
      </c>
      <c r="G6" s="173">
        <v>5</v>
      </c>
      <c r="H6" s="231">
        <v>0</v>
      </c>
      <c r="I6" s="15">
        <v>0</v>
      </c>
      <c r="J6" s="104">
        <f t="shared" si="1"/>
        <v>5</v>
      </c>
      <c r="K6" s="166" t="s">
        <v>151</v>
      </c>
      <c r="L6" s="168" t="s">
        <v>8</v>
      </c>
      <c r="M6" s="168" t="s">
        <v>8</v>
      </c>
      <c r="N6" s="169" t="s">
        <v>8</v>
      </c>
      <c r="O6" s="168" t="s">
        <v>8</v>
      </c>
      <c r="P6" s="168" t="s">
        <v>8</v>
      </c>
      <c r="Q6" s="169" t="s">
        <v>8</v>
      </c>
      <c r="R6" s="376">
        <v>2</v>
      </c>
      <c r="S6" s="59">
        <v>2</v>
      </c>
      <c r="T6" s="59">
        <v>2</v>
      </c>
      <c r="U6" s="117">
        <v>100</v>
      </c>
      <c r="V6" s="59" t="s">
        <v>8</v>
      </c>
      <c r="W6" s="59" t="s">
        <v>8</v>
      </c>
      <c r="X6" s="117" t="s">
        <v>8</v>
      </c>
      <c r="AA6" s="260" t="s">
        <v>8</v>
      </c>
      <c r="AB6" s="59" t="s">
        <v>8</v>
      </c>
      <c r="AC6" s="117" t="s">
        <v>8</v>
      </c>
      <c r="AD6" s="260" t="s">
        <v>8</v>
      </c>
      <c r="AE6" s="59" t="s">
        <v>8</v>
      </c>
      <c r="AF6" s="117" t="s">
        <v>8</v>
      </c>
    </row>
    <row r="7" spans="1:32" ht="15.8" customHeight="1" thickBot="1" x14ac:dyDescent="0.3">
      <c r="A7" s="166" t="s">
        <v>614</v>
      </c>
      <c r="B7" s="638">
        <v>0</v>
      </c>
      <c r="C7" s="493">
        <v>0</v>
      </c>
      <c r="D7" s="41">
        <v>0</v>
      </c>
      <c r="E7" s="168">
        <f t="shared" si="0"/>
        <v>0</v>
      </c>
      <c r="F7" s="17" t="s">
        <v>614</v>
      </c>
      <c r="G7" s="173">
        <v>0</v>
      </c>
      <c r="H7" s="231">
        <v>0</v>
      </c>
      <c r="I7" s="15">
        <v>0</v>
      </c>
      <c r="J7" s="104">
        <f t="shared" si="1"/>
        <v>0</v>
      </c>
      <c r="K7" s="166" t="s">
        <v>313</v>
      </c>
      <c r="L7" s="168" t="s">
        <v>8</v>
      </c>
      <c r="M7" s="168" t="s">
        <v>8</v>
      </c>
      <c r="N7" s="169" t="s">
        <v>8</v>
      </c>
      <c r="O7" s="168" t="s">
        <v>8</v>
      </c>
      <c r="P7" s="168" t="s">
        <v>8</v>
      </c>
      <c r="Q7" s="169" t="s">
        <v>8</v>
      </c>
      <c r="R7" s="376">
        <v>-2</v>
      </c>
      <c r="S7" s="59">
        <v>17</v>
      </c>
      <c r="T7" s="59">
        <v>30</v>
      </c>
      <c r="U7" s="117">
        <v>56.666666666666664</v>
      </c>
      <c r="V7" s="59" t="s">
        <v>8</v>
      </c>
      <c r="W7" s="59" t="s">
        <v>8</v>
      </c>
      <c r="X7" s="117" t="s">
        <v>8</v>
      </c>
      <c r="AA7" s="260" t="s">
        <v>8</v>
      </c>
      <c r="AB7" s="59" t="s">
        <v>8</v>
      </c>
      <c r="AC7" s="117" t="s">
        <v>8</v>
      </c>
      <c r="AD7" s="260" t="s">
        <v>8</v>
      </c>
      <c r="AE7" s="59" t="s">
        <v>8</v>
      </c>
      <c r="AF7" s="117" t="s">
        <v>8</v>
      </c>
    </row>
    <row r="8" spans="1:32" ht="15.8" customHeight="1" thickBot="1" x14ac:dyDescent="0.3">
      <c r="A8" s="166" t="s">
        <v>309</v>
      </c>
      <c r="B8" s="638">
        <v>0</v>
      </c>
      <c r="C8" s="493">
        <v>0</v>
      </c>
      <c r="D8" s="41">
        <v>0</v>
      </c>
      <c r="E8" s="168">
        <f t="shared" si="0"/>
        <v>0</v>
      </c>
      <c r="F8" s="17" t="s">
        <v>309</v>
      </c>
      <c r="G8" s="173">
        <v>0</v>
      </c>
      <c r="H8" s="231">
        <v>0</v>
      </c>
      <c r="I8" s="15">
        <v>0</v>
      </c>
      <c r="J8" s="104">
        <f t="shared" si="1"/>
        <v>0</v>
      </c>
      <c r="K8" s="166" t="s">
        <v>312</v>
      </c>
      <c r="L8" s="168" t="s">
        <v>8</v>
      </c>
      <c r="M8" s="168" t="s">
        <v>8</v>
      </c>
      <c r="N8" s="169" t="s">
        <v>8</v>
      </c>
      <c r="O8" s="168" t="s">
        <v>8</v>
      </c>
      <c r="P8" s="168" t="s">
        <v>8</v>
      </c>
      <c r="Q8" s="169" t="s">
        <v>8</v>
      </c>
      <c r="R8" s="376">
        <v>-1</v>
      </c>
      <c r="S8" s="59" t="s">
        <v>8</v>
      </c>
      <c r="T8" s="59" t="s">
        <v>8</v>
      </c>
      <c r="U8" s="117" t="s">
        <v>8</v>
      </c>
      <c r="V8" s="59" t="s">
        <v>8</v>
      </c>
      <c r="W8" s="59" t="s">
        <v>8</v>
      </c>
      <c r="X8" s="117" t="s">
        <v>8</v>
      </c>
      <c r="AA8" s="260">
        <v>2</v>
      </c>
      <c r="AB8" s="59">
        <v>3</v>
      </c>
      <c r="AC8" s="117">
        <f>SUM(AA8/AB8)*100</f>
        <v>66.666666666666657</v>
      </c>
      <c r="AD8" s="260" t="s">
        <v>8</v>
      </c>
      <c r="AE8" s="59" t="s">
        <v>8</v>
      </c>
      <c r="AF8" s="117" t="s">
        <v>8</v>
      </c>
    </row>
    <row r="9" spans="1:32" ht="14.95" thickBot="1" x14ac:dyDescent="0.3">
      <c r="A9" s="166" t="s">
        <v>857</v>
      </c>
      <c r="B9" s="638">
        <v>0</v>
      </c>
      <c r="C9" s="493">
        <v>0</v>
      </c>
      <c r="D9" s="41">
        <v>0</v>
      </c>
      <c r="E9" s="168">
        <f t="shared" si="0"/>
        <v>0</v>
      </c>
      <c r="F9" s="17" t="s">
        <v>857</v>
      </c>
      <c r="G9" s="173">
        <v>0</v>
      </c>
      <c r="H9" s="231">
        <v>0</v>
      </c>
      <c r="I9" s="15">
        <v>0</v>
      </c>
      <c r="J9" s="104">
        <f t="shared" si="1"/>
        <v>0</v>
      </c>
      <c r="K9" s="166" t="s">
        <v>308</v>
      </c>
      <c r="L9" s="168" t="s">
        <v>8</v>
      </c>
      <c r="M9" s="168" t="s">
        <v>8</v>
      </c>
      <c r="N9" s="169" t="s">
        <v>8</v>
      </c>
      <c r="O9" s="168" t="s">
        <v>8</v>
      </c>
      <c r="P9" s="168" t="s">
        <v>8</v>
      </c>
      <c r="Q9" s="169" t="s">
        <v>8</v>
      </c>
      <c r="R9" s="376">
        <v>-2</v>
      </c>
      <c r="S9" s="59">
        <v>3</v>
      </c>
      <c r="T9" s="59">
        <v>5</v>
      </c>
      <c r="U9" s="117">
        <v>60</v>
      </c>
      <c r="V9" s="59">
        <v>9</v>
      </c>
      <c r="W9" s="59">
        <v>13</v>
      </c>
      <c r="X9" s="117">
        <f>SUM(V9/W9)*100</f>
        <v>69.230769230769226</v>
      </c>
      <c r="AA9" s="260" t="s">
        <v>8</v>
      </c>
      <c r="AB9" s="59" t="s">
        <v>8</v>
      </c>
      <c r="AC9" s="117" t="s">
        <v>8</v>
      </c>
      <c r="AD9" s="260" t="s">
        <v>8</v>
      </c>
      <c r="AE9" s="59" t="s">
        <v>8</v>
      </c>
      <c r="AF9" s="117" t="s">
        <v>8</v>
      </c>
    </row>
    <row r="10" spans="1:32" ht="14.95" thickBot="1" x14ac:dyDescent="0.3">
      <c r="A10" s="166" t="s">
        <v>320</v>
      </c>
      <c r="B10" s="638">
        <v>0</v>
      </c>
      <c r="C10" s="493">
        <v>0</v>
      </c>
      <c r="D10" s="41">
        <v>0</v>
      </c>
      <c r="E10" s="168">
        <f t="shared" si="0"/>
        <v>0</v>
      </c>
      <c r="F10" s="17" t="s">
        <v>320</v>
      </c>
      <c r="G10" s="173">
        <v>0</v>
      </c>
      <c r="H10" s="231">
        <v>0</v>
      </c>
      <c r="I10" s="15">
        <v>0</v>
      </c>
      <c r="J10" s="104">
        <f t="shared" si="1"/>
        <v>0</v>
      </c>
      <c r="O10" s="9"/>
      <c r="P10" s="9"/>
      <c r="Q10" s="9"/>
    </row>
    <row r="11" spans="1:32" ht="14.95" thickBot="1" x14ac:dyDescent="0.3">
      <c r="A11" s="166" t="s">
        <v>224</v>
      </c>
      <c r="B11" s="638">
        <v>0</v>
      </c>
      <c r="C11" s="493">
        <v>0</v>
      </c>
      <c r="D11" s="41">
        <v>0</v>
      </c>
      <c r="E11" s="168">
        <f t="shared" si="0"/>
        <v>0</v>
      </c>
      <c r="F11" s="17" t="s">
        <v>224</v>
      </c>
      <c r="G11" s="173">
        <v>0</v>
      </c>
      <c r="H11" s="231">
        <v>0</v>
      </c>
      <c r="I11" s="15">
        <v>0</v>
      </c>
      <c r="J11" s="104">
        <f t="shared" si="1"/>
        <v>0</v>
      </c>
      <c r="K11" s="508" t="s">
        <v>226</v>
      </c>
      <c r="L11" s="502">
        <v>2026</v>
      </c>
      <c r="M11" s="503"/>
      <c r="N11" s="504"/>
      <c r="O11" s="516">
        <v>2025</v>
      </c>
      <c r="P11" s="517"/>
      <c r="Q11" s="518"/>
      <c r="R11" s="516">
        <v>2024</v>
      </c>
      <c r="S11" s="517"/>
      <c r="T11" s="518"/>
      <c r="U11" s="516">
        <v>2023</v>
      </c>
      <c r="V11" s="517"/>
      <c r="W11" s="518"/>
      <c r="AA11" s="516">
        <v>2022</v>
      </c>
      <c r="AB11" s="517"/>
      <c r="AC11" s="518"/>
    </row>
    <row r="12" spans="1:32" ht="14.95" thickBot="1" x14ac:dyDescent="0.3">
      <c r="A12" s="166" t="s">
        <v>236</v>
      </c>
      <c r="B12" s="638">
        <v>0</v>
      </c>
      <c r="C12" s="493">
        <v>0</v>
      </c>
      <c r="D12" s="41">
        <v>0</v>
      </c>
      <c r="E12" s="168">
        <f t="shared" si="0"/>
        <v>0</v>
      </c>
      <c r="F12" s="17" t="s">
        <v>236</v>
      </c>
      <c r="G12" s="173">
        <v>0</v>
      </c>
      <c r="H12" s="231">
        <v>0</v>
      </c>
      <c r="I12" s="15">
        <v>0</v>
      </c>
      <c r="J12" s="104">
        <f t="shared" si="1"/>
        <v>0</v>
      </c>
      <c r="K12" s="509"/>
      <c r="L12" s="505"/>
      <c r="M12" s="506"/>
      <c r="N12" s="507"/>
      <c r="O12" s="519"/>
      <c r="P12" s="520"/>
      <c r="Q12" s="521"/>
      <c r="R12" s="519"/>
      <c r="S12" s="520"/>
      <c r="T12" s="521"/>
      <c r="U12" s="519"/>
      <c r="V12" s="520"/>
      <c r="W12" s="521"/>
      <c r="AA12" s="519"/>
      <c r="AB12" s="520"/>
      <c r="AC12" s="521"/>
    </row>
    <row r="13" spans="1:32" ht="14.95" thickBot="1" x14ac:dyDescent="0.3">
      <c r="A13" s="166" t="s">
        <v>259</v>
      </c>
      <c r="B13" s="638">
        <v>0</v>
      </c>
      <c r="C13" s="493">
        <v>0</v>
      </c>
      <c r="D13" s="41">
        <v>0</v>
      </c>
      <c r="E13" s="168">
        <f t="shared" si="0"/>
        <v>0</v>
      </c>
      <c r="F13" s="17" t="s">
        <v>259</v>
      </c>
      <c r="G13" s="173">
        <v>0</v>
      </c>
      <c r="H13" s="231">
        <v>0</v>
      </c>
      <c r="I13" s="15">
        <v>0</v>
      </c>
      <c r="J13" s="104">
        <f t="shared" si="1"/>
        <v>0</v>
      </c>
      <c r="K13" s="138"/>
      <c r="L13" s="29" t="s">
        <v>17</v>
      </c>
      <c r="M13" s="29" t="s">
        <v>5</v>
      </c>
      <c r="N13" s="29" t="s">
        <v>6</v>
      </c>
      <c r="O13" s="59" t="s">
        <v>17</v>
      </c>
      <c r="P13" s="59" t="s">
        <v>5</v>
      </c>
      <c r="Q13" s="59" t="s">
        <v>6</v>
      </c>
      <c r="R13" s="59" t="s">
        <v>17</v>
      </c>
      <c r="S13" s="59" t="s">
        <v>5</v>
      </c>
      <c r="T13" s="59" t="s">
        <v>6</v>
      </c>
      <c r="U13" s="59" t="s">
        <v>17</v>
      </c>
      <c r="V13" s="59" t="s">
        <v>5</v>
      </c>
      <c r="W13" s="59" t="s">
        <v>6</v>
      </c>
      <c r="AA13" s="260" t="s">
        <v>17</v>
      </c>
      <c r="AB13" s="59" t="s">
        <v>5</v>
      </c>
      <c r="AC13" s="59" t="s">
        <v>6</v>
      </c>
    </row>
    <row r="14" spans="1:32" ht="14.95" thickBot="1" x14ac:dyDescent="0.3">
      <c r="A14" s="166" t="s">
        <v>395</v>
      </c>
      <c r="B14" s="638">
        <v>0</v>
      </c>
      <c r="C14" s="493">
        <v>0</v>
      </c>
      <c r="D14" s="41">
        <v>0</v>
      </c>
      <c r="E14" s="168">
        <f t="shared" si="0"/>
        <v>0</v>
      </c>
      <c r="F14" s="17" t="s">
        <v>395</v>
      </c>
      <c r="G14" s="173">
        <v>0</v>
      </c>
      <c r="H14" s="231">
        <v>0</v>
      </c>
      <c r="I14" s="15">
        <v>0</v>
      </c>
      <c r="J14" s="104">
        <f t="shared" si="1"/>
        <v>0</v>
      </c>
      <c r="K14" s="166" t="s">
        <v>320</v>
      </c>
      <c r="L14" s="168" t="s">
        <v>8</v>
      </c>
      <c r="M14" s="168" t="s">
        <v>8</v>
      </c>
      <c r="N14" s="169" t="s">
        <v>8</v>
      </c>
      <c r="O14" s="59" t="s">
        <v>8</v>
      </c>
      <c r="P14" s="59" t="s">
        <v>8</v>
      </c>
      <c r="Q14" s="117" t="s">
        <v>8</v>
      </c>
      <c r="R14" s="59">
        <v>11</v>
      </c>
      <c r="S14" s="59">
        <v>15</v>
      </c>
      <c r="T14" s="117">
        <f>SUM(R14/S14)*100</f>
        <v>73.333333333333329</v>
      </c>
      <c r="U14" s="59">
        <v>13</v>
      </c>
      <c r="V14" s="59">
        <v>18</v>
      </c>
      <c r="W14" s="117">
        <f>SUM(U14/V14)*100</f>
        <v>72.222222222222214</v>
      </c>
      <c r="AA14" s="260">
        <v>6</v>
      </c>
      <c r="AB14" s="59">
        <v>10</v>
      </c>
      <c r="AC14" s="117">
        <f>SUM(AA14/AB14)*100</f>
        <v>60</v>
      </c>
    </row>
    <row r="15" spans="1:32" ht="14.95" thickBot="1" x14ac:dyDescent="0.3">
      <c r="A15" s="166" t="s">
        <v>472</v>
      </c>
      <c r="B15" s="638">
        <v>0</v>
      </c>
      <c r="C15" s="493">
        <v>0</v>
      </c>
      <c r="D15" s="41">
        <v>0</v>
      </c>
      <c r="E15" s="168">
        <f t="shared" si="0"/>
        <v>0</v>
      </c>
      <c r="F15" s="17" t="s">
        <v>472</v>
      </c>
      <c r="G15" s="173">
        <v>0</v>
      </c>
      <c r="H15" s="231">
        <v>0</v>
      </c>
      <c r="I15" s="15">
        <v>0</v>
      </c>
      <c r="J15" s="104">
        <f t="shared" si="1"/>
        <v>0</v>
      </c>
      <c r="K15" s="246" t="s">
        <v>150</v>
      </c>
      <c r="L15" s="168">
        <v>3</v>
      </c>
      <c r="M15" s="168">
        <v>5</v>
      </c>
      <c r="N15" s="169">
        <v>33.333333333333329</v>
      </c>
      <c r="O15" s="185" t="s">
        <v>8</v>
      </c>
      <c r="P15" s="185" t="s">
        <v>8</v>
      </c>
      <c r="Q15" s="299" t="s">
        <v>8</v>
      </c>
      <c r="R15" s="185">
        <v>0</v>
      </c>
      <c r="S15" s="185">
        <v>1</v>
      </c>
      <c r="T15" s="299">
        <f>SUM(R15/S15)*100</f>
        <v>0</v>
      </c>
      <c r="U15" s="59" t="s">
        <v>8</v>
      </c>
      <c r="V15" s="59" t="s">
        <v>8</v>
      </c>
      <c r="W15" s="117" t="s">
        <v>8</v>
      </c>
      <c r="AA15" s="260" t="s">
        <v>8</v>
      </c>
      <c r="AB15" s="59" t="s">
        <v>8</v>
      </c>
      <c r="AC15" s="117" t="s">
        <v>8</v>
      </c>
    </row>
    <row r="16" spans="1:32" ht="14.95" thickBot="1" x14ac:dyDescent="0.3">
      <c r="A16" s="166" t="s">
        <v>150</v>
      </c>
      <c r="B16" s="638">
        <v>0</v>
      </c>
      <c r="C16" s="493">
        <v>0</v>
      </c>
      <c r="D16" s="41">
        <v>0</v>
      </c>
      <c r="E16" s="168">
        <f t="shared" si="0"/>
        <v>0</v>
      </c>
      <c r="F16" s="17" t="s">
        <v>150</v>
      </c>
      <c r="G16" s="173">
        <v>6</v>
      </c>
      <c r="H16" s="231">
        <v>0</v>
      </c>
      <c r="I16" s="15">
        <v>0</v>
      </c>
      <c r="J16" s="104">
        <f t="shared" si="1"/>
        <v>6</v>
      </c>
      <c r="K16" s="246" t="s">
        <v>313</v>
      </c>
      <c r="L16" s="168" t="s">
        <v>8</v>
      </c>
      <c r="M16" s="168" t="s">
        <v>8</v>
      </c>
      <c r="N16" s="169" t="s">
        <v>8</v>
      </c>
      <c r="O16" s="59">
        <v>9</v>
      </c>
      <c r="P16" s="59">
        <v>16</v>
      </c>
      <c r="Q16" s="117">
        <v>56.25</v>
      </c>
      <c r="R16" s="59" t="s">
        <v>8</v>
      </c>
      <c r="S16" s="59" t="s">
        <v>8</v>
      </c>
      <c r="T16" s="117" t="s">
        <v>8</v>
      </c>
      <c r="U16" s="59" t="s">
        <v>8</v>
      </c>
      <c r="V16" s="59" t="s">
        <v>8</v>
      </c>
      <c r="W16" s="117" t="s">
        <v>8</v>
      </c>
      <c r="AA16" s="260" t="s">
        <v>8</v>
      </c>
      <c r="AB16" s="59" t="s">
        <v>8</v>
      </c>
      <c r="AC16" s="117" t="s">
        <v>8</v>
      </c>
    </row>
    <row r="17" spans="1:29" ht="14.95" thickBot="1" x14ac:dyDescent="0.3">
      <c r="A17" s="166" t="s">
        <v>396</v>
      </c>
      <c r="B17" s="638">
        <v>0</v>
      </c>
      <c r="C17" s="493">
        <v>0</v>
      </c>
      <c r="D17" s="41">
        <v>0</v>
      </c>
      <c r="E17" s="168">
        <f t="shared" si="0"/>
        <v>0</v>
      </c>
      <c r="F17" s="17" t="s">
        <v>396</v>
      </c>
      <c r="G17" s="173">
        <v>0</v>
      </c>
      <c r="H17" s="231">
        <v>0</v>
      </c>
      <c r="I17" s="15">
        <v>0</v>
      </c>
      <c r="J17" s="104">
        <f t="shared" si="1"/>
        <v>0</v>
      </c>
      <c r="K17" s="246" t="s">
        <v>308</v>
      </c>
      <c r="L17" s="168" t="s">
        <v>8</v>
      </c>
      <c r="M17" s="168" t="s">
        <v>8</v>
      </c>
      <c r="N17" s="169" t="s">
        <v>8</v>
      </c>
      <c r="O17" s="185" t="s">
        <v>8</v>
      </c>
      <c r="P17" s="185" t="s">
        <v>8</v>
      </c>
      <c r="Q17" s="299" t="s">
        <v>8</v>
      </c>
      <c r="R17" s="185">
        <v>1</v>
      </c>
      <c r="S17" s="185">
        <v>1</v>
      </c>
      <c r="T17" s="299">
        <f>SUM(R17/S17)*100</f>
        <v>100</v>
      </c>
      <c r="U17" s="59" t="s">
        <v>8</v>
      </c>
      <c r="V17" s="59" t="s">
        <v>8</v>
      </c>
      <c r="W17" s="117" t="s">
        <v>8</v>
      </c>
      <c r="AA17" s="260" t="s">
        <v>8</v>
      </c>
      <c r="AB17" s="59" t="s">
        <v>8</v>
      </c>
      <c r="AC17" s="117" t="s">
        <v>8</v>
      </c>
    </row>
    <row r="18" spans="1:29" ht="14.95" thickBot="1" x14ac:dyDescent="0.3">
      <c r="A18" s="166" t="s">
        <v>151</v>
      </c>
      <c r="B18" s="638">
        <v>0</v>
      </c>
      <c r="C18" s="493">
        <v>0</v>
      </c>
      <c r="D18" s="41">
        <v>0</v>
      </c>
      <c r="E18" s="168">
        <f t="shared" si="0"/>
        <v>0</v>
      </c>
      <c r="F18" s="17" t="s">
        <v>151</v>
      </c>
      <c r="G18" s="173">
        <v>0</v>
      </c>
      <c r="H18" s="231">
        <v>0</v>
      </c>
      <c r="I18" s="15">
        <v>0</v>
      </c>
      <c r="J18" s="104">
        <f t="shared" si="1"/>
        <v>0</v>
      </c>
    </row>
    <row r="19" spans="1:29" ht="14.95" customHeight="1" thickBot="1" x14ac:dyDescent="0.3">
      <c r="A19" s="166" t="s">
        <v>664</v>
      </c>
      <c r="B19" s="638">
        <v>2</v>
      </c>
      <c r="C19" s="493">
        <v>0</v>
      </c>
      <c r="D19" s="41">
        <v>0</v>
      </c>
      <c r="E19" s="168">
        <f t="shared" si="0"/>
        <v>2</v>
      </c>
      <c r="F19" s="17" t="s">
        <v>664</v>
      </c>
      <c r="G19" s="173">
        <v>10</v>
      </c>
      <c r="H19" s="231">
        <v>0</v>
      </c>
      <c r="I19" s="15">
        <v>0</v>
      </c>
      <c r="J19" s="104">
        <f t="shared" si="1"/>
        <v>10</v>
      </c>
      <c r="K19" s="528" t="s">
        <v>345</v>
      </c>
      <c r="L19" s="516">
        <v>2025</v>
      </c>
      <c r="M19" s="517"/>
      <c r="N19" s="518"/>
      <c r="O19" s="516">
        <v>2022</v>
      </c>
      <c r="P19" s="517"/>
      <c r="Q19" s="518"/>
    </row>
    <row r="20" spans="1:29" ht="14.95" customHeight="1" thickBot="1" x14ac:dyDescent="0.3">
      <c r="A20" s="166" t="s">
        <v>1035</v>
      </c>
      <c r="B20" s="638">
        <v>1</v>
      </c>
      <c r="C20" s="493">
        <v>0</v>
      </c>
      <c r="D20" s="41">
        <v>0</v>
      </c>
      <c r="E20" s="168">
        <f t="shared" si="0"/>
        <v>1</v>
      </c>
      <c r="F20" s="17" t="s">
        <v>1035</v>
      </c>
      <c r="G20" s="173">
        <v>5</v>
      </c>
      <c r="H20" s="231">
        <v>0</v>
      </c>
      <c r="I20" s="15">
        <v>0</v>
      </c>
      <c r="J20" s="104">
        <f t="shared" si="1"/>
        <v>5</v>
      </c>
      <c r="K20" s="529"/>
      <c r="L20" s="519"/>
      <c r="M20" s="520"/>
      <c r="N20" s="521"/>
      <c r="O20" s="519"/>
      <c r="P20" s="520"/>
      <c r="Q20" s="521"/>
    </row>
    <row r="21" spans="1:29" ht="14.95" thickBot="1" x14ac:dyDescent="0.3">
      <c r="A21" s="166" t="s">
        <v>311</v>
      </c>
      <c r="B21" s="638">
        <v>0</v>
      </c>
      <c r="C21" s="493">
        <v>0</v>
      </c>
      <c r="D21" s="41">
        <v>0</v>
      </c>
      <c r="E21" s="168">
        <f t="shared" si="0"/>
        <v>0</v>
      </c>
      <c r="F21" s="17" t="s">
        <v>311</v>
      </c>
      <c r="G21" s="173">
        <v>0</v>
      </c>
      <c r="H21" s="231">
        <v>0</v>
      </c>
      <c r="I21" s="15">
        <v>0</v>
      </c>
      <c r="J21" s="104">
        <f t="shared" si="1"/>
        <v>0</v>
      </c>
      <c r="K21" s="300"/>
      <c r="L21" s="59" t="s">
        <v>17</v>
      </c>
      <c r="M21" s="59" t="s">
        <v>5</v>
      </c>
      <c r="N21" s="59" t="s">
        <v>6</v>
      </c>
      <c r="O21" s="59" t="s">
        <v>17</v>
      </c>
      <c r="P21" s="59" t="s">
        <v>5</v>
      </c>
      <c r="Q21" s="59" t="s">
        <v>6</v>
      </c>
    </row>
    <row r="22" spans="1:29" ht="14.95" thickBot="1" x14ac:dyDescent="0.3">
      <c r="A22" s="166" t="s">
        <v>319</v>
      </c>
      <c r="B22" s="638">
        <v>0</v>
      </c>
      <c r="C22" s="493">
        <v>0</v>
      </c>
      <c r="D22" s="41">
        <v>0</v>
      </c>
      <c r="E22" s="168">
        <f t="shared" si="0"/>
        <v>0</v>
      </c>
      <c r="F22" s="17" t="s">
        <v>319</v>
      </c>
      <c r="G22" s="173">
        <v>0</v>
      </c>
      <c r="H22" s="231">
        <v>0</v>
      </c>
      <c r="I22" s="15">
        <v>0</v>
      </c>
      <c r="J22" s="104">
        <f t="shared" si="1"/>
        <v>0</v>
      </c>
      <c r="K22" s="166" t="s">
        <v>320</v>
      </c>
      <c r="L22" s="59">
        <v>22</v>
      </c>
      <c r="M22" s="59">
        <v>33</v>
      </c>
      <c r="N22" s="117">
        <f>SUM(L22/M22)*100</f>
        <v>66.666666666666657</v>
      </c>
      <c r="O22" s="59">
        <v>11</v>
      </c>
      <c r="P22" s="59">
        <v>18</v>
      </c>
      <c r="Q22" s="117">
        <v>61</v>
      </c>
    </row>
    <row r="23" spans="1:29" ht="14.95" thickBot="1" x14ac:dyDescent="0.3">
      <c r="A23" s="166" t="s">
        <v>316</v>
      </c>
      <c r="B23" s="638">
        <v>0</v>
      </c>
      <c r="C23" s="493">
        <v>0</v>
      </c>
      <c r="D23" s="41">
        <v>0</v>
      </c>
      <c r="E23" s="168">
        <f t="shared" si="0"/>
        <v>0</v>
      </c>
      <c r="F23" s="17" t="s">
        <v>316</v>
      </c>
      <c r="G23" s="173">
        <v>0</v>
      </c>
      <c r="H23" s="231">
        <v>0</v>
      </c>
      <c r="I23" s="15">
        <v>0</v>
      </c>
      <c r="J23" s="104">
        <f t="shared" si="1"/>
        <v>0</v>
      </c>
      <c r="K23" s="166" t="s">
        <v>260</v>
      </c>
      <c r="L23" s="59" t="s">
        <v>8</v>
      </c>
      <c r="M23" s="59" t="s">
        <v>8</v>
      </c>
      <c r="N23" s="117" t="s">
        <v>8</v>
      </c>
      <c r="O23" s="59">
        <v>2</v>
      </c>
      <c r="P23" s="59">
        <v>6</v>
      </c>
      <c r="Q23" s="117">
        <v>33</v>
      </c>
      <c r="R23" s="9"/>
      <c r="S23" s="9"/>
      <c r="T23" s="9"/>
    </row>
    <row r="24" spans="1:29" ht="14.95" thickBot="1" x14ac:dyDescent="0.3">
      <c r="A24" s="166" t="s">
        <v>30</v>
      </c>
      <c r="B24" s="638">
        <v>0</v>
      </c>
      <c r="C24" s="493">
        <v>0</v>
      </c>
      <c r="D24" s="41">
        <v>0</v>
      </c>
      <c r="E24" s="168">
        <f t="shared" si="0"/>
        <v>0</v>
      </c>
      <c r="F24" s="17" t="s">
        <v>30</v>
      </c>
      <c r="G24" s="173">
        <v>0</v>
      </c>
      <c r="H24" s="231">
        <v>0</v>
      </c>
      <c r="I24" s="15">
        <v>0</v>
      </c>
      <c r="J24" s="104">
        <f t="shared" si="1"/>
        <v>0</v>
      </c>
      <c r="K24" s="166" t="s">
        <v>310</v>
      </c>
      <c r="L24" s="59" t="s">
        <v>8</v>
      </c>
      <c r="M24" s="59" t="s">
        <v>8</v>
      </c>
      <c r="N24" s="117" t="s">
        <v>8</v>
      </c>
      <c r="O24" s="59">
        <v>0</v>
      </c>
      <c r="P24" s="59">
        <v>1</v>
      </c>
      <c r="Q24" s="117">
        <v>0</v>
      </c>
      <c r="R24" s="20"/>
      <c r="S24" s="20"/>
      <c r="T24" s="23"/>
    </row>
    <row r="25" spans="1:29" ht="14.95" thickBot="1" x14ac:dyDescent="0.3">
      <c r="A25" s="166" t="s">
        <v>861</v>
      </c>
      <c r="B25" s="638">
        <v>0</v>
      </c>
      <c r="C25" s="493">
        <v>0</v>
      </c>
      <c r="D25" s="41">
        <v>0</v>
      </c>
      <c r="E25" s="168">
        <f t="shared" si="0"/>
        <v>0</v>
      </c>
      <c r="F25" s="17" t="s">
        <v>861</v>
      </c>
      <c r="G25" s="173">
        <v>0</v>
      </c>
      <c r="H25" s="231">
        <v>0</v>
      </c>
      <c r="I25" s="15">
        <v>0</v>
      </c>
      <c r="J25" s="104">
        <f t="shared" si="1"/>
        <v>0</v>
      </c>
      <c r="K25" s="166" t="s">
        <v>313</v>
      </c>
      <c r="L25" s="59">
        <v>0</v>
      </c>
      <c r="M25" s="59">
        <v>2</v>
      </c>
      <c r="N25" s="117">
        <f>SUM(L25/M25)*100</f>
        <v>0</v>
      </c>
      <c r="O25" s="59" t="s">
        <v>8</v>
      </c>
      <c r="P25" s="59" t="s">
        <v>8</v>
      </c>
      <c r="Q25" s="117" t="s">
        <v>8</v>
      </c>
      <c r="R25" s="20"/>
      <c r="S25" s="20"/>
      <c r="T25" s="23"/>
    </row>
    <row r="26" spans="1:29" ht="14.95" thickBot="1" x14ac:dyDescent="0.3">
      <c r="A26" s="166" t="s">
        <v>159</v>
      </c>
      <c r="B26" s="638">
        <v>0</v>
      </c>
      <c r="C26" s="493">
        <v>0</v>
      </c>
      <c r="D26" s="41">
        <v>0</v>
      </c>
      <c r="E26" s="168">
        <f t="shared" si="0"/>
        <v>0</v>
      </c>
      <c r="F26" s="17" t="s">
        <v>159</v>
      </c>
      <c r="G26" s="173">
        <v>0</v>
      </c>
      <c r="H26" s="231">
        <v>0</v>
      </c>
      <c r="I26" s="15">
        <v>0</v>
      </c>
      <c r="J26" s="104">
        <f t="shared" si="1"/>
        <v>0</v>
      </c>
      <c r="K26" s="166" t="s">
        <v>308</v>
      </c>
      <c r="L26" s="59">
        <v>3</v>
      </c>
      <c r="M26" s="59">
        <v>5</v>
      </c>
      <c r="N26" s="117">
        <f>SUM(L26/M26)*100</f>
        <v>60</v>
      </c>
      <c r="O26" s="59" t="s">
        <v>8</v>
      </c>
      <c r="P26" s="59" t="s">
        <v>8</v>
      </c>
      <c r="Q26" s="117" t="s">
        <v>8</v>
      </c>
      <c r="R26" s="20"/>
      <c r="S26" s="20"/>
      <c r="T26" s="23"/>
    </row>
    <row r="27" spans="1:29" ht="14.95" thickBot="1" x14ac:dyDescent="0.3">
      <c r="A27" s="166" t="s">
        <v>602</v>
      </c>
      <c r="B27" s="638">
        <v>1</v>
      </c>
      <c r="C27" s="493">
        <v>0</v>
      </c>
      <c r="D27" s="41">
        <v>0</v>
      </c>
      <c r="E27" s="168">
        <f t="shared" si="0"/>
        <v>1</v>
      </c>
      <c r="F27" s="17" t="s">
        <v>602</v>
      </c>
      <c r="G27" s="173">
        <v>5</v>
      </c>
      <c r="H27" s="231">
        <v>0</v>
      </c>
      <c r="I27" s="15">
        <v>0</v>
      </c>
      <c r="J27" s="104">
        <f t="shared" si="1"/>
        <v>5</v>
      </c>
    </row>
    <row r="28" spans="1:29" ht="14.95" thickBot="1" x14ac:dyDescent="0.3">
      <c r="A28" s="166" t="s">
        <v>314</v>
      </c>
      <c r="B28" s="638">
        <v>0</v>
      </c>
      <c r="C28" s="493">
        <v>0</v>
      </c>
      <c r="D28" s="41">
        <v>0</v>
      </c>
      <c r="E28" s="168">
        <f t="shared" si="0"/>
        <v>0</v>
      </c>
      <c r="F28" s="17" t="s">
        <v>314</v>
      </c>
      <c r="G28" s="173">
        <v>0</v>
      </c>
      <c r="H28" s="231">
        <v>0</v>
      </c>
      <c r="I28" s="15">
        <v>0</v>
      </c>
      <c r="J28" s="104">
        <f t="shared" si="1"/>
        <v>0</v>
      </c>
      <c r="K28" s="546" t="s">
        <v>500</v>
      </c>
      <c r="L28" s="516">
        <v>2026</v>
      </c>
      <c r="M28" s="517"/>
      <c r="N28" s="518"/>
      <c r="O28" s="516">
        <v>2024</v>
      </c>
      <c r="P28" s="517"/>
      <c r="Q28" s="518"/>
      <c r="R28" s="516">
        <v>2023</v>
      </c>
      <c r="S28" s="517"/>
      <c r="T28" s="518"/>
    </row>
    <row r="29" spans="1:29" ht="14.95" thickBot="1" x14ac:dyDescent="0.3">
      <c r="A29" s="166" t="s">
        <v>237</v>
      </c>
      <c r="B29" s="638">
        <v>0</v>
      </c>
      <c r="C29" s="493">
        <v>0</v>
      </c>
      <c r="D29" s="41">
        <v>0</v>
      </c>
      <c r="E29" s="168">
        <f t="shared" si="0"/>
        <v>0</v>
      </c>
      <c r="F29" s="17" t="s">
        <v>237</v>
      </c>
      <c r="G29" s="173">
        <v>0</v>
      </c>
      <c r="H29" s="231">
        <v>0</v>
      </c>
      <c r="I29" s="15">
        <v>0</v>
      </c>
      <c r="J29" s="104">
        <f t="shared" si="1"/>
        <v>0</v>
      </c>
      <c r="K29" s="547"/>
      <c r="L29" s="519"/>
      <c r="M29" s="520"/>
      <c r="N29" s="521"/>
      <c r="O29" s="519"/>
      <c r="P29" s="520"/>
      <c r="Q29" s="521"/>
      <c r="R29" s="519"/>
      <c r="S29" s="520"/>
      <c r="T29" s="521"/>
    </row>
    <row r="30" spans="1:29" ht="14.95" thickBot="1" x14ac:dyDescent="0.3">
      <c r="A30" s="166" t="s">
        <v>208</v>
      </c>
      <c r="B30" s="638">
        <v>1</v>
      </c>
      <c r="C30" s="493">
        <v>0</v>
      </c>
      <c r="D30" s="41">
        <v>0</v>
      </c>
      <c r="E30" s="168">
        <f t="shared" si="0"/>
        <v>1</v>
      </c>
      <c r="F30" s="17" t="s">
        <v>208</v>
      </c>
      <c r="G30" s="173">
        <v>7</v>
      </c>
      <c r="H30" s="231">
        <v>0</v>
      </c>
      <c r="I30" s="15">
        <v>0</v>
      </c>
      <c r="J30" s="104">
        <f t="shared" si="1"/>
        <v>7</v>
      </c>
      <c r="K30" s="221"/>
      <c r="L30" s="59" t="s">
        <v>17</v>
      </c>
      <c r="M30" s="59" t="s">
        <v>5</v>
      </c>
      <c r="N30" s="59" t="s">
        <v>6</v>
      </c>
      <c r="O30" s="59" t="s">
        <v>17</v>
      </c>
      <c r="P30" s="59" t="s">
        <v>5</v>
      </c>
      <c r="Q30" s="59" t="s">
        <v>6</v>
      </c>
      <c r="R30" s="59" t="s">
        <v>17</v>
      </c>
      <c r="S30" s="59" t="s">
        <v>5</v>
      </c>
      <c r="T30" s="59" t="s">
        <v>6</v>
      </c>
    </row>
    <row r="31" spans="1:29" ht="14.95" thickBot="1" x14ac:dyDescent="0.3">
      <c r="A31" s="166" t="s">
        <v>225</v>
      </c>
      <c r="B31" s="638">
        <v>0</v>
      </c>
      <c r="C31" s="493">
        <v>0</v>
      </c>
      <c r="D31" s="41">
        <v>0</v>
      </c>
      <c r="E31" s="168">
        <f t="shared" si="0"/>
        <v>0</v>
      </c>
      <c r="F31" s="17" t="s">
        <v>225</v>
      </c>
      <c r="G31" s="173">
        <v>0</v>
      </c>
      <c r="H31" s="231">
        <v>0</v>
      </c>
      <c r="I31" s="15">
        <v>0</v>
      </c>
      <c r="J31" s="104">
        <f t="shared" si="1"/>
        <v>0</v>
      </c>
      <c r="K31" s="166" t="s">
        <v>320</v>
      </c>
      <c r="L31" s="59" t="s">
        <v>8</v>
      </c>
      <c r="M31" s="59" t="s">
        <v>8</v>
      </c>
      <c r="N31" s="117" t="s">
        <v>8</v>
      </c>
      <c r="O31" s="59" t="s">
        <v>8</v>
      </c>
      <c r="P31" s="59" t="s">
        <v>8</v>
      </c>
      <c r="Q31" s="117" t="s">
        <v>8</v>
      </c>
      <c r="R31" s="59">
        <v>11</v>
      </c>
      <c r="S31" s="59">
        <v>13</v>
      </c>
      <c r="T31" s="117">
        <f>SUM(R31/S31)*100</f>
        <v>84.615384615384613</v>
      </c>
    </row>
    <row r="32" spans="1:29" ht="14.95" thickBot="1" x14ac:dyDescent="0.3">
      <c r="A32" s="166" t="s">
        <v>317</v>
      </c>
      <c r="B32" s="638">
        <v>0</v>
      </c>
      <c r="C32" s="493">
        <v>0</v>
      </c>
      <c r="D32" s="41">
        <v>0</v>
      </c>
      <c r="E32" s="168">
        <f t="shared" si="0"/>
        <v>0</v>
      </c>
      <c r="F32" s="17" t="s">
        <v>317</v>
      </c>
      <c r="G32" s="173">
        <v>0</v>
      </c>
      <c r="H32" s="231">
        <v>0</v>
      </c>
      <c r="I32" s="15">
        <v>0</v>
      </c>
      <c r="J32" s="104">
        <f t="shared" si="1"/>
        <v>0</v>
      </c>
      <c r="K32" s="166" t="s">
        <v>308</v>
      </c>
      <c r="L32" s="59" t="s">
        <v>8</v>
      </c>
      <c r="M32" s="59" t="s">
        <v>8</v>
      </c>
      <c r="N32" s="117" t="s">
        <v>8</v>
      </c>
      <c r="O32" s="59">
        <v>8</v>
      </c>
      <c r="P32" s="59">
        <v>12</v>
      </c>
      <c r="Q32" s="117">
        <f>SUM(O32/P32)*100</f>
        <v>66.666666666666657</v>
      </c>
      <c r="R32" s="59" t="s">
        <v>8</v>
      </c>
      <c r="S32" s="59" t="s">
        <v>8</v>
      </c>
      <c r="T32" s="117" t="s">
        <v>8</v>
      </c>
    </row>
    <row r="33" spans="1:10" ht="14.95" thickBot="1" x14ac:dyDescent="0.3">
      <c r="A33" s="166" t="s">
        <v>600</v>
      </c>
      <c r="B33" s="638">
        <v>0</v>
      </c>
      <c r="C33" s="493">
        <v>0</v>
      </c>
      <c r="D33" s="41">
        <v>0</v>
      </c>
      <c r="E33" s="168">
        <f t="shared" si="0"/>
        <v>0</v>
      </c>
      <c r="F33" s="17" t="s">
        <v>600</v>
      </c>
      <c r="G33" s="173">
        <v>0</v>
      </c>
      <c r="H33" s="231">
        <v>0</v>
      </c>
      <c r="I33" s="15">
        <v>0</v>
      </c>
      <c r="J33" s="104">
        <f t="shared" si="1"/>
        <v>0</v>
      </c>
    </row>
    <row r="34" spans="1:10" ht="14.95" thickBot="1" x14ac:dyDescent="0.3">
      <c r="A34" s="166" t="s">
        <v>313</v>
      </c>
      <c r="B34" s="638">
        <v>0</v>
      </c>
      <c r="C34" s="493">
        <v>0</v>
      </c>
      <c r="D34" s="41">
        <v>0</v>
      </c>
      <c r="E34" s="168">
        <f t="shared" si="0"/>
        <v>0</v>
      </c>
      <c r="F34" s="17" t="s">
        <v>313</v>
      </c>
      <c r="G34" s="173">
        <v>0</v>
      </c>
      <c r="H34" s="231">
        <v>0</v>
      </c>
      <c r="I34" s="15">
        <v>0</v>
      </c>
      <c r="J34" s="104">
        <f t="shared" si="1"/>
        <v>0</v>
      </c>
    </row>
    <row r="35" spans="1:10" ht="14.95" thickBot="1" x14ac:dyDescent="0.3">
      <c r="A35" s="166" t="s">
        <v>519</v>
      </c>
      <c r="B35" s="638">
        <v>0</v>
      </c>
      <c r="C35" s="493">
        <v>0</v>
      </c>
      <c r="D35" s="41">
        <v>0</v>
      </c>
      <c r="E35" s="168">
        <f t="shared" si="0"/>
        <v>0</v>
      </c>
      <c r="F35" s="17" t="s">
        <v>519</v>
      </c>
      <c r="G35" s="173">
        <v>0</v>
      </c>
      <c r="H35" s="231">
        <v>0</v>
      </c>
      <c r="I35" s="15">
        <v>0</v>
      </c>
      <c r="J35" s="104">
        <f t="shared" si="1"/>
        <v>0</v>
      </c>
    </row>
    <row r="36" spans="1:10" ht="14.95" thickBot="1" x14ac:dyDescent="0.3">
      <c r="A36" s="166" t="s">
        <v>874</v>
      </c>
      <c r="B36" s="638">
        <v>0</v>
      </c>
      <c r="C36" s="493">
        <v>0</v>
      </c>
      <c r="D36" s="41">
        <v>0</v>
      </c>
      <c r="E36" s="168">
        <f t="shared" si="0"/>
        <v>0</v>
      </c>
      <c r="F36" s="17" t="s">
        <v>874</v>
      </c>
      <c r="G36" s="173">
        <v>0</v>
      </c>
      <c r="H36" s="231">
        <v>0</v>
      </c>
      <c r="I36" s="15">
        <v>0</v>
      </c>
      <c r="J36" s="104">
        <f t="shared" si="1"/>
        <v>0</v>
      </c>
    </row>
    <row r="37" spans="1:10" ht="14.95" thickBot="1" x14ac:dyDescent="0.3">
      <c r="A37" s="166" t="s">
        <v>779</v>
      </c>
      <c r="B37" s="638">
        <v>0</v>
      </c>
      <c r="C37" s="493">
        <v>0</v>
      </c>
      <c r="D37" s="41">
        <v>0</v>
      </c>
      <c r="E37" s="168">
        <f t="shared" si="0"/>
        <v>0</v>
      </c>
      <c r="F37" s="17" t="s">
        <v>779</v>
      </c>
      <c r="G37" s="173">
        <v>0</v>
      </c>
      <c r="H37" s="231">
        <v>0</v>
      </c>
      <c r="I37" s="15">
        <v>0</v>
      </c>
      <c r="J37" s="104">
        <f t="shared" si="1"/>
        <v>0</v>
      </c>
    </row>
    <row r="38" spans="1:10" ht="14.95" thickBot="1" x14ac:dyDescent="0.3">
      <c r="A38" s="166" t="s">
        <v>318</v>
      </c>
      <c r="B38" s="638">
        <v>0</v>
      </c>
      <c r="C38" s="493">
        <v>0</v>
      </c>
      <c r="D38" s="41">
        <v>0</v>
      </c>
      <c r="E38" s="168">
        <f t="shared" si="0"/>
        <v>0</v>
      </c>
      <c r="F38" s="17" t="s">
        <v>318</v>
      </c>
      <c r="G38" s="173">
        <v>0</v>
      </c>
      <c r="H38" s="231">
        <v>0</v>
      </c>
      <c r="I38" s="15">
        <v>0</v>
      </c>
      <c r="J38" s="104">
        <f t="shared" si="1"/>
        <v>0</v>
      </c>
    </row>
    <row r="39" spans="1:10" ht="14.95" thickBot="1" x14ac:dyDescent="0.3">
      <c r="A39" s="166" t="s">
        <v>858</v>
      </c>
      <c r="B39" s="638">
        <v>0</v>
      </c>
      <c r="C39" s="493">
        <v>0</v>
      </c>
      <c r="D39" s="41">
        <v>0</v>
      </c>
      <c r="E39" s="168">
        <f t="shared" si="0"/>
        <v>0</v>
      </c>
      <c r="F39" s="17" t="s">
        <v>858</v>
      </c>
      <c r="G39" s="173">
        <v>0</v>
      </c>
      <c r="H39" s="231">
        <v>0</v>
      </c>
      <c r="I39" s="15">
        <v>0</v>
      </c>
      <c r="J39" s="104">
        <f t="shared" si="1"/>
        <v>0</v>
      </c>
    </row>
    <row r="40" spans="1:10" ht="14.95" customHeight="1" thickBot="1" x14ac:dyDescent="0.3">
      <c r="A40" s="166" t="s">
        <v>312</v>
      </c>
      <c r="B40" s="638">
        <v>0</v>
      </c>
      <c r="C40" s="493">
        <v>0</v>
      </c>
      <c r="D40" s="41">
        <v>0</v>
      </c>
      <c r="E40" s="168">
        <f t="shared" si="0"/>
        <v>0</v>
      </c>
      <c r="F40" s="17" t="s">
        <v>312</v>
      </c>
      <c r="G40" s="173">
        <v>0</v>
      </c>
      <c r="H40" s="231">
        <v>0</v>
      </c>
      <c r="I40" s="15">
        <v>0</v>
      </c>
      <c r="J40" s="104">
        <f t="shared" si="1"/>
        <v>0</v>
      </c>
    </row>
    <row r="41" spans="1:10" ht="14.95" thickBot="1" x14ac:dyDescent="0.3">
      <c r="A41" s="166" t="s">
        <v>308</v>
      </c>
      <c r="B41" s="638">
        <v>0</v>
      </c>
      <c r="C41" s="493">
        <v>0</v>
      </c>
      <c r="D41" s="41">
        <v>0</v>
      </c>
      <c r="E41" s="168">
        <f t="shared" si="0"/>
        <v>0</v>
      </c>
      <c r="F41" s="17" t="s">
        <v>308</v>
      </c>
      <c r="G41" s="173">
        <v>0</v>
      </c>
      <c r="H41" s="231">
        <v>0</v>
      </c>
      <c r="I41" s="15">
        <v>0</v>
      </c>
      <c r="J41" s="104">
        <f t="shared" si="1"/>
        <v>0</v>
      </c>
    </row>
    <row r="42" spans="1:10" ht="14.95" thickBot="1" x14ac:dyDescent="0.3">
      <c r="A42" s="166" t="s">
        <v>315</v>
      </c>
      <c r="B42" s="638">
        <v>0</v>
      </c>
      <c r="C42" s="493">
        <v>0</v>
      </c>
      <c r="D42" s="41">
        <v>0</v>
      </c>
      <c r="E42" s="168">
        <f t="shared" si="0"/>
        <v>0</v>
      </c>
      <c r="F42" s="17" t="s">
        <v>315</v>
      </c>
      <c r="G42" s="173">
        <v>0</v>
      </c>
      <c r="H42" s="231">
        <v>0</v>
      </c>
      <c r="I42" s="15">
        <v>0</v>
      </c>
      <c r="J42" s="104">
        <f t="shared" si="1"/>
        <v>0</v>
      </c>
    </row>
    <row r="43" spans="1:10" ht="14.95" thickBot="1" x14ac:dyDescent="0.3">
      <c r="A43" s="166" t="s">
        <v>238</v>
      </c>
      <c r="B43" s="638">
        <v>0</v>
      </c>
      <c r="C43" s="493">
        <v>0</v>
      </c>
      <c r="D43" s="41">
        <v>0</v>
      </c>
      <c r="E43" s="168">
        <f t="shared" si="0"/>
        <v>0</v>
      </c>
      <c r="F43" s="17" t="s">
        <v>238</v>
      </c>
      <c r="G43" s="173">
        <v>0</v>
      </c>
      <c r="H43" s="231">
        <v>0</v>
      </c>
      <c r="I43" s="15">
        <v>0</v>
      </c>
      <c r="J43" s="104">
        <f t="shared" si="1"/>
        <v>0</v>
      </c>
    </row>
    <row r="44" spans="1:10" ht="14.95" thickBot="1" x14ac:dyDescent="0.3">
      <c r="A44" s="166" t="s">
        <v>3</v>
      </c>
      <c r="B44" s="638">
        <f>SUM(B3:B43)</f>
        <v>6</v>
      </c>
      <c r="C44" s="493">
        <f>SUM(C3:C43)</f>
        <v>0</v>
      </c>
      <c r="D44" s="41">
        <f>SUM(D3:D43)</f>
        <v>0</v>
      </c>
      <c r="E44" s="168">
        <f t="shared" si="0"/>
        <v>6</v>
      </c>
      <c r="F44" s="49" t="s">
        <v>3</v>
      </c>
      <c r="G44" s="174">
        <f>SUM(G3:G43)</f>
        <v>38</v>
      </c>
      <c r="H44" s="494">
        <f>SUM(H3:H43)</f>
        <v>0</v>
      </c>
      <c r="I44" s="70">
        <f>SUM(I3:I43)</f>
        <v>0</v>
      </c>
      <c r="J44" s="103">
        <f t="shared" si="1"/>
        <v>38</v>
      </c>
    </row>
    <row r="45" spans="1:10" ht="16.3" x14ac:dyDescent="0.25">
      <c r="D45" s="50"/>
      <c r="F45" s="3"/>
      <c r="G45" s="3"/>
      <c r="H45" s="3"/>
      <c r="I45" s="51"/>
      <c r="J45" s="639"/>
    </row>
    <row r="46" spans="1:10" ht="17" thickBot="1" x14ac:dyDescent="0.3">
      <c r="A46" t="s">
        <v>7</v>
      </c>
      <c r="D46" s="50"/>
      <c r="F46" s="3"/>
      <c r="G46" s="3"/>
      <c r="H46" s="3"/>
      <c r="I46" s="51"/>
      <c r="J46" s="639"/>
    </row>
    <row r="47" spans="1:10" ht="14.95" customHeight="1" thickBot="1" x14ac:dyDescent="0.3">
      <c r="A47" s="246" t="s">
        <v>0</v>
      </c>
      <c r="B47" s="637" t="s">
        <v>223</v>
      </c>
      <c r="C47" s="492" t="s">
        <v>500</v>
      </c>
      <c r="D47" s="74" t="s">
        <v>11</v>
      </c>
      <c r="E47" s="176" t="s">
        <v>1</v>
      </c>
      <c r="F47" s="370" t="s">
        <v>2</v>
      </c>
      <c r="G47" s="172" t="s">
        <v>223</v>
      </c>
      <c r="H47" s="459" t="s">
        <v>500</v>
      </c>
      <c r="I47" s="70" t="s">
        <v>11</v>
      </c>
      <c r="J47" s="103" t="s">
        <v>1</v>
      </c>
    </row>
    <row r="48" spans="1:10" ht="14.95" thickBot="1" x14ac:dyDescent="0.3">
      <c r="A48" s="166" t="s">
        <v>664</v>
      </c>
      <c r="B48" s="638">
        <v>2</v>
      </c>
      <c r="C48" s="493">
        <v>0</v>
      </c>
      <c r="D48" s="41">
        <v>0</v>
      </c>
      <c r="E48" s="168">
        <f>SUM(B48:D48)</f>
        <v>2</v>
      </c>
      <c r="F48" s="18" t="s">
        <v>664</v>
      </c>
      <c r="G48" s="173">
        <v>10</v>
      </c>
      <c r="H48" s="231">
        <v>0</v>
      </c>
      <c r="I48" s="15">
        <v>0</v>
      </c>
      <c r="J48" s="104">
        <f>SUM(G48:I48)</f>
        <v>10</v>
      </c>
    </row>
    <row r="49" spans="1:10" ht="14.95" thickBot="1" x14ac:dyDescent="0.3">
      <c r="A49" s="166" t="s">
        <v>1033</v>
      </c>
      <c r="B49" s="638">
        <v>1</v>
      </c>
      <c r="C49" s="493">
        <v>0</v>
      </c>
      <c r="D49" s="41">
        <v>0</v>
      </c>
      <c r="E49" s="168">
        <f>SUM(B49:D49)</f>
        <v>1</v>
      </c>
      <c r="F49" s="18" t="s">
        <v>208</v>
      </c>
      <c r="G49" s="173">
        <v>7</v>
      </c>
      <c r="H49" s="231">
        <v>0</v>
      </c>
      <c r="I49" s="15">
        <v>0</v>
      </c>
      <c r="J49" s="104">
        <f>SUM(G49:I49)</f>
        <v>7</v>
      </c>
    </row>
    <row r="50" spans="1:10" ht="14.95" thickBot="1" x14ac:dyDescent="0.3">
      <c r="A50" s="166" t="s">
        <v>1035</v>
      </c>
      <c r="B50" s="638">
        <v>1</v>
      </c>
      <c r="C50" s="493">
        <v>0</v>
      </c>
      <c r="D50" s="41">
        <v>0</v>
      </c>
      <c r="E50" s="168">
        <f>SUM(B50:D50)</f>
        <v>1</v>
      </c>
      <c r="F50" s="18" t="s">
        <v>150</v>
      </c>
      <c r="G50" s="173">
        <v>6</v>
      </c>
      <c r="H50" s="231">
        <v>0</v>
      </c>
      <c r="I50" s="15">
        <v>0</v>
      </c>
      <c r="J50" s="104">
        <f>SUM(G50:I50)</f>
        <v>6</v>
      </c>
    </row>
    <row r="51" spans="1:10" ht="14.95" thickBot="1" x14ac:dyDescent="0.3">
      <c r="A51" s="166" t="s">
        <v>602</v>
      </c>
      <c r="B51" s="638">
        <v>1</v>
      </c>
      <c r="C51" s="493">
        <v>0</v>
      </c>
      <c r="D51" s="41">
        <v>0</v>
      </c>
      <c r="E51" s="168">
        <f>SUM(B51:D51)</f>
        <v>1</v>
      </c>
      <c r="F51" s="17" t="s">
        <v>1033</v>
      </c>
      <c r="G51" s="173">
        <v>5</v>
      </c>
      <c r="H51" s="231">
        <v>0</v>
      </c>
      <c r="I51" s="15">
        <v>0</v>
      </c>
      <c r="J51" s="104">
        <f>SUM(G51:I51)</f>
        <v>5</v>
      </c>
    </row>
    <row r="52" spans="1:10" ht="14.95" thickBot="1" x14ac:dyDescent="0.3">
      <c r="A52" s="166" t="s">
        <v>208</v>
      </c>
      <c r="B52" s="638">
        <v>1</v>
      </c>
      <c r="C52" s="493">
        <v>0</v>
      </c>
      <c r="D52" s="41">
        <v>0</v>
      </c>
      <c r="E52" s="168">
        <f>SUM(B52:D52)</f>
        <v>1</v>
      </c>
      <c r="F52" s="17" t="s">
        <v>1035</v>
      </c>
      <c r="G52" s="173">
        <v>5</v>
      </c>
      <c r="H52" s="231">
        <v>0</v>
      </c>
      <c r="I52" s="15">
        <v>0</v>
      </c>
      <c r="J52" s="104">
        <f>SUM(G52:I52)</f>
        <v>5</v>
      </c>
    </row>
    <row r="53" spans="1:10" ht="14.95" thickBot="1" x14ac:dyDescent="0.3">
      <c r="A53" s="166" t="s">
        <v>781</v>
      </c>
      <c r="B53" s="638">
        <v>0</v>
      </c>
      <c r="C53" s="493">
        <v>0</v>
      </c>
      <c r="D53" s="41">
        <v>0</v>
      </c>
      <c r="E53" s="168">
        <f>SUM(B53:D53)</f>
        <v>0</v>
      </c>
      <c r="F53" s="17" t="s">
        <v>602</v>
      </c>
      <c r="G53" s="173">
        <v>5</v>
      </c>
      <c r="H53" s="231">
        <v>0</v>
      </c>
      <c r="I53" s="15">
        <v>0</v>
      </c>
      <c r="J53" s="104">
        <f>SUM(G53:I53)</f>
        <v>5</v>
      </c>
    </row>
    <row r="54" spans="1:10" ht="14.95" thickBot="1" x14ac:dyDescent="0.3">
      <c r="A54" s="166" t="s">
        <v>397</v>
      </c>
      <c r="B54" s="638">
        <v>0</v>
      </c>
      <c r="C54" s="493">
        <v>0</v>
      </c>
      <c r="D54" s="41">
        <v>0</v>
      </c>
      <c r="E54" s="168">
        <f>SUM(B54:D54)</f>
        <v>0</v>
      </c>
      <c r="F54" s="17" t="s">
        <v>781</v>
      </c>
      <c r="G54" s="173">
        <v>0</v>
      </c>
      <c r="H54" s="231">
        <v>0</v>
      </c>
      <c r="I54" s="15">
        <v>0</v>
      </c>
      <c r="J54" s="104">
        <f>SUM(G54:I54)</f>
        <v>0</v>
      </c>
    </row>
    <row r="55" spans="1:10" ht="14.95" thickBot="1" x14ac:dyDescent="0.3">
      <c r="A55" s="166" t="s">
        <v>307</v>
      </c>
      <c r="B55" s="638">
        <v>0</v>
      </c>
      <c r="C55" s="493">
        <v>0</v>
      </c>
      <c r="D55" s="41">
        <v>0</v>
      </c>
      <c r="E55" s="168">
        <f>SUM(B55:D55)</f>
        <v>0</v>
      </c>
      <c r="F55" s="17" t="s">
        <v>397</v>
      </c>
      <c r="G55" s="173">
        <v>0</v>
      </c>
      <c r="H55" s="231">
        <v>0</v>
      </c>
      <c r="I55" s="15">
        <v>0</v>
      </c>
      <c r="J55" s="104">
        <f>SUM(G55:I55)</f>
        <v>0</v>
      </c>
    </row>
    <row r="56" spans="1:10" ht="14.95" thickBot="1" x14ac:dyDescent="0.3">
      <c r="A56" s="166" t="s">
        <v>614</v>
      </c>
      <c r="B56" s="638">
        <v>0</v>
      </c>
      <c r="C56" s="493">
        <v>0</v>
      </c>
      <c r="D56" s="41">
        <v>0</v>
      </c>
      <c r="E56" s="168">
        <f>SUM(B56:D56)</f>
        <v>0</v>
      </c>
      <c r="F56" s="17" t="s">
        <v>307</v>
      </c>
      <c r="G56" s="173">
        <v>0</v>
      </c>
      <c r="H56" s="231">
        <v>0</v>
      </c>
      <c r="I56" s="15">
        <v>0</v>
      </c>
      <c r="J56" s="104">
        <f>SUM(G56:I56)</f>
        <v>0</v>
      </c>
    </row>
    <row r="57" spans="1:10" ht="14.95" thickBot="1" x14ac:dyDescent="0.3">
      <c r="A57" s="166" t="s">
        <v>309</v>
      </c>
      <c r="B57" s="638">
        <v>0</v>
      </c>
      <c r="C57" s="493">
        <v>0</v>
      </c>
      <c r="D57" s="41">
        <v>0</v>
      </c>
      <c r="E57" s="168">
        <f>SUM(B57:D57)</f>
        <v>0</v>
      </c>
      <c r="F57" s="17" t="s">
        <v>614</v>
      </c>
      <c r="G57" s="173">
        <v>0</v>
      </c>
      <c r="H57" s="231">
        <v>0</v>
      </c>
      <c r="I57" s="15">
        <v>0</v>
      </c>
      <c r="J57" s="104">
        <f>SUM(G57:I57)</f>
        <v>0</v>
      </c>
    </row>
    <row r="58" spans="1:10" ht="14.95" thickBot="1" x14ac:dyDescent="0.3">
      <c r="A58" s="166" t="s">
        <v>857</v>
      </c>
      <c r="B58" s="638">
        <v>0</v>
      </c>
      <c r="C58" s="493">
        <v>0</v>
      </c>
      <c r="D58" s="41">
        <v>0</v>
      </c>
      <c r="E58" s="168">
        <f>SUM(B58:D58)</f>
        <v>0</v>
      </c>
      <c r="F58" s="17" t="s">
        <v>309</v>
      </c>
      <c r="G58" s="173">
        <v>0</v>
      </c>
      <c r="H58" s="231">
        <v>0</v>
      </c>
      <c r="I58" s="15">
        <v>0</v>
      </c>
      <c r="J58" s="104">
        <f>SUM(G58:I58)</f>
        <v>0</v>
      </c>
    </row>
    <row r="59" spans="1:10" ht="14.95" thickBot="1" x14ac:dyDescent="0.3">
      <c r="A59" s="166" t="s">
        <v>320</v>
      </c>
      <c r="B59" s="638">
        <v>0</v>
      </c>
      <c r="C59" s="493">
        <v>0</v>
      </c>
      <c r="D59" s="41">
        <v>0</v>
      </c>
      <c r="E59" s="168">
        <f>SUM(B59:D59)</f>
        <v>0</v>
      </c>
      <c r="F59" s="17" t="s">
        <v>857</v>
      </c>
      <c r="G59" s="173">
        <v>0</v>
      </c>
      <c r="H59" s="231">
        <v>0</v>
      </c>
      <c r="I59" s="15">
        <v>0</v>
      </c>
      <c r="J59" s="104">
        <f>SUM(G59:I59)</f>
        <v>0</v>
      </c>
    </row>
    <row r="60" spans="1:10" ht="14.95" thickBot="1" x14ac:dyDescent="0.3">
      <c r="A60" s="166" t="s">
        <v>224</v>
      </c>
      <c r="B60" s="638">
        <v>0</v>
      </c>
      <c r="C60" s="493">
        <v>0</v>
      </c>
      <c r="D60" s="41">
        <v>0</v>
      </c>
      <c r="E60" s="168">
        <f>SUM(B60:D60)</f>
        <v>0</v>
      </c>
      <c r="F60" s="17" t="s">
        <v>320</v>
      </c>
      <c r="G60" s="173">
        <v>0</v>
      </c>
      <c r="H60" s="231">
        <v>0</v>
      </c>
      <c r="I60" s="15">
        <v>0</v>
      </c>
      <c r="J60" s="104">
        <f>SUM(G60:I60)</f>
        <v>0</v>
      </c>
    </row>
    <row r="61" spans="1:10" ht="14.95" thickBot="1" x14ac:dyDescent="0.3">
      <c r="A61" s="166" t="s">
        <v>236</v>
      </c>
      <c r="B61" s="638">
        <v>0</v>
      </c>
      <c r="C61" s="493">
        <v>0</v>
      </c>
      <c r="D61" s="41">
        <v>0</v>
      </c>
      <c r="E61" s="168">
        <f>SUM(B61:D61)</f>
        <v>0</v>
      </c>
      <c r="F61" s="17" t="s">
        <v>224</v>
      </c>
      <c r="G61" s="173">
        <v>0</v>
      </c>
      <c r="H61" s="231">
        <v>0</v>
      </c>
      <c r="I61" s="15">
        <v>0</v>
      </c>
      <c r="J61" s="104">
        <f>SUM(G61:I61)</f>
        <v>0</v>
      </c>
    </row>
    <row r="62" spans="1:10" ht="14.95" thickBot="1" x14ac:dyDescent="0.3">
      <c r="A62" s="166" t="s">
        <v>259</v>
      </c>
      <c r="B62" s="638">
        <v>0</v>
      </c>
      <c r="C62" s="493">
        <v>0</v>
      </c>
      <c r="D62" s="41">
        <v>0</v>
      </c>
      <c r="E62" s="168">
        <f>SUM(B62:D62)</f>
        <v>0</v>
      </c>
      <c r="F62" s="17" t="s">
        <v>236</v>
      </c>
      <c r="G62" s="173">
        <v>0</v>
      </c>
      <c r="H62" s="231">
        <v>0</v>
      </c>
      <c r="I62" s="15">
        <v>0</v>
      </c>
      <c r="J62" s="104">
        <f>SUM(G62:I62)</f>
        <v>0</v>
      </c>
    </row>
    <row r="63" spans="1:10" ht="14.95" thickBot="1" x14ac:dyDescent="0.3">
      <c r="A63" s="166" t="s">
        <v>395</v>
      </c>
      <c r="B63" s="638">
        <v>0</v>
      </c>
      <c r="C63" s="493">
        <v>0</v>
      </c>
      <c r="D63" s="41">
        <v>0</v>
      </c>
      <c r="E63" s="168">
        <f>SUM(B63:D63)</f>
        <v>0</v>
      </c>
      <c r="F63" s="17" t="s">
        <v>259</v>
      </c>
      <c r="G63" s="173">
        <v>0</v>
      </c>
      <c r="H63" s="231">
        <v>0</v>
      </c>
      <c r="I63" s="15">
        <v>0</v>
      </c>
      <c r="J63" s="104">
        <f>SUM(G63:I63)</f>
        <v>0</v>
      </c>
    </row>
    <row r="64" spans="1:10" ht="14.95" thickBot="1" x14ac:dyDescent="0.3">
      <c r="A64" s="166" t="s">
        <v>472</v>
      </c>
      <c r="B64" s="638">
        <v>0</v>
      </c>
      <c r="C64" s="493">
        <v>0</v>
      </c>
      <c r="D64" s="41">
        <v>0</v>
      </c>
      <c r="E64" s="168">
        <f>SUM(B64:D64)</f>
        <v>0</v>
      </c>
      <c r="F64" s="17" t="s">
        <v>395</v>
      </c>
      <c r="G64" s="173">
        <v>0</v>
      </c>
      <c r="H64" s="231">
        <v>0</v>
      </c>
      <c r="I64" s="15">
        <v>0</v>
      </c>
      <c r="J64" s="104">
        <f>SUM(G64:I64)</f>
        <v>0</v>
      </c>
    </row>
    <row r="65" spans="1:10" ht="14.95" thickBot="1" x14ac:dyDescent="0.3">
      <c r="A65" s="166" t="s">
        <v>150</v>
      </c>
      <c r="B65" s="638">
        <v>0</v>
      </c>
      <c r="C65" s="493">
        <v>0</v>
      </c>
      <c r="D65" s="41">
        <v>0</v>
      </c>
      <c r="E65" s="168">
        <f>SUM(B65:D65)</f>
        <v>0</v>
      </c>
      <c r="F65" s="17" t="s">
        <v>472</v>
      </c>
      <c r="G65" s="173">
        <v>0</v>
      </c>
      <c r="H65" s="231">
        <v>0</v>
      </c>
      <c r="I65" s="15">
        <v>0</v>
      </c>
      <c r="J65" s="104">
        <f>SUM(G65:I65)</f>
        <v>0</v>
      </c>
    </row>
    <row r="66" spans="1:10" ht="14.95" thickBot="1" x14ac:dyDescent="0.3">
      <c r="A66" s="166" t="s">
        <v>396</v>
      </c>
      <c r="B66" s="638">
        <v>0</v>
      </c>
      <c r="C66" s="493">
        <v>0</v>
      </c>
      <c r="D66" s="41">
        <v>0</v>
      </c>
      <c r="E66" s="168">
        <f>SUM(B66:D66)</f>
        <v>0</v>
      </c>
      <c r="F66" s="17" t="s">
        <v>396</v>
      </c>
      <c r="G66" s="173">
        <v>0</v>
      </c>
      <c r="H66" s="231">
        <v>0</v>
      </c>
      <c r="I66" s="15">
        <v>0</v>
      </c>
      <c r="J66" s="104">
        <f>SUM(G66:I66)</f>
        <v>0</v>
      </c>
    </row>
    <row r="67" spans="1:10" ht="14.95" thickBot="1" x14ac:dyDescent="0.3">
      <c r="A67" s="166" t="s">
        <v>151</v>
      </c>
      <c r="B67" s="638">
        <v>0</v>
      </c>
      <c r="C67" s="493">
        <v>0</v>
      </c>
      <c r="D67" s="41">
        <v>0</v>
      </c>
      <c r="E67" s="168">
        <f>SUM(B67:D67)</f>
        <v>0</v>
      </c>
      <c r="F67" s="17" t="s">
        <v>151</v>
      </c>
      <c r="G67" s="173">
        <v>0</v>
      </c>
      <c r="H67" s="231">
        <v>0</v>
      </c>
      <c r="I67" s="15">
        <v>0</v>
      </c>
      <c r="J67" s="104">
        <f>SUM(G67:I67)</f>
        <v>0</v>
      </c>
    </row>
    <row r="68" spans="1:10" ht="14.95" thickBot="1" x14ac:dyDescent="0.3">
      <c r="A68" s="166" t="s">
        <v>311</v>
      </c>
      <c r="B68" s="638">
        <v>0</v>
      </c>
      <c r="C68" s="493">
        <v>0</v>
      </c>
      <c r="D68" s="41">
        <v>0</v>
      </c>
      <c r="E68" s="168">
        <f>SUM(B68:D68)</f>
        <v>0</v>
      </c>
      <c r="F68" s="17" t="s">
        <v>311</v>
      </c>
      <c r="G68" s="173">
        <v>0</v>
      </c>
      <c r="H68" s="231">
        <v>0</v>
      </c>
      <c r="I68" s="15">
        <v>0</v>
      </c>
      <c r="J68" s="104">
        <f>SUM(G68:I68)</f>
        <v>0</v>
      </c>
    </row>
    <row r="69" spans="1:10" ht="14.95" thickBot="1" x14ac:dyDescent="0.3">
      <c r="A69" s="166" t="s">
        <v>319</v>
      </c>
      <c r="B69" s="638">
        <v>0</v>
      </c>
      <c r="C69" s="493">
        <v>0</v>
      </c>
      <c r="D69" s="41">
        <v>0</v>
      </c>
      <c r="E69" s="168">
        <f>SUM(B69:D69)</f>
        <v>0</v>
      </c>
      <c r="F69" s="17" t="s">
        <v>319</v>
      </c>
      <c r="G69" s="173">
        <v>0</v>
      </c>
      <c r="H69" s="231">
        <v>0</v>
      </c>
      <c r="I69" s="15">
        <v>0</v>
      </c>
      <c r="J69" s="104">
        <f>SUM(G69:I69)</f>
        <v>0</v>
      </c>
    </row>
    <row r="70" spans="1:10" ht="14.95" thickBot="1" x14ac:dyDescent="0.3">
      <c r="A70" s="166" t="s">
        <v>316</v>
      </c>
      <c r="B70" s="638">
        <v>0</v>
      </c>
      <c r="C70" s="493">
        <v>0</v>
      </c>
      <c r="D70" s="41">
        <v>0</v>
      </c>
      <c r="E70" s="168">
        <f>SUM(B70:D70)</f>
        <v>0</v>
      </c>
      <c r="F70" s="17" t="s">
        <v>316</v>
      </c>
      <c r="G70" s="173">
        <v>0</v>
      </c>
      <c r="H70" s="231">
        <v>0</v>
      </c>
      <c r="I70" s="15">
        <v>0</v>
      </c>
      <c r="J70" s="104">
        <f>SUM(G70:I70)</f>
        <v>0</v>
      </c>
    </row>
    <row r="71" spans="1:10" ht="14.95" thickBot="1" x14ac:dyDescent="0.3">
      <c r="A71" s="166" t="s">
        <v>30</v>
      </c>
      <c r="B71" s="638">
        <v>0</v>
      </c>
      <c r="C71" s="493">
        <v>0</v>
      </c>
      <c r="D71" s="41">
        <v>0</v>
      </c>
      <c r="E71" s="168">
        <f>SUM(B71:D71)</f>
        <v>0</v>
      </c>
      <c r="F71" s="17" t="s">
        <v>30</v>
      </c>
      <c r="G71" s="173">
        <v>0</v>
      </c>
      <c r="H71" s="231">
        <v>0</v>
      </c>
      <c r="I71" s="15">
        <v>0</v>
      </c>
      <c r="J71" s="104">
        <f>SUM(G71:I71)</f>
        <v>0</v>
      </c>
    </row>
    <row r="72" spans="1:10" ht="14.95" thickBot="1" x14ac:dyDescent="0.3">
      <c r="A72" s="166" t="s">
        <v>861</v>
      </c>
      <c r="B72" s="638">
        <v>0</v>
      </c>
      <c r="C72" s="493">
        <v>0</v>
      </c>
      <c r="D72" s="41">
        <v>0</v>
      </c>
      <c r="E72" s="168">
        <f>SUM(B72:D72)</f>
        <v>0</v>
      </c>
      <c r="F72" s="17" t="s">
        <v>861</v>
      </c>
      <c r="G72" s="173">
        <v>0</v>
      </c>
      <c r="H72" s="231">
        <v>0</v>
      </c>
      <c r="I72" s="15">
        <v>0</v>
      </c>
      <c r="J72" s="104">
        <f>SUM(G72:I72)</f>
        <v>0</v>
      </c>
    </row>
    <row r="73" spans="1:10" ht="14.95" thickBot="1" x14ac:dyDescent="0.3">
      <c r="A73" s="166" t="s">
        <v>159</v>
      </c>
      <c r="B73" s="638">
        <v>0</v>
      </c>
      <c r="C73" s="493">
        <v>0</v>
      </c>
      <c r="D73" s="41">
        <v>0</v>
      </c>
      <c r="E73" s="168">
        <f>SUM(B73:D73)</f>
        <v>0</v>
      </c>
      <c r="F73" s="17" t="s">
        <v>159</v>
      </c>
      <c r="G73" s="173">
        <v>0</v>
      </c>
      <c r="H73" s="231">
        <v>0</v>
      </c>
      <c r="I73" s="15">
        <v>0</v>
      </c>
      <c r="J73" s="104">
        <f>SUM(G73:I73)</f>
        <v>0</v>
      </c>
    </row>
    <row r="74" spans="1:10" ht="14.95" thickBot="1" x14ac:dyDescent="0.3">
      <c r="A74" s="166" t="s">
        <v>314</v>
      </c>
      <c r="B74" s="638">
        <v>0</v>
      </c>
      <c r="C74" s="493">
        <v>0</v>
      </c>
      <c r="D74" s="41">
        <v>0</v>
      </c>
      <c r="E74" s="168">
        <f>SUM(B74:D74)</f>
        <v>0</v>
      </c>
      <c r="F74" s="17" t="s">
        <v>314</v>
      </c>
      <c r="G74" s="173">
        <v>0</v>
      </c>
      <c r="H74" s="231">
        <v>0</v>
      </c>
      <c r="I74" s="15">
        <v>0</v>
      </c>
      <c r="J74" s="104">
        <f>SUM(G74:I74)</f>
        <v>0</v>
      </c>
    </row>
    <row r="75" spans="1:10" ht="14.95" thickBot="1" x14ac:dyDescent="0.3">
      <c r="A75" s="166" t="s">
        <v>237</v>
      </c>
      <c r="B75" s="638">
        <v>0</v>
      </c>
      <c r="C75" s="493">
        <v>0</v>
      </c>
      <c r="D75" s="41">
        <v>0</v>
      </c>
      <c r="E75" s="168">
        <f>SUM(B75:D75)</f>
        <v>0</v>
      </c>
      <c r="F75" s="17" t="s">
        <v>237</v>
      </c>
      <c r="G75" s="173">
        <v>0</v>
      </c>
      <c r="H75" s="231">
        <v>0</v>
      </c>
      <c r="I75" s="15">
        <v>0</v>
      </c>
      <c r="J75" s="104">
        <f>SUM(G75:I75)</f>
        <v>0</v>
      </c>
    </row>
    <row r="76" spans="1:10" ht="14.95" thickBot="1" x14ac:dyDescent="0.3">
      <c r="A76" s="166" t="s">
        <v>225</v>
      </c>
      <c r="B76" s="638">
        <v>0</v>
      </c>
      <c r="C76" s="493">
        <v>0</v>
      </c>
      <c r="D76" s="41">
        <v>0</v>
      </c>
      <c r="E76" s="168">
        <f>SUM(B76:D76)</f>
        <v>0</v>
      </c>
      <c r="F76" s="17" t="s">
        <v>225</v>
      </c>
      <c r="G76" s="173">
        <v>0</v>
      </c>
      <c r="H76" s="231">
        <v>0</v>
      </c>
      <c r="I76" s="15">
        <v>0</v>
      </c>
      <c r="J76" s="104">
        <f>SUM(G76:I76)</f>
        <v>0</v>
      </c>
    </row>
    <row r="77" spans="1:10" ht="14.95" thickBot="1" x14ac:dyDescent="0.3">
      <c r="A77" s="166" t="s">
        <v>317</v>
      </c>
      <c r="B77" s="638">
        <v>0</v>
      </c>
      <c r="C77" s="493">
        <v>0</v>
      </c>
      <c r="D77" s="41">
        <v>0</v>
      </c>
      <c r="E77" s="168">
        <f>SUM(B77:D77)</f>
        <v>0</v>
      </c>
      <c r="F77" s="17" t="s">
        <v>317</v>
      </c>
      <c r="G77" s="173">
        <v>0</v>
      </c>
      <c r="H77" s="231">
        <v>0</v>
      </c>
      <c r="I77" s="15">
        <v>0</v>
      </c>
      <c r="J77" s="104">
        <f>SUM(G77:I77)</f>
        <v>0</v>
      </c>
    </row>
    <row r="78" spans="1:10" ht="14.95" thickBot="1" x14ac:dyDescent="0.3">
      <c r="A78" s="166" t="s">
        <v>600</v>
      </c>
      <c r="B78" s="638">
        <v>0</v>
      </c>
      <c r="C78" s="493">
        <v>0</v>
      </c>
      <c r="D78" s="41">
        <v>0</v>
      </c>
      <c r="E78" s="168">
        <f>SUM(B78:D78)</f>
        <v>0</v>
      </c>
      <c r="F78" s="17" t="s">
        <v>600</v>
      </c>
      <c r="G78" s="173">
        <v>0</v>
      </c>
      <c r="H78" s="231">
        <v>0</v>
      </c>
      <c r="I78" s="15">
        <v>0</v>
      </c>
      <c r="J78" s="104">
        <f>SUM(G78:I78)</f>
        <v>0</v>
      </c>
    </row>
    <row r="79" spans="1:10" ht="14.95" thickBot="1" x14ac:dyDescent="0.3">
      <c r="A79" s="166" t="s">
        <v>313</v>
      </c>
      <c r="B79" s="638">
        <v>0</v>
      </c>
      <c r="C79" s="493">
        <v>0</v>
      </c>
      <c r="D79" s="41">
        <v>0</v>
      </c>
      <c r="E79" s="168">
        <f>SUM(B79:D79)</f>
        <v>0</v>
      </c>
      <c r="F79" s="17" t="s">
        <v>313</v>
      </c>
      <c r="G79" s="173">
        <v>0</v>
      </c>
      <c r="H79" s="231">
        <v>0</v>
      </c>
      <c r="I79" s="15">
        <v>0</v>
      </c>
      <c r="J79" s="104">
        <f>SUM(G79:I79)</f>
        <v>0</v>
      </c>
    </row>
    <row r="80" spans="1:10" ht="14.95" thickBot="1" x14ac:dyDescent="0.3">
      <c r="A80" s="166" t="s">
        <v>519</v>
      </c>
      <c r="B80" s="638">
        <v>0</v>
      </c>
      <c r="C80" s="493">
        <v>0</v>
      </c>
      <c r="D80" s="41">
        <v>0</v>
      </c>
      <c r="E80" s="168">
        <f>SUM(B80:D80)</f>
        <v>0</v>
      </c>
      <c r="F80" s="17" t="s">
        <v>519</v>
      </c>
      <c r="G80" s="173">
        <v>0</v>
      </c>
      <c r="H80" s="231">
        <v>0</v>
      </c>
      <c r="I80" s="15">
        <v>0</v>
      </c>
      <c r="J80" s="104">
        <f>SUM(G80:I80)</f>
        <v>0</v>
      </c>
    </row>
    <row r="81" spans="1:10" ht="14.95" thickBot="1" x14ac:dyDescent="0.3">
      <c r="A81" s="166" t="s">
        <v>874</v>
      </c>
      <c r="B81" s="638">
        <v>0</v>
      </c>
      <c r="C81" s="493">
        <v>0</v>
      </c>
      <c r="D81" s="41">
        <v>0</v>
      </c>
      <c r="E81" s="168">
        <f>SUM(B81:D81)</f>
        <v>0</v>
      </c>
      <c r="F81" s="17" t="s">
        <v>874</v>
      </c>
      <c r="G81" s="173">
        <v>0</v>
      </c>
      <c r="H81" s="231">
        <v>0</v>
      </c>
      <c r="I81" s="15">
        <v>0</v>
      </c>
      <c r="J81" s="104">
        <f>SUM(G81:I81)</f>
        <v>0</v>
      </c>
    </row>
    <row r="82" spans="1:10" ht="14.95" thickBot="1" x14ac:dyDescent="0.3">
      <c r="A82" s="166" t="s">
        <v>779</v>
      </c>
      <c r="B82" s="638">
        <v>0</v>
      </c>
      <c r="C82" s="493">
        <v>0</v>
      </c>
      <c r="D82" s="41">
        <v>0</v>
      </c>
      <c r="E82" s="168">
        <f>SUM(B82:D82)</f>
        <v>0</v>
      </c>
      <c r="F82" s="17" t="s">
        <v>779</v>
      </c>
      <c r="G82" s="173">
        <v>0</v>
      </c>
      <c r="H82" s="231">
        <v>0</v>
      </c>
      <c r="I82" s="15">
        <v>0</v>
      </c>
      <c r="J82" s="104">
        <f>SUM(G82:I82)</f>
        <v>0</v>
      </c>
    </row>
    <row r="83" spans="1:10" ht="14.95" thickBot="1" x14ac:dyDescent="0.3">
      <c r="A83" s="166" t="s">
        <v>318</v>
      </c>
      <c r="B83" s="638">
        <v>0</v>
      </c>
      <c r="C83" s="493">
        <v>0</v>
      </c>
      <c r="D83" s="41">
        <v>0</v>
      </c>
      <c r="E83" s="168">
        <f>SUM(B83:D83)</f>
        <v>0</v>
      </c>
      <c r="F83" s="17" t="s">
        <v>318</v>
      </c>
      <c r="G83" s="173">
        <v>0</v>
      </c>
      <c r="H83" s="231">
        <v>0</v>
      </c>
      <c r="I83" s="15">
        <v>0</v>
      </c>
      <c r="J83" s="104">
        <f>SUM(G83:I83)</f>
        <v>0</v>
      </c>
    </row>
    <row r="84" spans="1:10" ht="14.95" thickBot="1" x14ac:dyDescent="0.3">
      <c r="A84" s="166" t="s">
        <v>858</v>
      </c>
      <c r="B84" s="638">
        <v>0</v>
      </c>
      <c r="C84" s="493">
        <v>0</v>
      </c>
      <c r="D84" s="41">
        <v>0</v>
      </c>
      <c r="E84" s="168">
        <f>SUM(B84:D84)</f>
        <v>0</v>
      </c>
      <c r="F84" s="17" t="s">
        <v>858</v>
      </c>
      <c r="G84" s="173">
        <v>0</v>
      </c>
      <c r="H84" s="231">
        <v>0</v>
      </c>
      <c r="I84" s="15">
        <v>0</v>
      </c>
      <c r="J84" s="104">
        <f>SUM(G84:I84)</f>
        <v>0</v>
      </c>
    </row>
    <row r="85" spans="1:10" ht="14.95" thickBot="1" x14ac:dyDescent="0.3">
      <c r="A85" s="166" t="s">
        <v>312</v>
      </c>
      <c r="B85" s="638">
        <v>0</v>
      </c>
      <c r="C85" s="493">
        <v>0</v>
      </c>
      <c r="D85" s="41">
        <v>0</v>
      </c>
      <c r="E85" s="168">
        <f>SUM(B85:D85)</f>
        <v>0</v>
      </c>
      <c r="F85" s="17" t="s">
        <v>312</v>
      </c>
      <c r="G85" s="173">
        <v>0</v>
      </c>
      <c r="H85" s="231">
        <v>0</v>
      </c>
      <c r="I85" s="15">
        <v>0</v>
      </c>
      <c r="J85" s="104">
        <f>SUM(G85:I85)</f>
        <v>0</v>
      </c>
    </row>
    <row r="86" spans="1:10" ht="14.95" thickBot="1" x14ac:dyDescent="0.3">
      <c r="A86" s="166" t="s">
        <v>308</v>
      </c>
      <c r="B86" s="638">
        <v>0</v>
      </c>
      <c r="C86" s="493">
        <v>0</v>
      </c>
      <c r="D86" s="41">
        <v>0</v>
      </c>
      <c r="E86" s="168">
        <f>SUM(B86:D86)</f>
        <v>0</v>
      </c>
      <c r="F86" s="17" t="s">
        <v>308</v>
      </c>
      <c r="G86" s="173">
        <v>0</v>
      </c>
      <c r="H86" s="231">
        <v>0</v>
      </c>
      <c r="I86" s="15">
        <v>0</v>
      </c>
      <c r="J86" s="104">
        <f>SUM(G86:I86)</f>
        <v>0</v>
      </c>
    </row>
    <row r="87" spans="1:10" ht="14.95" thickBot="1" x14ac:dyDescent="0.3">
      <c r="A87" s="166" t="s">
        <v>315</v>
      </c>
      <c r="B87" s="638">
        <v>0</v>
      </c>
      <c r="C87" s="493">
        <v>0</v>
      </c>
      <c r="D87" s="41">
        <v>0</v>
      </c>
      <c r="E87" s="168">
        <f>SUM(B87:D87)</f>
        <v>0</v>
      </c>
      <c r="F87" s="17" t="s">
        <v>315</v>
      </c>
      <c r="G87" s="173">
        <v>0</v>
      </c>
      <c r="H87" s="231">
        <v>0</v>
      </c>
      <c r="I87" s="15">
        <v>0</v>
      </c>
      <c r="J87" s="104">
        <f>SUM(G87:I87)</f>
        <v>0</v>
      </c>
    </row>
    <row r="88" spans="1:10" ht="14.95" thickBot="1" x14ac:dyDescent="0.3">
      <c r="A88" s="166" t="s">
        <v>238</v>
      </c>
      <c r="B88" s="638">
        <v>0</v>
      </c>
      <c r="C88" s="493">
        <v>0</v>
      </c>
      <c r="D88" s="41">
        <v>0</v>
      </c>
      <c r="E88" s="168">
        <f>SUM(B88:D88)</f>
        <v>0</v>
      </c>
      <c r="F88" s="17" t="s">
        <v>238</v>
      </c>
      <c r="G88" s="173">
        <v>0</v>
      </c>
      <c r="H88" s="231">
        <v>0</v>
      </c>
      <c r="I88" s="15">
        <v>0</v>
      </c>
      <c r="J88" s="104">
        <f>SUM(G88:I88)</f>
        <v>0</v>
      </c>
    </row>
    <row r="89" spans="1:10" ht="14.95" thickBot="1" x14ac:dyDescent="0.3">
      <c r="A89" s="166" t="s">
        <v>3</v>
      </c>
      <c r="B89" s="638">
        <f>SUM(B48:B88)</f>
        <v>6</v>
      </c>
      <c r="C89" s="493">
        <f>SUM(C48:C88)</f>
        <v>0</v>
      </c>
      <c r="D89" s="41">
        <f>SUM(D48:D88)</f>
        <v>0</v>
      </c>
      <c r="E89" s="168">
        <f t="shared" ref="E48:E89" si="2">SUM(B89:D89)</f>
        <v>6</v>
      </c>
      <c r="F89" s="49" t="s">
        <v>3</v>
      </c>
      <c r="G89" s="174">
        <f>SUM(G48:G88)</f>
        <v>38</v>
      </c>
      <c r="H89" s="494">
        <f>SUM(H48:H88)</f>
        <v>0</v>
      </c>
      <c r="I89" s="70">
        <f>SUM(I48:I88)</f>
        <v>0</v>
      </c>
      <c r="J89" s="103">
        <f t="shared" ref="J48:J89" si="3">SUM(G89:I89)</f>
        <v>38</v>
      </c>
    </row>
    <row r="90" spans="1:10" ht="16.3" x14ac:dyDescent="0.3">
      <c r="A90" s="524" t="s">
        <v>10</v>
      </c>
      <c r="B90" s="524"/>
      <c r="C90" s="524"/>
      <c r="D90" s="525"/>
    </row>
  </sheetData>
  <sortState xmlns:xlrd2="http://schemas.microsoft.com/office/spreadsheetml/2017/richdata2" ref="F48:J88">
    <sortCondition descending="1" ref="J48:J88"/>
  </sortState>
  <mergeCells count="23">
    <mergeCell ref="AD1:AF2"/>
    <mergeCell ref="O11:Q12"/>
    <mergeCell ref="O28:Q29"/>
    <mergeCell ref="V1:X2"/>
    <mergeCell ref="U11:W12"/>
    <mergeCell ref="O1:Q2"/>
    <mergeCell ref="R1:R2"/>
    <mergeCell ref="S1:U2"/>
    <mergeCell ref="R11:T12"/>
    <mergeCell ref="O19:Q20"/>
    <mergeCell ref="AA1:AC2"/>
    <mergeCell ref="AA11:AC12"/>
    <mergeCell ref="R28:T29"/>
    <mergeCell ref="A90:D90"/>
    <mergeCell ref="K11:K12"/>
    <mergeCell ref="L11:N12"/>
    <mergeCell ref="A1:J1"/>
    <mergeCell ref="K1:K2"/>
    <mergeCell ref="L1:N2"/>
    <mergeCell ref="K19:K20"/>
    <mergeCell ref="K28:K29"/>
    <mergeCell ref="L28:N29"/>
    <mergeCell ref="L19:N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08"/>
  <sheetViews>
    <sheetView zoomScaleNormal="100" workbookViewId="0">
      <selection activeCell="M5" sqref="M5"/>
    </sheetView>
  </sheetViews>
  <sheetFormatPr defaultRowHeight="14.3" x14ac:dyDescent="0.25"/>
  <cols>
    <col min="1" max="1" width="19.625" customWidth="1"/>
    <col min="2" max="2" width="4.5" customWidth="1"/>
    <col min="3" max="3" width="4.875" bestFit="1" customWidth="1"/>
    <col min="4" max="4" width="4.5" customWidth="1"/>
    <col min="5" max="5" width="4.75" customWidth="1"/>
    <col min="6" max="6" width="19.625" customWidth="1"/>
    <col min="7" max="10" width="5.25" customWidth="1"/>
    <col min="11" max="11" width="15.25" customWidth="1"/>
    <col min="12" max="16" width="5.5" customWidth="1"/>
    <col min="17" max="17" width="5.75" customWidth="1"/>
    <col min="18" max="29" width="5.5" customWidth="1"/>
    <col min="30" max="32" width="5.625" customWidth="1"/>
  </cols>
  <sheetData>
    <row r="1" spans="1:32" ht="14.95" customHeight="1" thickBot="1" x14ac:dyDescent="0.3">
      <c r="A1" s="558" t="s">
        <v>1016</v>
      </c>
      <c r="B1" s="559"/>
      <c r="C1" s="559"/>
      <c r="D1" s="559"/>
      <c r="E1" s="559"/>
      <c r="F1" s="559"/>
      <c r="G1" s="559"/>
      <c r="H1" s="559"/>
      <c r="I1" s="559"/>
      <c r="J1" s="560"/>
      <c r="K1" s="561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6">
        <v>2025</v>
      </c>
      <c r="T1" s="517"/>
      <c r="U1" s="518"/>
      <c r="V1" s="516">
        <v>2024</v>
      </c>
      <c r="W1" s="517"/>
      <c r="X1" s="518"/>
      <c r="Y1" s="56"/>
      <c r="Z1" s="56"/>
      <c r="AA1" s="516">
        <v>2023</v>
      </c>
      <c r="AB1" s="517"/>
      <c r="AC1" s="518"/>
      <c r="AD1" s="516">
        <v>2022</v>
      </c>
      <c r="AE1" s="517"/>
      <c r="AF1" s="518"/>
    </row>
    <row r="2" spans="1:32" ht="14.95" customHeight="1" thickBot="1" x14ac:dyDescent="0.3">
      <c r="A2" s="65" t="s">
        <v>0</v>
      </c>
      <c r="B2" s="278" t="s">
        <v>14</v>
      </c>
      <c r="C2" s="97" t="s">
        <v>500</v>
      </c>
      <c r="D2" s="382" t="s">
        <v>11</v>
      </c>
      <c r="E2" s="68" t="s">
        <v>1</v>
      </c>
      <c r="F2" s="130" t="s">
        <v>2</v>
      </c>
      <c r="G2" s="280" t="s">
        <v>14</v>
      </c>
      <c r="H2" s="148" t="s">
        <v>500</v>
      </c>
      <c r="I2" s="381" t="s">
        <v>11</v>
      </c>
      <c r="J2" s="118" t="s">
        <v>1</v>
      </c>
      <c r="K2" s="562"/>
      <c r="L2" s="505"/>
      <c r="M2" s="506"/>
      <c r="N2" s="507"/>
      <c r="O2" s="505"/>
      <c r="P2" s="506"/>
      <c r="Q2" s="507"/>
      <c r="R2" s="523"/>
      <c r="S2" s="519"/>
      <c r="T2" s="520"/>
      <c r="U2" s="521"/>
      <c r="V2" s="519"/>
      <c r="W2" s="520"/>
      <c r="X2" s="521"/>
      <c r="Y2" s="56"/>
      <c r="Z2" s="56"/>
      <c r="AA2" s="519"/>
      <c r="AB2" s="520"/>
      <c r="AC2" s="521"/>
      <c r="AD2" s="519"/>
      <c r="AE2" s="520"/>
      <c r="AF2" s="521"/>
    </row>
    <row r="3" spans="1:32" ht="14.95" customHeight="1" thickBot="1" x14ac:dyDescent="0.3">
      <c r="A3" s="62" t="s">
        <v>56</v>
      </c>
      <c r="B3" s="279">
        <v>0</v>
      </c>
      <c r="C3" s="98">
        <v>0</v>
      </c>
      <c r="D3" s="217">
        <v>0</v>
      </c>
      <c r="E3" s="59">
        <f t="shared" ref="E3:E53" si="0">SUM(B3:D3)</f>
        <v>0</v>
      </c>
      <c r="F3" s="131" t="s">
        <v>56</v>
      </c>
      <c r="G3" s="281">
        <v>0</v>
      </c>
      <c r="H3" s="149">
        <v>0</v>
      </c>
      <c r="I3" s="1">
        <v>0</v>
      </c>
      <c r="J3" s="29">
        <f t="shared" ref="J3:J53" si="1">SUM(G3:I3)</f>
        <v>0</v>
      </c>
      <c r="K3" s="4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Y3" s="56"/>
      <c r="Z3" s="56"/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62" t="s">
        <v>40</v>
      </c>
      <c r="B4" s="279">
        <v>0</v>
      </c>
      <c r="C4" s="98">
        <v>0</v>
      </c>
      <c r="D4" s="217">
        <v>0</v>
      </c>
      <c r="E4" s="59">
        <f t="shared" si="0"/>
        <v>0</v>
      </c>
      <c r="F4" s="131" t="s">
        <v>40</v>
      </c>
      <c r="G4" s="281">
        <v>0</v>
      </c>
      <c r="H4" s="149">
        <v>0</v>
      </c>
      <c r="I4" s="1">
        <v>0</v>
      </c>
      <c r="J4" s="29">
        <f t="shared" si="1"/>
        <v>0</v>
      </c>
      <c r="K4" s="203" t="s">
        <v>56</v>
      </c>
      <c r="L4" s="63" t="s">
        <v>8</v>
      </c>
      <c r="M4" s="63" t="s">
        <v>8</v>
      </c>
      <c r="N4" s="64" t="s">
        <v>8</v>
      </c>
      <c r="O4" s="63" t="s">
        <v>8</v>
      </c>
      <c r="P4" s="63" t="s">
        <v>8</v>
      </c>
      <c r="Q4" s="64" t="s">
        <v>8</v>
      </c>
      <c r="R4" s="63">
        <v>3</v>
      </c>
      <c r="S4" s="59">
        <v>13</v>
      </c>
      <c r="T4" s="59">
        <v>16</v>
      </c>
      <c r="U4" s="117">
        <v>81.25</v>
      </c>
      <c r="V4" s="59">
        <v>27</v>
      </c>
      <c r="W4" s="59">
        <v>45</v>
      </c>
      <c r="X4" s="117">
        <f>SUM(V4/W4)*100</f>
        <v>60</v>
      </c>
      <c r="Y4" s="56"/>
      <c r="Z4" s="56"/>
      <c r="AA4" s="260">
        <v>12</v>
      </c>
      <c r="AB4" s="59">
        <v>17</v>
      </c>
      <c r="AC4" s="117">
        <f>SUM(AA4/AB4)*100</f>
        <v>70.588235294117652</v>
      </c>
      <c r="AD4" s="260" t="s">
        <v>8</v>
      </c>
      <c r="AE4" s="59" t="s">
        <v>8</v>
      </c>
      <c r="AF4" s="117" t="s">
        <v>8</v>
      </c>
    </row>
    <row r="5" spans="1:32" ht="14.95" customHeight="1" thickBot="1" x14ac:dyDescent="0.3">
      <c r="A5" s="62" t="s">
        <v>494</v>
      </c>
      <c r="B5" s="279">
        <v>0</v>
      </c>
      <c r="C5" s="98">
        <v>0</v>
      </c>
      <c r="D5" s="217">
        <v>0</v>
      </c>
      <c r="E5" s="59">
        <f t="shared" si="0"/>
        <v>0</v>
      </c>
      <c r="F5" s="131" t="s">
        <v>494</v>
      </c>
      <c r="G5" s="281">
        <v>0</v>
      </c>
      <c r="H5" s="149">
        <v>0</v>
      </c>
      <c r="I5" s="1">
        <v>0</v>
      </c>
      <c r="J5" s="29">
        <f t="shared" si="1"/>
        <v>0</v>
      </c>
      <c r="K5" s="62" t="s">
        <v>60</v>
      </c>
      <c r="L5" s="63">
        <v>12</v>
      </c>
      <c r="M5" s="63">
        <v>12</v>
      </c>
      <c r="N5" s="64">
        <f>SUM(L5/M5)*100</f>
        <v>100</v>
      </c>
      <c r="O5" s="63">
        <v>12</v>
      </c>
      <c r="P5" s="63">
        <v>12</v>
      </c>
      <c r="Q5" s="64">
        <f>SUM(O5/P5)*100</f>
        <v>100</v>
      </c>
      <c r="R5" s="63">
        <v>13</v>
      </c>
      <c r="S5" s="59">
        <v>48</v>
      </c>
      <c r="T5" s="59">
        <v>66</v>
      </c>
      <c r="U5" s="117">
        <v>72.727272727272734</v>
      </c>
      <c r="V5" s="59">
        <v>4</v>
      </c>
      <c r="W5" s="59">
        <v>7</v>
      </c>
      <c r="X5" s="117">
        <f>SUM(V5/W5)*100</f>
        <v>57.142857142857139</v>
      </c>
      <c r="Y5" s="56"/>
      <c r="Z5" s="56"/>
      <c r="AA5" s="260" t="s">
        <v>8</v>
      </c>
      <c r="AB5" s="59" t="s">
        <v>8</v>
      </c>
      <c r="AC5" s="117" t="s">
        <v>8</v>
      </c>
      <c r="AD5" s="260">
        <v>16</v>
      </c>
      <c r="AE5" s="59">
        <v>31</v>
      </c>
      <c r="AF5" s="117">
        <f>SUM(AD5/AE5)*100</f>
        <v>51.612903225806448</v>
      </c>
    </row>
    <row r="6" spans="1:32" ht="14.95" customHeight="1" thickBot="1" x14ac:dyDescent="0.3">
      <c r="A6" s="62" t="s">
        <v>521</v>
      </c>
      <c r="B6" s="279">
        <v>0</v>
      </c>
      <c r="C6" s="98">
        <v>0</v>
      </c>
      <c r="D6" s="217">
        <v>0</v>
      </c>
      <c r="E6" s="59">
        <f t="shared" ref="E6" si="2">SUM(B6:D6)</f>
        <v>0</v>
      </c>
      <c r="F6" s="131" t="s">
        <v>521</v>
      </c>
      <c r="G6" s="281">
        <v>0</v>
      </c>
      <c r="H6" s="149">
        <v>0</v>
      </c>
      <c r="I6" s="1">
        <v>0</v>
      </c>
      <c r="J6" s="29">
        <f t="shared" ref="J6" si="3">SUM(G6:I6)</f>
        <v>0</v>
      </c>
      <c r="K6" s="62" t="s">
        <v>98</v>
      </c>
      <c r="L6" s="63" t="s">
        <v>8</v>
      </c>
      <c r="M6" s="63" t="s">
        <v>8</v>
      </c>
      <c r="N6" s="64" t="s">
        <v>8</v>
      </c>
      <c r="O6" s="63" t="s">
        <v>8</v>
      </c>
      <c r="P6" s="63" t="s">
        <v>8</v>
      </c>
      <c r="Q6" s="64" t="s">
        <v>8</v>
      </c>
      <c r="R6" s="63">
        <v>-3</v>
      </c>
      <c r="S6" s="59" t="s">
        <v>8</v>
      </c>
      <c r="T6" s="59" t="s">
        <v>8</v>
      </c>
      <c r="U6" s="117" t="s">
        <v>8</v>
      </c>
      <c r="V6" s="59">
        <v>0</v>
      </c>
      <c r="W6" s="59">
        <v>2</v>
      </c>
      <c r="X6" s="117">
        <f>SUM(V6/W6)*100</f>
        <v>0</v>
      </c>
      <c r="Y6" s="56"/>
      <c r="Z6" s="56"/>
      <c r="AA6" s="260">
        <v>2</v>
      </c>
      <c r="AB6" s="59">
        <v>5</v>
      </c>
      <c r="AC6" s="117">
        <f>SUM(AA6/AB6)*100</f>
        <v>40</v>
      </c>
      <c r="AD6" s="260" t="s">
        <v>8</v>
      </c>
      <c r="AE6" s="59" t="s">
        <v>8</v>
      </c>
      <c r="AF6" s="117" t="s">
        <v>8</v>
      </c>
    </row>
    <row r="7" spans="1:32" ht="15.8" customHeight="1" thickBot="1" x14ac:dyDescent="0.3">
      <c r="A7" s="62" t="s">
        <v>41</v>
      </c>
      <c r="B7" s="279">
        <v>0</v>
      </c>
      <c r="C7" s="98">
        <v>0</v>
      </c>
      <c r="D7" s="217">
        <v>0</v>
      </c>
      <c r="E7" s="59">
        <f t="shared" si="0"/>
        <v>0</v>
      </c>
      <c r="F7" s="132" t="s">
        <v>41</v>
      </c>
      <c r="G7" s="281">
        <v>0</v>
      </c>
      <c r="H7" s="149">
        <v>0</v>
      </c>
      <c r="I7" s="1">
        <v>0</v>
      </c>
      <c r="J7" s="29">
        <f t="shared" si="1"/>
        <v>0</v>
      </c>
      <c r="K7" s="62" t="s">
        <v>65</v>
      </c>
      <c r="L7" s="63" t="s">
        <v>8</v>
      </c>
      <c r="M7" s="63" t="s">
        <v>8</v>
      </c>
      <c r="N7" s="64" t="s">
        <v>8</v>
      </c>
      <c r="O7" s="63" t="s">
        <v>8</v>
      </c>
      <c r="P7" s="63" t="s">
        <v>8</v>
      </c>
      <c r="Q7" s="64" t="s">
        <v>8</v>
      </c>
      <c r="R7" s="63">
        <v>2</v>
      </c>
      <c r="S7" s="59" t="s">
        <v>8</v>
      </c>
      <c r="T7" s="59" t="s">
        <v>8</v>
      </c>
      <c r="U7" s="117" t="s">
        <v>8</v>
      </c>
      <c r="V7" s="59" t="s">
        <v>8</v>
      </c>
      <c r="W7" s="59" t="s">
        <v>8</v>
      </c>
      <c r="X7" s="117" t="s">
        <v>8</v>
      </c>
      <c r="Y7" s="56"/>
      <c r="Z7" s="56"/>
      <c r="AA7" s="260">
        <v>1</v>
      </c>
      <c r="AB7" s="59">
        <v>1</v>
      </c>
      <c r="AC7" s="117">
        <f>SUM(AA7/AB7)*100</f>
        <v>100</v>
      </c>
      <c r="AD7" s="260">
        <v>1</v>
      </c>
      <c r="AE7" s="59">
        <v>1</v>
      </c>
      <c r="AF7" s="117">
        <f>SUM(AD7/AE7)*100</f>
        <v>100</v>
      </c>
    </row>
    <row r="8" spans="1:32" ht="15.8" customHeight="1" thickBot="1" x14ac:dyDescent="0.3">
      <c r="A8" s="62" t="s">
        <v>42</v>
      </c>
      <c r="B8" s="279">
        <v>4</v>
      </c>
      <c r="C8" s="98">
        <v>0</v>
      </c>
      <c r="D8" s="217">
        <v>0</v>
      </c>
      <c r="E8" s="59">
        <f t="shared" si="0"/>
        <v>4</v>
      </c>
      <c r="F8" s="132" t="s">
        <v>42</v>
      </c>
      <c r="G8" s="281">
        <v>20</v>
      </c>
      <c r="H8" s="149">
        <v>0</v>
      </c>
      <c r="I8" s="1">
        <v>0</v>
      </c>
      <c r="J8" s="29">
        <f t="shared" si="1"/>
        <v>20</v>
      </c>
      <c r="K8" s="62" t="s">
        <v>66</v>
      </c>
      <c r="L8" s="63">
        <v>4</v>
      </c>
      <c r="M8" s="63">
        <v>5</v>
      </c>
      <c r="N8" s="64">
        <f>SUM(L8/M8)*100</f>
        <v>80</v>
      </c>
      <c r="O8" s="63">
        <v>4</v>
      </c>
      <c r="P8" s="63">
        <v>5</v>
      </c>
      <c r="Q8" s="64">
        <f>SUM(O8/P8)*100</f>
        <v>80</v>
      </c>
      <c r="R8" s="63">
        <v>-1</v>
      </c>
      <c r="S8" s="59">
        <v>11</v>
      </c>
      <c r="T8" s="59">
        <v>14</v>
      </c>
      <c r="U8" s="117">
        <v>78.571428571428569</v>
      </c>
      <c r="V8" s="59">
        <v>5</v>
      </c>
      <c r="W8" s="59">
        <v>12</v>
      </c>
      <c r="X8" s="117">
        <f>SUM(V8/W8)*100</f>
        <v>41.666666666666671</v>
      </c>
      <c r="Y8" s="56"/>
      <c r="Z8" s="56"/>
      <c r="AA8" s="260">
        <v>15</v>
      </c>
      <c r="AB8" s="59">
        <v>22</v>
      </c>
      <c r="AC8" s="117">
        <f>SUM(AA8/AB8)*100</f>
        <v>68.181818181818173</v>
      </c>
      <c r="AD8" s="260">
        <v>7</v>
      </c>
      <c r="AE8" s="59">
        <v>11</v>
      </c>
      <c r="AF8" s="117">
        <f>SUM(AD8/AE8)*100</f>
        <v>63.636363636363633</v>
      </c>
    </row>
    <row r="9" spans="1:32" ht="14.95" customHeight="1" thickBot="1" x14ac:dyDescent="0.3">
      <c r="A9" s="62" t="s">
        <v>43</v>
      </c>
      <c r="B9" s="279">
        <v>0</v>
      </c>
      <c r="C9" s="98">
        <v>0</v>
      </c>
      <c r="D9" s="217">
        <v>0</v>
      </c>
      <c r="E9" s="59">
        <f t="shared" si="0"/>
        <v>0</v>
      </c>
      <c r="F9" s="132" t="s">
        <v>43</v>
      </c>
      <c r="G9" s="281">
        <v>0</v>
      </c>
      <c r="H9" s="149">
        <v>0</v>
      </c>
      <c r="I9" s="1">
        <v>0</v>
      </c>
      <c r="J9" s="29">
        <f t="shared" si="1"/>
        <v>0</v>
      </c>
      <c r="K9" s="62" t="s">
        <v>67</v>
      </c>
      <c r="L9" s="63" t="s">
        <v>8</v>
      </c>
      <c r="M9" s="63" t="s">
        <v>8</v>
      </c>
      <c r="N9" s="64" t="s">
        <v>8</v>
      </c>
      <c r="O9" s="63" t="s">
        <v>8</v>
      </c>
      <c r="P9" s="63" t="s">
        <v>8</v>
      </c>
      <c r="Q9" s="64" t="s">
        <v>8</v>
      </c>
      <c r="R9" s="63">
        <v>-1</v>
      </c>
      <c r="S9" s="59">
        <v>0</v>
      </c>
      <c r="T9" s="59">
        <v>1</v>
      </c>
      <c r="U9" s="117">
        <v>0</v>
      </c>
      <c r="V9" s="59" t="s">
        <v>8</v>
      </c>
      <c r="W9" s="59" t="s">
        <v>8</v>
      </c>
      <c r="X9" s="117" t="s">
        <v>8</v>
      </c>
      <c r="AA9" s="260" t="s">
        <v>8</v>
      </c>
      <c r="AB9" s="59" t="s">
        <v>8</v>
      </c>
      <c r="AC9" s="117" t="s">
        <v>8</v>
      </c>
      <c r="AD9" s="260">
        <v>41</v>
      </c>
      <c r="AE9" s="59">
        <v>60</v>
      </c>
      <c r="AF9" s="117">
        <f>SUM(AD9/AE9)*100</f>
        <v>68.333333333333329</v>
      </c>
    </row>
    <row r="10" spans="1:32" ht="14.95" customHeight="1" thickBot="1" x14ac:dyDescent="0.3">
      <c r="A10" s="62" t="s">
        <v>57</v>
      </c>
      <c r="B10" s="279">
        <v>1</v>
      </c>
      <c r="C10" s="98">
        <v>0</v>
      </c>
      <c r="D10" s="217">
        <v>0</v>
      </c>
      <c r="E10" s="59">
        <f t="shared" si="0"/>
        <v>1</v>
      </c>
      <c r="F10" s="132" t="s">
        <v>57</v>
      </c>
      <c r="G10" s="281">
        <v>5</v>
      </c>
      <c r="H10" s="149">
        <v>0</v>
      </c>
      <c r="I10" s="1">
        <v>0</v>
      </c>
      <c r="J10" s="29">
        <f t="shared" si="1"/>
        <v>5</v>
      </c>
      <c r="K10" s="62" t="s">
        <v>68</v>
      </c>
      <c r="L10" s="63" t="s">
        <v>8</v>
      </c>
      <c r="M10" s="63" t="s">
        <v>8</v>
      </c>
      <c r="N10" s="64" t="s">
        <v>8</v>
      </c>
      <c r="O10" s="63" t="s">
        <v>8</v>
      </c>
      <c r="P10" s="63" t="s">
        <v>8</v>
      </c>
      <c r="Q10" s="64" t="s">
        <v>8</v>
      </c>
      <c r="R10" s="63">
        <v>6</v>
      </c>
      <c r="S10" s="59">
        <v>9</v>
      </c>
      <c r="T10" s="59">
        <v>11</v>
      </c>
      <c r="U10" s="117">
        <v>81.818181818181827</v>
      </c>
      <c r="V10" s="59" t="s">
        <v>8</v>
      </c>
      <c r="W10" s="59" t="s">
        <v>8</v>
      </c>
      <c r="X10" s="117" t="s">
        <v>8</v>
      </c>
      <c r="AA10" s="260">
        <v>5</v>
      </c>
      <c r="AB10" s="59">
        <v>11</v>
      </c>
      <c r="AC10" s="117">
        <f>SUM(AA10/AB10)*100</f>
        <v>45.454545454545453</v>
      </c>
      <c r="AD10" s="260" t="s">
        <v>8</v>
      </c>
      <c r="AE10" s="59" t="s">
        <v>8</v>
      </c>
      <c r="AF10" s="117" t="s">
        <v>8</v>
      </c>
    </row>
    <row r="11" spans="1:32" ht="14.95" thickBot="1" x14ac:dyDescent="0.3">
      <c r="A11" s="62" t="s">
        <v>656</v>
      </c>
      <c r="B11" s="279">
        <v>0</v>
      </c>
      <c r="C11" s="98">
        <v>0</v>
      </c>
      <c r="D11" s="217">
        <v>0</v>
      </c>
      <c r="E11" s="59">
        <f t="shared" si="0"/>
        <v>0</v>
      </c>
      <c r="F11" s="132" t="s">
        <v>656</v>
      </c>
      <c r="G11" s="281">
        <v>0</v>
      </c>
      <c r="H11" s="149">
        <v>0</v>
      </c>
      <c r="I11" s="1">
        <v>0</v>
      </c>
      <c r="J11" s="29">
        <f t="shared" si="1"/>
        <v>0</v>
      </c>
      <c r="K11" s="62" t="s">
        <v>69</v>
      </c>
      <c r="L11" s="63" t="s">
        <v>8</v>
      </c>
      <c r="M11" s="63" t="s">
        <v>8</v>
      </c>
      <c r="N11" s="64" t="s">
        <v>8</v>
      </c>
      <c r="O11" s="63" t="s">
        <v>8</v>
      </c>
      <c r="P11" s="63" t="s">
        <v>8</v>
      </c>
      <c r="Q11" s="64" t="s">
        <v>8</v>
      </c>
      <c r="R11" s="63">
        <v>1</v>
      </c>
      <c r="S11" s="59" t="s">
        <v>8</v>
      </c>
      <c r="T11" s="59" t="s">
        <v>8</v>
      </c>
      <c r="U11" s="117" t="s">
        <v>8</v>
      </c>
      <c r="V11" s="59" t="s">
        <v>8</v>
      </c>
      <c r="W11" s="59" t="s">
        <v>8</v>
      </c>
      <c r="X11" s="117" t="s">
        <v>8</v>
      </c>
      <c r="AA11" s="260">
        <v>9</v>
      </c>
      <c r="AB11" s="59">
        <v>19</v>
      </c>
      <c r="AC11" s="117">
        <f>SUM(AA11/AB11)*100</f>
        <v>47.368421052631575</v>
      </c>
      <c r="AD11" s="260">
        <v>41</v>
      </c>
      <c r="AE11" s="59">
        <v>60</v>
      </c>
      <c r="AF11" s="117">
        <f>SUM(AD11/AE11)*100</f>
        <v>68.333333333333329</v>
      </c>
    </row>
    <row r="12" spans="1:32" ht="14.95" thickBot="1" x14ac:dyDescent="0.3">
      <c r="A12" s="62" t="s">
        <v>734</v>
      </c>
      <c r="B12" s="279">
        <v>0</v>
      </c>
      <c r="C12" s="98">
        <v>0</v>
      </c>
      <c r="D12" s="217">
        <v>0</v>
      </c>
      <c r="E12" s="59">
        <f t="shared" si="0"/>
        <v>0</v>
      </c>
      <c r="F12" s="132" t="s">
        <v>735</v>
      </c>
      <c r="G12" s="281">
        <v>0</v>
      </c>
      <c r="H12" s="149">
        <v>0</v>
      </c>
      <c r="I12" s="1">
        <v>0</v>
      </c>
      <c r="J12" s="29">
        <f t="shared" si="1"/>
        <v>0</v>
      </c>
      <c r="K12" s="45"/>
      <c r="L12" s="45"/>
      <c r="M12" s="45"/>
      <c r="N12" s="45"/>
      <c r="O12" s="45"/>
      <c r="P12" s="45"/>
      <c r="Q12" s="45"/>
      <c r="R12" s="7"/>
      <c r="S12" s="56"/>
      <c r="T12" s="56"/>
      <c r="U12" s="56"/>
    </row>
    <row r="13" spans="1:32" ht="14.95" customHeight="1" thickBot="1" x14ac:dyDescent="0.3">
      <c r="A13" s="62" t="s">
        <v>44</v>
      </c>
      <c r="B13" s="279">
        <v>0</v>
      </c>
      <c r="C13" s="98">
        <v>0</v>
      </c>
      <c r="D13" s="217">
        <v>0</v>
      </c>
      <c r="E13" s="59">
        <f t="shared" si="0"/>
        <v>0</v>
      </c>
      <c r="F13" s="132" t="s">
        <v>44</v>
      </c>
      <c r="G13" s="281">
        <v>0</v>
      </c>
      <c r="H13" s="149">
        <v>0</v>
      </c>
      <c r="I13" s="1">
        <v>0</v>
      </c>
      <c r="J13" s="29">
        <f t="shared" si="1"/>
        <v>0</v>
      </c>
      <c r="K13" s="563" t="s">
        <v>13</v>
      </c>
      <c r="L13" s="530">
        <v>2026</v>
      </c>
      <c r="M13" s="553"/>
      <c r="N13" s="554"/>
      <c r="O13" s="516">
        <v>2025</v>
      </c>
      <c r="P13" s="548"/>
      <c r="Q13" s="549"/>
      <c r="R13" s="516">
        <v>2024</v>
      </c>
      <c r="S13" s="548"/>
      <c r="T13" s="549"/>
      <c r="U13" s="516">
        <v>2023</v>
      </c>
      <c r="V13" s="548"/>
      <c r="W13" s="549"/>
      <c r="X13" s="57"/>
      <c r="Y13" s="57"/>
      <c r="Z13" s="57"/>
      <c r="AA13" s="516">
        <v>2022</v>
      </c>
      <c r="AB13" s="548"/>
      <c r="AC13" s="549"/>
    </row>
    <row r="14" spans="1:32" ht="14.95" customHeight="1" thickBot="1" x14ac:dyDescent="0.3">
      <c r="A14" s="62" t="s">
        <v>495</v>
      </c>
      <c r="B14" s="279">
        <v>0</v>
      </c>
      <c r="C14" s="98">
        <v>0</v>
      </c>
      <c r="D14" s="217">
        <v>0</v>
      </c>
      <c r="E14" s="59">
        <f t="shared" si="0"/>
        <v>0</v>
      </c>
      <c r="F14" s="132" t="s">
        <v>495</v>
      </c>
      <c r="G14" s="281">
        <v>0</v>
      </c>
      <c r="H14" s="149">
        <v>0</v>
      </c>
      <c r="I14" s="1">
        <v>0</v>
      </c>
      <c r="J14" s="29">
        <f t="shared" si="1"/>
        <v>0</v>
      </c>
      <c r="K14" s="564"/>
      <c r="L14" s="555"/>
      <c r="M14" s="556"/>
      <c r="N14" s="557"/>
      <c r="O14" s="550"/>
      <c r="P14" s="551"/>
      <c r="Q14" s="552"/>
      <c r="R14" s="550"/>
      <c r="S14" s="551"/>
      <c r="T14" s="552"/>
      <c r="U14" s="550"/>
      <c r="V14" s="551"/>
      <c r="W14" s="552"/>
      <c r="X14" s="96"/>
      <c r="Y14" s="96"/>
      <c r="Z14" s="96"/>
      <c r="AA14" s="550"/>
      <c r="AB14" s="551"/>
      <c r="AC14" s="552"/>
    </row>
    <row r="15" spans="1:32" ht="14.95" customHeight="1" thickBot="1" x14ac:dyDescent="0.3">
      <c r="A15" s="62" t="s">
        <v>45</v>
      </c>
      <c r="B15" s="279">
        <v>0</v>
      </c>
      <c r="C15" s="98">
        <v>0</v>
      </c>
      <c r="D15" s="217">
        <v>0</v>
      </c>
      <c r="E15" s="59">
        <f t="shared" si="0"/>
        <v>0</v>
      </c>
      <c r="F15" s="132" t="s">
        <v>45</v>
      </c>
      <c r="G15" s="281">
        <v>0</v>
      </c>
      <c r="H15" s="149">
        <v>0</v>
      </c>
      <c r="I15" s="1">
        <v>0</v>
      </c>
      <c r="J15" s="29">
        <f t="shared" si="1"/>
        <v>0</v>
      </c>
      <c r="K15" s="277"/>
      <c r="L15" s="240" t="s">
        <v>17</v>
      </c>
      <c r="M15" s="240" t="s">
        <v>5</v>
      </c>
      <c r="N15" s="240" t="s">
        <v>6</v>
      </c>
      <c r="O15" s="186" t="s">
        <v>17</v>
      </c>
      <c r="P15" s="186" t="s">
        <v>5</v>
      </c>
      <c r="Q15" s="186" t="s">
        <v>6</v>
      </c>
      <c r="R15" s="186" t="s">
        <v>17</v>
      </c>
      <c r="S15" s="186" t="s">
        <v>5</v>
      </c>
      <c r="T15" s="186" t="s">
        <v>6</v>
      </c>
      <c r="U15" s="186" t="s">
        <v>17</v>
      </c>
      <c r="V15" s="186" t="s">
        <v>5</v>
      </c>
      <c r="W15" s="186" t="s">
        <v>6</v>
      </c>
      <c r="X15" s="56"/>
      <c r="Y15" s="96"/>
      <c r="Z15" s="96"/>
      <c r="AA15" s="399" t="s">
        <v>17</v>
      </c>
      <c r="AB15" s="186" t="s">
        <v>5</v>
      </c>
      <c r="AC15" s="186" t="s">
        <v>6</v>
      </c>
    </row>
    <row r="16" spans="1:32" ht="14.95" customHeight="1" thickBot="1" x14ac:dyDescent="0.3">
      <c r="A16" s="62" t="s">
        <v>46</v>
      </c>
      <c r="B16" s="279">
        <v>0</v>
      </c>
      <c r="C16" s="98">
        <v>0</v>
      </c>
      <c r="D16" s="217">
        <v>0</v>
      </c>
      <c r="E16" s="59">
        <f t="shared" si="0"/>
        <v>0</v>
      </c>
      <c r="F16" s="132" t="s">
        <v>46</v>
      </c>
      <c r="G16" s="281">
        <v>0</v>
      </c>
      <c r="H16" s="149">
        <v>0</v>
      </c>
      <c r="I16" s="1">
        <v>0</v>
      </c>
      <c r="J16" s="29">
        <f t="shared" si="1"/>
        <v>0</v>
      </c>
      <c r="K16" s="203" t="s">
        <v>56</v>
      </c>
      <c r="L16" s="63" t="s">
        <v>8</v>
      </c>
      <c r="M16" s="63" t="s">
        <v>8</v>
      </c>
      <c r="N16" s="64" t="s">
        <v>8</v>
      </c>
      <c r="O16" s="117">
        <v>8</v>
      </c>
      <c r="P16" s="117">
        <v>10</v>
      </c>
      <c r="Q16" s="117">
        <v>80</v>
      </c>
      <c r="R16" s="117">
        <v>21</v>
      </c>
      <c r="S16" s="117">
        <v>35</v>
      </c>
      <c r="T16" s="117">
        <f>SUM(R16/S16)*100</f>
        <v>60</v>
      </c>
      <c r="U16" s="117">
        <v>1</v>
      </c>
      <c r="V16" s="117">
        <v>5</v>
      </c>
      <c r="W16" s="117">
        <f>SUM(U16/V16)*100</f>
        <v>20</v>
      </c>
      <c r="X16" s="56"/>
      <c r="Y16" s="96"/>
      <c r="Z16" s="96"/>
      <c r="AA16" s="260" t="s">
        <v>8</v>
      </c>
      <c r="AB16" s="59" t="s">
        <v>8</v>
      </c>
      <c r="AC16" s="117" t="s">
        <v>8</v>
      </c>
    </row>
    <row r="17" spans="1:29" ht="14.95" customHeight="1" thickBot="1" x14ac:dyDescent="0.3">
      <c r="A17" s="62" t="s">
        <v>748</v>
      </c>
      <c r="B17" s="279">
        <v>1</v>
      </c>
      <c r="C17" s="98">
        <v>0</v>
      </c>
      <c r="D17" s="217">
        <v>0</v>
      </c>
      <c r="E17" s="59">
        <f t="shared" si="0"/>
        <v>1</v>
      </c>
      <c r="F17" s="132" t="s">
        <v>748</v>
      </c>
      <c r="G17" s="281">
        <v>5</v>
      </c>
      <c r="H17" s="149">
        <v>0</v>
      </c>
      <c r="I17" s="1">
        <v>0</v>
      </c>
      <c r="J17" s="29">
        <f t="shared" si="1"/>
        <v>5</v>
      </c>
      <c r="K17" s="62" t="s">
        <v>60</v>
      </c>
      <c r="L17" s="63">
        <v>12</v>
      </c>
      <c r="M17" s="63">
        <v>12</v>
      </c>
      <c r="N17" s="64">
        <f>SUM(L17/M17)*100</f>
        <v>100</v>
      </c>
      <c r="O17" s="59">
        <v>16</v>
      </c>
      <c r="P17" s="59">
        <v>24</v>
      </c>
      <c r="Q17" s="117">
        <v>66.666666666666657</v>
      </c>
      <c r="R17" s="59">
        <v>4</v>
      </c>
      <c r="S17" s="59">
        <v>7</v>
      </c>
      <c r="T17" s="117">
        <f>SUM(R17/S17)*100</f>
        <v>57.142857142857139</v>
      </c>
      <c r="U17" s="59" t="s">
        <v>8</v>
      </c>
      <c r="V17" s="59" t="s">
        <v>8</v>
      </c>
      <c r="W17" s="117" t="s">
        <v>8</v>
      </c>
      <c r="X17" s="56"/>
      <c r="Y17" s="56"/>
      <c r="Z17" s="56"/>
      <c r="AA17" s="260">
        <v>9</v>
      </c>
      <c r="AB17" s="59">
        <v>18</v>
      </c>
      <c r="AC17" s="117">
        <f>SUM(AA17/AB17)*100</f>
        <v>50</v>
      </c>
    </row>
    <row r="18" spans="1:29" ht="14.95" thickBot="1" x14ac:dyDescent="0.3">
      <c r="A18" s="62" t="s">
        <v>47</v>
      </c>
      <c r="B18" s="279">
        <v>2</v>
      </c>
      <c r="C18" s="98">
        <v>0</v>
      </c>
      <c r="D18" s="217">
        <v>0</v>
      </c>
      <c r="E18" s="59">
        <f t="shared" si="0"/>
        <v>2</v>
      </c>
      <c r="F18" s="132" t="s">
        <v>47</v>
      </c>
      <c r="G18" s="281">
        <v>10</v>
      </c>
      <c r="H18" s="149">
        <v>0</v>
      </c>
      <c r="I18" s="1">
        <v>0</v>
      </c>
      <c r="J18" s="29">
        <f t="shared" si="1"/>
        <v>10</v>
      </c>
      <c r="K18" s="62" t="s">
        <v>502</v>
      </c>
      <c r="L18" s="63" t="s">
        <v>8</v>
      </c>
      <c r="M18" s="63" t="s">
        <v>8</v>
      </c>
      <c r="N18" s="64" t="s">
        <v>8</v>
      </c>
      <c r="O18" s="59" t="s">
        <v>8</v>
      </c>
      <c r="P18" s="59" t="s">
        <v>8</v>
      </c>
      <c r="Q18" s="117" t="s">
        <v>8</v>
      </c>
      <c r="R18" s="59">
        <v>0</v>
      </c>
      <c r="S18" s="59">
        <v>2</v>
      </c>
      <c r="T18" s="117">
        <f>SUM(R18/S18)*100</f>
        <v>0</v>
      </c>
      <c r="U18" s="59"/>
      <c r="V18" s="59"/>
      <c r="W18" s="117"/>
      <c r="X18" s="56"/>
      <c r="Y18" s="56"/>
      <c r="Z18" s="56"/>
      <c r="AA18" s="260"/>
      <c r="AB18" s="59"/>
      <c r="AC18" s="117"/>
    </row>
    <row r="19" spans="1:29" ht="14.95" customHeight="1" thickBot="1" x14ac:dyDescent="0.3">
      <c r="A19" s="62" t="s">
        <v>58</v>
      </c>
      <c r="B19" s="279">
        <v>0</v>
      </c>
      <c r="C19" s="98">
        <v>0</v>
      </c>
      <c r="D19" s="217">
        <v>0</v>
      </c>
      <c r="E19" s="59">
        <f t="shared" si="0"/>
        <v>0</v>
      </c>
      <c r="F19" s="132" t="s">
        <v>58</v>
      </c>
      <c r="G19" s="281">
        <v>0</v>
      </c>
      <c r="H19" s="149">
        <v>0</v>
      </c>
      <c r="I19" s="1">
        <v>0</v>
      </c>
      <c r="J19" s="29">
        <f t="shared" si="1"/>
        <v>0</v>
      </c>
      <c r="K19" s="62" t="s">
        <v>65</v>
      </c>
      <c r="L19" s="63" t="s">
        <v>8</v>
      </c>
      <c r="M19" s="63" t="s">
        <v>8</v>
      </c>
      <c r="N19" s="64" t="s">
        <v>8</v>
      </c>
      <c r="O19" s="59" t="s">
        <v>8</v>
      </c>
      <c r="P19" s="59" t="s">
        <v>8</v>
      </c>
      <c r="Q19" s="117" t="s">
        <v>8</v>
      </c>
      <c r="R19" s="59" t="s">
        <v>8</v>
      </c>
      <c r="S19" s="59" t="s">
        <v>8</v>
      </c>
      <c r="T19" s="117" t="s">
        <v>8</v>
      </c>
      <c r="U19" s="59">
        <v>1</v>
      </c>
      <c r="V19" s="59">
        <v>1</v>
      </c>
      <c r="W19" s="117">
        <f>SUM(U19/V19)*100</f>
        <v>100</v>
      </c>
      <c r="X19" s="56"/>
      <c r="Y19" s="56"/>
      <c r="Z19" s="56"/>
      <c r="AA19" s="260" t="s">
        <v>8</v>
      </c>
      <c r="AB19" s="59" t="s">
        <v>8</v>
      </c>
      <c r="AC19" s="117" t="s">
        <v>8</v>
      </c>
    </row>
    <row r="20" spans="1:29" ht="14.95" thickBot="1" x14ac:dyDescent="0.3">
      <c r="A20" s="62" t="s">
        <v>59</v>
      </c>
      <c r="B20" s="279">
        <v>0</v>
      </c>
      <c r="C20" s="98">
        <v>0</v>
      </c>
      <c r="D20" s="217">
        <v>0</v>
      </c>
      <c r="E20" s="59">
        <f t="shared" si="0"/>
        <v>0</v>
      </c>
      <c r="F20" s="132" t="s">
        <v>59</v>
      </c>
      <c r="G20" s="281">
        <v>0</v>
      </c>
      <c r="H20" s="149">
        <v>0</v>
      </c>
      <c r="I20" s="1">
        <v>0</v>
      </c>
      <c r="J20" s="29">
        <f t="shared" si="1"/>
        <v>0</v>
      </c>
      <c r="K20" s="62" t="s">
        <v>66</v>
      </c>
      <c r="L20" s="63">
        <v>4</v>
      </c>
      <c r="M20" s="63">
        <v>5</v>
      </c>
      <c r="N20" s="64">
        <f>SUM(L20/M20)*100</f>
        <v>80</v>
      </c>
      <c r="O20" s="59" t="s">
        <v>8</v>
      </c>
      <c r="P20" s="59" t="s">
        <v>8</v>
      </c>
      <c r="Q20" s="117" t="s">
        <v>8</v>
      </c>
      <c r="R20" s="59" t="s">
        <v>8</v>
      </c>
      <c r="S20" s="59" t="s">
        <v>8</v>
      </c>
      <c r="T20" s="117" t="s">
        <v>8</v>
      </c>
      <c r="U20" s="59">
        <v>6</v>
      </c>
      <c r="V20" s="59">
        <v>8</v>
      </c>
      <c r="W20" s="117">
        <f>SUM(U20/V20)*100</f>
        <v>75</v>
      </c>
      <c r="X20" s="56"/>
      <c r="Y20" s="56"/>
      <c r="Z20" s="56"/>
      <c r="AA20" s="260">
        <v>5</v>
      </c>
      <c r="AB20" s="59">
        <v>9</v>
      </c>
      <c r="AC20" s="117">
        <f>SUM(AA20/AB20)*100</f>
        <v>55.555555555555557</v>
      </c>
    </row>
    <row r="21" spans="1:29" ht="14.95" thickBot="1" x14ac:dyDescent="0.3">
      <c r="A21" s="62" t="s">
        <v>594</v>
      </c>
      <c r="B21" s="279">
        <v>0</v>
      </c>
      <c r="C21" s="98">
        <v>0</v>
      </c>
      <c r="D21" s="217">
        <v>0</v>
      </c>
      <c r="E21" s="59">
        <f t="shared" si="0"/>
        <v>0</v>
      </c>
      <c r="F21" s="132" t="s">
        <v>594</v>
      </c>
      <c r="G21" s="281">
        <v>0</v>
      </c>
      <c r="H21" s="149">
        <v>0</v>
      </c>
      <c r="I21" s="1">
        <v>0</v>
      </c>
      <c r="J21" s="29">
        <f t="shared" si="1"/>
        <v>0</v>
      </c>
      <c r="K21" s="62" t="s">
        <v>67</v>
      </c>
      <c r="L21" s="63" t="s">
        <v>8</v>
      </c>
      <c r="M21" s="63" t="s">
        <v>8</v>
      </c>
      <c r="N21" s="64" t="s">
        <v>8</v>
      </c>
      <c r="O21" s="59" t="s">
        <v>8</v>
      </c>
      <c r="P21" s="59" t="s">
        <v>8</v>
      </c>
      <c r="Q21" s="117" t="s">
        <v>8</v>
      </c>
      <c r="R21" s="59" t="s">
        <v>8</v>
      </c>
      <c r="S21" s="59" t="s">
        <v>8</v>
      </c>
      <c r="T21" s="117" t="s">
        <v>8</v>
      </c>
      <c r="U21" s="59" t="s">
        <v>8</v>
      </c>
      <c r="V21" s="59" t="s">
        <v>8</v>
      </c>
      <c r="W21" s="117" t="s">
        <v>8</v>
      </c>
      <c r="X21" s="56"/>
      <c r="Y21" s="56"/>
      <c r="Z21" s="56"/>
      <c r="AA21" s="260">
        <v>14</v>
      </c>
      <c r="AB21" s="59">
        <v>19</v>
      </c>
      <c r="AC21" s="117">
        <f>SUM(AA21/AB21)*100</f>
        <v>73.68421052631578</v>
      </c>
    </row>
    <row r="22" spans="1:29" ht="14.95" customHeight="1" thickBot="1" x14ac:dyDescent="0.3">
      <c r="A22" s="62" t="s">
        <v>48</v>
      </c>
      <c r="B22" s="279">
        <v>0</v>
      </c>
      <c r="C22" s="98">
        <v>0</v>
      </c>
      <c r="D22" s="217">
        <v>0</v>
      </c>
      <c r="E22" s="59">
        <f t="shared" si="0"/>
        <v>0</v>
      </c>
      <c r="F22" s="132" t="s">
        <v>48</v>
      </c>
      <c r="G22" s="281">
        <v>0</v>
      </c>
      <c r="H22" s="149">
        <v>0</v>
      </c>
      <c r="I22" s="1">
        <v>0</v>
      </c>
      <c r="J22" s="29">
        <f t="shared" si="1"/>
        <v>0</v>
      </c>
      <c r="K22" s="62" t="s">
        <v>68</v>
      </c>
      <c r="L22" s="63" t="s">
        <v>8</v>
      </c>
      <c r="M22" s="63" t="s">
        <v>8</v>
      </c>
      <c r="N22" s="64" t="s">
        <v>8</v>
      </c>
      <c r="O22" s="59">
        <v>3</v>
      </c>
      <c r="P22" s="59">
        <v>5</v>
      </c>
      <c r="Q22" s="117">
        <v>60</v>
      </c>
      <c r="R22" s="59" t="s">
        <v>8</v>
      </c>
      <c r="S22" s="59" t="s">
        <v>8</v>
      </c>
      <c r="T22" s="117" t="s">
        <v>8</v>
      </c>
      <c r="U22" s="59">
        <v>5</v>
      </c>
      <c r="V22" s="59">
        <v>11</v>
      </c>
      <c r="W22" s="117">
        <f>SUM(U22/V22)*100</f>
        <v>45.454545454545453</v>
      </c>
      <c r="X22" s="56"/>
      <c r="Y22" s="56"/>
      <c r="Z22" s="56"/>
      <c r="AA22" s="260" t="s">
        <v>8</v>
      </c>
      <c r="AB22" s="59" t="s">
        <v>8</v>
      </c>
      <c r="AC22" s="117" t="s">
        <v>8</v>
      </c>
    </row>
    <row r="23" spans="1:29" ht="14.95" thickBot="1" x14ac:dyDescent="0.3">
      <c r="A23" s="62" t="s">
        <v>49</v>
      </c>
      <c r="B23" s="279">
        <v>0</v>
      </c>
      <c r="C23" s="98">
        <v>0</v>
      </c>
      <c r="D23" s="217">
        <v>0</v>
      </c>
      <c r="E23" s="59">
        <f t="shared" si="0"/>
        <v>0</v>
      </c>
      <c r="F23" s="132" t="s">
        <v>49</v>
      </c>
      <c r="G23" s="281">
        <v>0</v>
      </c>
      <c r="H23" s="149">
        <v>0</v>
      </c>
      <c r="I23" s="1">
        <v>0</v>
      </c>
      <c r="J23" s="29">
        <f t="shared" si="1"/>
        <v>0</v>
      </c>
      <c r="K23" s="62" t="s">
        <v>69</v>
      </c>
      <c r="L23" s="63" t="s">
        <v>8</v>
      </c>
      <c r="M23" s="63" t="s">
        <v>8</v>
      </c>
      <c r="N23" s="64" t="s">
        <v>8</v>
      </c>
      <c r="O23" s="59" t="s">
        <v>8</v>
      </c>
      <c r="P23" s="59" t="s">
        <v>8</v>
      </c>
      <c r="Q23" s="117" t="s">
        <v>8</v>
      </c>
      <c r="R23" s="59" t="s">
        <v>8</v>
      </c>
      <c r="S23" s="59" t="s">
        <v>8</v>
      </c>
      <c r="T23" s="117" t="s">
        <v>8</v>
      </c>
      <c r="U23" s="59">
        <v>9</v>
      </c>
      <c r="V23" s="59">
        <v>19</v>
      </c>
      <c r="W23" s="117">
        <f>SUM(U23/V23)*100</f>
        <v>47.368421052631575</v>
      </c>
      <c r="X23" s="56"/>
      <c r="Y23" s="56"/>
      <c r="Z23" s="56"/>
      <c r="AA23" s="260" t="s">
        <v>8</v>
      </c>
      <c r="AB23" s="59" t="s">
        <v>8</v>
      </c>
      <c r="AC23" s="117" t="s">
        <v>8</v>
      </c>
    </row>
    <row r="24" spans="1:29" ht="14.95" thickBot="1" x14ac:dyDescent="0.3">
      <c r="A24" s="62" t="s">
        <v>60</v>
      </c>
      <c r="B24" s="279">
        <v>0</v>
      </c>
      <c r="C24" s="98">
        <v>0</v>
      </c>
      <c r="D24" s="217">
        <v>0</v>
      </c>
      <c r="E24" s="59">
        <f t="shared" si="0"/>
        <v>0</v>
      </c>
      <c r="F24" s="132" t="s">
        <v>60</v>
      </c>
      <c r="G24" s="281">
        <v>24</v>
      </c>
      <c r="H24" s="149">
        <v>0</v>
      </c>
      <c r="I24" s="1">
        <v>0</v>
      </c>
      <c r="J24" s="29">
        <f t="shared" si="1"/>
        <v>24</v>
      </c>
      <c r="K24" s="105" t="s">
        <v>9</v>
      </c>
      <c r="O24" s="56"/>
      <c r="P24" s="56"/>
      <c r="Q24" s="56"/>
      <c r="R24" s="56"/>
      <c r="S24" s="56"/>
      <c r="T24" s="56"/>
      <c r="U24" s="95"/>
    </row>
    <row r="25" spans="1:29" ht="14.95" customHeight="1" thickBot="1" x14ac:dyDescent="0.3">
      <c r="A25" s="62" t="s">
        <v>383</v>
      </c>
      <c r="B25" s="279">
        <v>0</v>
      </c>
      <c r="C25" s="98">
        <v>0</v>
      </c>
      <c r="D25" s="217">
        <v>0</v>
      </c>
      <c r="E25" s="59">
        <f t="shared" si="0"/>
        <v>0</v>
      </c>
      <c r="F25" s="132" t="s">
        <v>383</v>
      </c>
      <c r="G25" s="281">
        <v>0</v>
      </c>
      <c r="H25" s="149">
        <v>0</v>
      </c>
      <c r="I25" s="1">
        <v>0</v>
      </c>
      <c r="J25" s="29">
        <f t="shared" si="1"/>
        <v>0</v>
      </c>
      <c r="K25" s="528" t="s">
        <v>345</v>
      </c>
      <c r="L25" s="516">
        <v>2025</v>
      </c>
      <c r="M25" s="548"/>
      <c r="N25" s="549"/>
      <c r="O25" s="510">
        <v>2022</v>
      </c>
      <c r="P25" s="511"/>
      <c r="Q25" s="512"/>
      <c r="S25" s="56"/>
      <c r="T25" s="56"/>
      <c r="U25" s="95"/>
    </row>
    <row r="26" spans="1:29" ht="14.95" customHeight="1" thickBot="1" x14ac:dyDescent="0.3">
      <c r="A26" s="62" t="s">
        <v>503</v>
      </c>
      <c r="B26" s="279">
        <v>0</v>
      </c>
      <c r="C26" s="98">
        <v>0</v>
      </c>
      <c r="D26" s="217">
        <v>0</v>
      </c>
      <c r="E26" s="59">
        <f t="shared" si="0"/>
        <v>0</v>
      </c>
      <c r="F26" s="132" t="s">
        <v>503</v>
      </c>
      <c r="G26" s="281">
        <v>0</v>
      </c>
      <c r="H26" s="149">
        <v>0</v>
      </c>
      <c r="I26" s="1">
        <v>0</v>
      </c>
      <c r="J26" s="29">
        <f t="shared" si="1"/>
        <v>0</v>
      </c>
      <c r="K26" s="529"/>
      <c r="L26" s="550"/>
      <c r="M26" s="551"/>
      <c r="N26" s="552"/>
      <c r="O26" s="513"/>
      <c r="P26" s="514"/>
      <c r="Q26" s="515"/>
    </row>
    <row r="27" spans="1:29" ht="14.95" thickBot="1" x14ac:dyDescent="0.3">
      <c r="A27" s="62" t="s">
        <v>879</v>
      </c>
      <c r="B27" s="279">
        <v>0</v>
      </c>
      <c r="C27" s="98">
        <v>0</v>
      </c>
      <c r="D27" s="217">
        <v>0</v>
      </c>
      <c r="E27" s="59">
        <f t="shared" si="0"/>
        <v>0</v>
      </c>
      <c r="F27" s="132" t="s">
        <v>879</v>
      </c>
      <c r="G27" s="281">
        <v>0</v>
      </c>
      <c r="H27" s="149">
        <v>0</v>
      </c>
      <c r="I27" s="1">
        <v>0</v>
      </c>
      <c r="J27" s="29">
        <f t="shared" si="1"/>
        <v>0</v>
      </c>
      <c r="K27" s="300"/>
      <c r="L27" s="186" t="s">
        <v>17</v>
      </c>
      <c r="M27" s="186" t="s">
        <v>5</v>
      </c>
      <c r="N27" s="186" t="s">
        <v>6</v>
      </c>
      <c r="O27" s="59" t="s">
        <v>17</v>
      </c>
      <c r="P27" s="59" t="s">
        <v>5</v>
      </c>
      <c r="Q27" s="59" t="s">
        <v>6</v>
      </c>
    </row>
    <row r="28" spans="1:29" ht="14.95" thickBot="1" x14ac:dyDescent="0.3">
      <c r="A28" s="62" t="s">
        <v>98</v>
      </c>
      <c r="B28" s="279">
        <v>1</v>
      </c>
      <c r="C28" s="98">
        <v>0</v>
      </c>
      <c r="D28" s="217">
        <v>0</v>
      </c>
      <c r="E28" s="59">
        <f t="shared" si="0"/>
        <v>1</v>
      </c>
      <c r="F28" s="132" t="s">
        <v>98</v>
      </c>
      <c r="G28" s="281">
        <v>5</v>
      </c>
      <c r="H28" s="149">
        <v>0</v>
      </c>
      <c r="I28" s="1">
        <v>0</v>
      </c>
      <c r="J28" s="29">
        <f t="shared" si="1"/>
        <v>5</v>
      </c>
      <c r="K28" s="62" t="s">
        <v>56</v>
      </c>
      <c r="L28" s="59">
        <v>5</v>
      </c>
      <c r="M28" s="59">
        <v>6</v>
      </c>
      <c r="N28" s="117">
        <f>SUM(L28/M28)*100</f>
        <v>83.333333333333343</v>
      </c>
      <c r="O28" s="59">
        <v>0</v>
      </c>
      <c r="P28" s="59">
        <v>4</v>
      </c>
      <c r="Q28" s="117">
        <v>0</v>
      </c>
    </row>
    <row r="29" spans="1:29" ht="14.95" thickBot="1" x14ac:dyDescent="0.3">
      <c r="A29" s="62" t="s">
        <v>50</v>
      </c>
      <c r="B29" s="279">
        <v>1</v>
      </c>
      <c r="C29" s="98">
        <v>0</v>
      </c>
      <c r="D29" s="217">
        <v>0</v>
      </c>
      <c r="E29" s="59">
        <f t="shared" si="0"/>
        <v>1</v>
      </c>
      <c r="F29" s="132" t="s">
        <v>50</v>
      </c>
      <c r="G29" s="281">
        <v>5</v>
      </c>
      <c r="H29" s="149">
        <v>0</v>
      </c>
      <c r="I29" s="1">
        <v>0</v>
      </c>
      <c r="J29" s="29">
        <f t="shared" si="1"/>
        <v>5</v>
      </c>
      <c r="K29" s="62" t="s">
        <v>60</v>
      </c>
      <c r="L29" s="59">
        <v>21</v>
      </c>
      <c r="M29" s="59">
        <v>26</v>
      </c>
      <c r="N29" s="117">
        <f>SUM(L29/M29)*100</f>
        <v>80.769230769230774</v>
      </c>
      <c r="O29" s="59">
        <v>6</v>
      </c>
      <c r="P29" s="59">
        <v>12</v>
      </c>
      <c r="Q29" s="117">
        <v>50</v>
      </c>
    </row>
    <row r="30" spans="1:29" ht="14.95" customHeight="1" thickBot="1" x14ac:dyDescent="0.3">
      <c r="A30" s="62" t="s">
        <v>61</v>
      </c>
      <c r="B30" s="279">
        <v>3</v>
      </c>
      <c r="C30" s="98">
        <v>0</v>
      </c>
      <c r="D30" s="217">
        <v>0</v>
      </c>
      <c r="E30" s="59">
        <f t="shared" si="0"/>
        <v>3</v>
      </c>
      <c r="F30" s="132" t="s">
        <v>61</v>
      </c>
      <c r="G30" s="281">
        <v>15</v>
      </c>
      <c r="H30" s="149">
        <v>0</v>
      </c>
      <c r="I30" s="1">
        <v>0</v>
      </c>
      <c r="J30" s="29">
        <f t="shared" si="1"/>
        <v>15</v>
      </c>
      <c r="K30" s="62" t="s">
        <v>66</v>
      </c>
      <c r="L30" s="59">
        <v>11</v>
      </c>
      <c r="M30" s="59">
        <v>14</v>
      </c>
      <c r="N30" s="117">
        <f>SUM(L30/M30)*100</f>
        <v>78.571428571428569</v>
      </c>
      <c r="O30" s="59">
        <v>2</v>
      </c>
      <c r="P30" s="59">
        <v>2</v>
      </c>
      <c r="Q30" s="117">
        <v>100</v>
      </c>
    </row>
    <row r="31" spans="1:29" ht="14.95" thickBot="1" x14ac:dyDescent="0.3">
      <c r="A31" s="62" t="s">
        <v>1037</v>
      </c>
      <c r="B31" s="279">
        <v>1</v>
      </c>
      <c r="C31" s="98">
        <v>0</v>
      </c>
      <c r="D31" s="217">
        <v>0</v>
      </c>
      <c r="E31" s="59">
        <f t="shared" si="0"/>
        <v>1</v>
      </c>
      <c r="F31" s="132" t="s">
        <v>1037</v>
      </c>
      <c r="G31" s="281">
        <v>5</v>
      </c>
      <c r="H31" s="149">
        <v>0</v>
      </c>
      <c r="I31" s="1">
        <v>0</v>
      </c>
      <c r="J31" s="29">
        <f t="shared" si="1"/>
        <v>5</v>
      </c>
      <c r="K31" s="62" t="s">
        <v>67</v>
      </c>
      <c r="L31" s="59">
        <v>0</v>
      </c>
      <c r="M31" s="59">
        <v>1</v>
      </c>
      <c r="N31" s="117">
        <f>SUM(L31/M31)*100</f>
        <v>0</v>
      </c>
      <c r="O31" s="59">
        <v>17</v>
      </c>
      <c r="P31" s="59">
        <v>30</v>
      </c>
      <c r="Q31" s="117">
        <v>56</v>
      </c>
    </row>
    <row r="32" spans="1:29" ht="14.95" thickBot="1" x14ac:dyDescent="0.3">
      <c r="A32" s="62" t="s">
        <v>856</v>
      </c>
      <c r="B32" s="279">
        <v>0</v>
      </c>
      <c r="C32" s="98">
        <v>0</v>
      </c>
      <c r="D32" s="217">
        <v>0</v>
      </c>
      <c r="E32" s="59">
        <f t="shared" si="0"/>
        <v>0</v>
      </c>
      <c r="F32" s="132" t="s">
        <v>856</v>
      </c>
      <c r="G32" s="281">
        <v>0</v>
      </c>
      <c r="H32" s="149">
        <v>0</v>
      </c>
      <c r="I32" s="1">
        <v>0</v>
      </c>
      <c r="J32" s="29">
        <f t="shared" si="1"/>
        <v>0</v>
      </c>
      <c r="K32" s="62" t="s">
        <v>68</v>
      </c>
      <c r="L32" s="59">
        <v>1</v>
      </c>
      <c r="M32" s="59">
        <v>1</v>
      </c>
      <c r="N32" s="117">
        <f>SUM(L32/M32)*100</f>
        <v>100</v>
      </c>
      <c r="O32" s="59" t="s">
        <v>8</v>
      </c>
      <c r="P32" s="59" t="s">
        <v>8</v>
      </c>
      <c r="Q32" s="117" t="s">
        <v>8</v>
      </c>
    </row>
    <row r="33" spans="1:20" ht="14.95" thickBot="1" x14ac:dyDescent="0.3">
      <c r="A33" s="62" t="s">
        <v>51</v>
      </c>
      <c r="B33" s="279">
        <v>0</v>
      </c>
      <c r="C33" s="98">
        <v>0</v>
      </c>
      <c r="D33" s="217">
        <v>0</v>
      </c>
      <c r="E33" s="59">
        <f t="shared" si="0"/>
        <v>0</v>
      </c>
      <c r="F33" s="132" t="s">
        <v>51</v>
      </c>
      <c r="G33" s="281">
        <v>0</v>
      </c>
      <c r="H33" s="149">
        <v>0</v>
      </c>
      <c r="I33" s="1">
        <v>0</v>
      </c>
      <c r="J33" s="29">
        <f t="shared" si="1"/>
        <v>0</v>
      </c>
    </row>
    <row r="34" spans="1:20" ht="14.95" thickBot="1" x14ac:dyDescent="0.3">
      <c r="A34" s="62" t="s">
        <v>62</v>
      </c>
      <c r="B34" s="279">
        <v>0</v>
      </c>
      <c r="C34" s="98">
        <v>0</v>
      </c>
      <c r="D34" s="217">
        <v>0</v>
      </c>
      <c r="E34" s="59">
        <f t="shared" si="0"/>
        <v>0</v>
      </c>
      <c r="F34" s="132" t="s">
        <v>62</v>
      </c>
      <c r="G34" s="281">
        <v>0</v>
      </c>
      <c r="H34" s="149">
        <v>0</v>
      </c>
      <c r="I34" s="1">
        <v>0</v>
      </c>
      <c r="J34" s="29">
        <f t="shared" si="1"/>
        <v>0</v>
      </c>
      <c r="K34" s="526" t="s">
        <v>500</v>
      </c>
      <c r="L34" s="530">
        <v>2026</v>
      </c>
      <c r="M34" s="531"/>
      <c r="N34" s="532"/>
      <c r="O34" s="516">
        <v>2023</v>
      </c>
      <c r="P34" s="517"/>
      <c r="Q34" s="518"/>
      <c r="R34" s="516">
        <v>2023</v>
      </c>
      <c r="S34" s="517"/>
      <c r="T34" s="518"/>
    </row>
    <row r="35" spans="1:20" ht="14.95" thickBot="1" x14ac:dyDescent="0.3">
      <c r="A35" s="62" t="s">
        <v>52</v>
      </c>
      <c r="B35" s="279">
        <v>0</v>
      </c>
      <c r="C35" s="98">
        <v>0</v>
      </c>
      <c r="D35" s="217">
        <v>0</v>
      </c>
      <c r="E35" s="59">
        <f t="shared" si="0"/>
        <v>0</v>
      </c>
      <c r="F35" s="132" t="s">
        <v>52</v>
      </c>
      <c r="G35" s="281">
        <v>0</v>
      </c>
      <c r="H35" s="149">
        <v>0</v>
      </c>
      <c r="I35" s="1">
        <v>0</v>
      </c>
      <c r="J35" s="29">
        <f t="shared" si="1"/>
        <v>0</v>
      </c>
      <c r="K35" s="527"/>
      <c r="L35" s="533"/>
      <c r="M35" s="534"/>
      <c r="N35" s="535"/>
      <c r="O35" s="519"/>
      <c r="P35" s="520"/>
      <c r="Q35" s="521"/>
      <c r="R35" s="519"/>
      <c r="S35" s="520"/>
      <c r="T35" s="521"/>
    </row>
    <row r="36" spans="1:20" ht="14.95" thickBot="1" x14ac:dyDescent="0.3">
      <c r="A36" s="62" t="s">
        <v>53</v>
      </c>
      <c r="B36" s="279">
        <v>0</v>
      </c>
      <c r="C36" s="98">
        <v>0</v>
      </c>
      <c r="D36" s="217">
        <v>0</v>
      </c>
      <c r="E36" s="59">
        <f t="shared" si="0"/>
        <v>0</v>
      </c>
      <c r="F36" s="132" t="s">
        <v>53</v>
      </c>
      <c r="G36" s="281">
        <v>0</v>
      </c>
      <c r="H36" s="149">
        <v>0</v>
      </c>
      <c r="I36" s="1">
        <v>0</v>
      </c>
      <c r="J36" s="29">
        <f t="shared" si="1"/>
        <v>0</v>
      </c>
      <c r="K36" s="220"/>
      <c r="L36" s="29" t="s">
        <v>17</v>
      </c>
      <c r="M36" s="29" t="s">
        <v>5</v>
      </c>
      <c r="N36" s="29" t="s">
        <v>6</v>
      </c>
      <c r="O36" s="59" t="s">
        <v>17</v>
      </c>
      <c r="P36" s="59" t="s">
        <v>5</v>
      </c>
      <c r="Q36" s="59" t="s">
        <v>6</v>
      </c>
      <c r="R36" s="59" t="s">
        <v>17</v>
      </c>
      <c r="S36" s="59" t="s">
        <v>5</v>
      </c>
      <c r="T36" s="59" t="s">
        <v>6</v>
      </c>
    </row>
    <row r="37" spans="1:20" ht="14.95" thickBot="1" x14ac:dyDescent="0.3">
      <c r="A37" s="62" t="s">
        <v>63</v>
      </c>
      <c r="B37" s="279">
        <v>0</v>
      </c>
      <c r="C37" s="98">
        <v>0</v>
      </c>
      <c r="D37" s="217">
        <v>0</v>
      </c>
      <c r="E37" s="59">
        <f t="shared" si="0"/>
        <v>0</v>
      </c>
      <c r="F37" s="132" t="s">
        <v>63</v>
      </c>
      <c r="G37" s="281">
        <v>0</v>
      </c>
      <c r="H37" s="149">
        <v>0</v>
      </c>
      <c r="I37" s="1">
        <v>0</v>
      </c>
      <c r="J37" s="29">
        <f t="shared" si="1"/>
        <v>0</v>
      </c>
      <c r="K37" s="62" t="s">
        <v>56</v>
      </c>
      <c r="L37" s="59" t="s">
        <v>8</v>
      </c>
      <c r="M37" s="59" t="s">
        <v>8</v>
      </c>
      <c r="N37" s="117" t="s">
        <v>8</v>
      </c>
      <c r="O37" s="59" t="s">
        <v>8</v>
      </c>
      <c r="P37" s="59" t="s">
        <v>8</v>
      </c>
      <c r="Q37" s="117" t="s">
        <v>8</v>
      </c>
      <c r="R37" s="59">
        <v>11</v>
      </c>
      <c r="S37" s="59">
        <v>12</v>
      </c>
      <c r="T37" s="117">
        <f>SUM(R37/S37)*100</f>
        <v>91.666666666666657</v>
      </c>
    </row>
    <row r="38" spans="1:20" ht="14.95" thickBot="1" x14ac:dyDescent="0.3">
      <c r="A38" s="62" t="s">
        <v>64</v>
      </c>
      <c r="B38" s="279">
        <v>1</v>
      </c>
      <c r="C38" s="98">
        <v>0</v>
      </c>
      <c r="D38" s="217">
        <v>0</v>
      </c>
      <c r="E38" s="59">
        <f t="shared" si="0"/>
        <v>1</v>
      </c>
      <c r="F38" s="132" t="s">
        <v>64</v>
      </c>
      <c r="G38" s="281">
        <v>5</v>
      </c>
      <c r="H38" s="149">
        <v>0</v>
      </c>
      <c r="I38" s="1">
        <v>0</v>
      </c>
      <c r="J38" s="29">
        <f t="shared" si="1"/>
        <v>5</v>
      </c>
      <c r="K38" s="62" t="s">
        <v>60</v>
      </c>
      <c r="L38" s="59" t="s">
        <v>8</v>
      </c>
      <c r="M38" s="59" t="s">
        <v>8</v>
      </c>
      <c r="N38" s="117" t="s">
        <v>8</v>
      </c>
      <c r="O38" s="59">
        <v>8</v>
      </c>
      <c r="P38" s="59">
        <v>9</v>
      </c>
      <c r="Q38" s="117">
        <f>SUM(O38/P38)*100</f>
        <v>88.888888888888886</v>
      </c>
      <c r="R38" s="59" t="s">
        <v>8</v>
      </c>
      <c r="S38" s="59" t="s">
        <v>8</v>
      </c>
      <c r="T38" s="117" t="s">
        <v>8</v>
      </c>
    </row>
    <row r="39" spans="1:20" ht="14.95" thickBot="1" x14ac:dyDescent="0.3">
      <c r="A39" s="62" t="s">
        <v>208</v>
      </c>
      <c r="B39" s="279">
        <v>0</v>
      </c>
      <c r="C39" s="98">
        <v>0</v>
      </c>
      <c r="D39" s="217">
        <v>0</v>
      </c>
      <c r="E39" s="59">
        <f t="shared" si="0"/>
        <v>0</v>
      </c>
      <c r="F39" s="132" t="s">
        <v>208</v>
      </c>
      <c r="G39" s="281">
        <v>0</v>
      </c>
      <c r="H39" s="149">
        <v>0</v>
      </c>
      <c r="I39" s="1">
        <v>0</v>
      </c>
      <c r="J39" s="29">
        <f t="shared" si="1"/>
        <v>0</v>
      </c>
      <c r="K39" s="62" t="s">
        <v>66</v>
      </c>
      <c r="L39" s="59" t="s">
        <v>8</v>
      </c>
      <c r="M39" s="59" t="s">
        <v>8</v>
      </c>
      <c r="N39" s="117" t="s">
        <v>8</v>
      </c>
      <c r="O39" s="59">
        <v>5</v>
      </c>
      <c r="P39" s="59">
        <v>12</v>
      </c>
      <c r="Q39" s="117">
        <f>SUM(O39/P39)*100</f>
        <v>41.666666666666671</v>
      </c>
      <c r="R39" s="59">
        <v>4</v>
      </c>
      <c r="S39" s="59">
        <v>6</v>
      </c>
      <c r="T39" s="117">
        <f>SUM(R39/S39)*100</f>
        <v>66.666666666666657</v>
      </c>
    </row>
    <row r="40" spans="1:20" ht="14.95" thickBot="1" x14ac:dyDescent="0.3">
      <c r="A40" s="62" t="s">
        <v>54</v>
      </c>
      <c r="B40" s="279">
        <v>0</v>
      </c>
      <c r="C40" s="98">
        <v>0</v>
      </c>
      <c r="D40" s="217">
        <v>0</v>
      </c>
      <c r="E40" s="59">
        <f t="shared" si="0"/>
        <v>0</v>
      </c>
      <c r="F40" s="132" t="s">
        <v>54</v>
      </c>
      <c r="G40" s="281">
        <v>0</v>
      </c>
      <c r="H40" s="149">
        <v>0</v>
      </c>
      <c r="I40" s="1">
        <v>0</v>
      </c>
      <c r="J40" s="29">
        <f t="shared" si="1"/>
        <v>0</v>
      </c>
    </row>
    <row r="41" spans="1:20" ht="14.95" thickBot="1" x14ac:dyDescent="0.3">
      <c r="A41" s="62" t="s">
        <v>65</v>
      </c>
      <c r="B41" s="279">
        <v>0</v>
      </c>
      <c r="C41" s="98">
        <v>0</v>
      </c>
      <c r="D41" s="217">
        <v>0</v>
      </c>
      <c r="E41" s="59">
        <f t="shared" si="0"/>
        <v>0</v>
      </c>
      <c r="F41" s="132" t="s">
        <v>65</v>
      </c>
      <c r="G41" s="281">
        <v>0</v>
      </c>
      <c r="H41" s="149">
        <v>0</v>
      </c>
      <c r="I41" s="1">
        <v>0</v>
      </c>
      <c r="J41" s="29">
        <f t="shared" si="1"/>
        <v>0</v>
      </c>
    </row>
    <row r="42" spans="1:20" ht="14.95" thickBot="1" x14ac:dyDescent="0.3">
      <c r="A42" s="62" t="s">
        <v>66</v>
      </c>
      <c r="B42" s="279">
        <v>0</v>
      </c>
      <c r="C42" s="98">
        <v>0</v>
      </c>
      <c r="D42" s="217">
        <v>0</v>
      </c>
      <c r="E42" s="59">
        <f t="shared" si="0"/>
        <v>0</v>
      </c>
      <c r="F42" s="132" t="s">
        <v>66</v>
      </c>
      <c r="G42" s="281">
        <v>8</v>
      </c>
      <c r="H42" s="149">
        <v>0</v>
      </c>
      <c r="I42" s="1">
        <v>0</v>
      </c>
      <c r="J42" s="29">
        <f t="shared" si="1"/>
        <v>8</v>
      </c>
    </row>
    <row r="43" spans="1:20" ht="14.95" thickBot="1" x14ac:dyDescent="0.3">
      <c r="A43" s="62" t="s">
        <v>67</v>
      </c>
      <c r="B43" s="279">
        <v>0</v>
      </c>
      <c r="C43" s="98">
        <v>0</v>
      </c>
      <c r="D43" s="217">
        <v>0</v>
      </c>
      <c r="E43" s="59">
        <f t="shared" si="0"/>
        <v>0</v>
      </c>
      <c r="F43" s="132" t="s">
        <v>67</v>
      </c>
      <c r="G43" s="281">
        <v>0</v>
      </c>
      <c r="H43" s="149">
        <v>0</v>
      </c>
      <c r="I43" s="1">
        <v>0</v>
      </c>
      <c r="J43" s="29">
        <f t="shared" si="1"/>
        <v>0</v>
      </c>
    </row>
    <row r="44" spans="1:20" ht="14.95" thickBot="1" x14ac:dyDescent="0.3">
      <c r="A44" s="62" t="s">
        <v>878</v>
      </c>
      <c r="B44" s="279">
        <v>0</v>
      </c>
      <c r="C44" s="98">
        <v>0</v>
      </c>
      <c r="D44" s="217">
        <v>0</v>
      </c>
      <c r="E44" s="59">
        <f t="shared" si="0"/>
        <v>0</v>
      </c>
      <c r="F44" s="132" t="s">
        <v>878</v>
      </c>
      <c r="G44" s="281">
        <v>0</v>
      </c>
      <c r="H44" s="149">
        <v>0</v>
      </c>
      <c r="I44" s="1">
        <v>0</v>
      </c>
      <c r="J44" s="29">
        <f t="shared" si="1"/>
        <v>0</v>
      </c>
    </row>
    <row r="45" spans="1:20" ht="14.95" customHeight="1" thickBot="1" x14ac:dyDescent="0.3">
      <c r="A45" s="62" t="s">
        <v>68</v>
      </c>
      <c r="B45" s="279">
        <v>1</v>
      </c>
      <c r="C45" s="98">
        <v>0</v>
      </c>
      <c r="D45" s="217">
        <v>0</v>
      </c>
      <c r="E45" s="59">
        <f t="shared" si="0"/>
        <v>1</v>
      </c>
      <c r="F45" s="132" t="s">
        <v>68</v>
      </c>
      <c r="G45" s="281">
        <v>5</v>
      </c>
      <c r="H45" s="149">
        <v>0</v>
      </c>
      <c r="I45" s="1">
        <v>0</v>
      </c>
      <c r="J45" s="29">
        <f t="shared" si="1"/>
        <v>5</v>
      </c>
    </row>
    <row r="46" spans="1:20" ht="14.95" customHeight="1" thickBot="1" x14ac:dyDescent="0.3">
      <c r="A46" s="62" t="s">
        <v>414</v>
      </c>
      <c r="B46" s="279">
        <v>0</v>
      </c>
      <c r="C46" s="98">
        <v>0</v>
      </c>
      <c r="D46" s="217">
        <v>0</v>
      </c>
      <c r="E46" s="59">
        <f t="shared" si="0"/>
        <v>0</v>
      </c>
      <c r="F46" s="132" t="s">
        <v>414</v>
      </c>
      <c r="G46" s="281">
        <v>0</v>
      </c>
      <c r="H46" s="149">
        <v>0</v>
      </c>
      <c r="I46" s="1">
        <v>0</v>
      </c>
      <c r="J46" s="29">
        <f t="shared" si="1"/>
        <v>0</v>
      </c>
    </row>
    <row r="47" spans="1:20" ht="14.95" thickBot="1" x14ac:dyDescent="0.3">
      <c r="A47" s="62" t="s">
        <v>70</v>
      </c>
      <c r="B47" s="279">
        <v>0</v>
      </c>
      <c r="C47" s="98">
        <v>0</v>
      </c>
      <c r="D47" s="217">
        <v>0</v>
      </c>
      <c r="E47" s="59">
        <f t="shared" si="0"/>
        <v>0</v>
      </c>
      <c r="F47" s="132" t="s">
        <v>70</v>
      </c>
      <c r="G47" s="281">
        <v>0</v>
      </c>
      <c r="H47" s="149">
        <v>0</v>
      </c>
      <c r="I47" s="1">
        <v>0</v>
      </c>
      <c r="J47" s="29">
        <f t="shared" si="1"/>
        <v>0</v>
      </c>
    </row>
    <row r="48" spans="1:20" ht="14.95" thickBot="1" x14ac:dyDescent="0.3">
      <c r="A48" s="62" t="s">
        <v>69</v>
      </c>
      <c r="B48" s="279">
        <v>0</v>
      </c>
      <c r="C48" s="98">
        <v>0</v>
      </c>
      <c r="D48" s="217">
        <v>0</v>
      </c>
      <c r="E48" s="59">
        <f t="shared" si="0"/>
        <v>0</v>
      </c>
      <c r="F48" s="132" t="s">
        <v>69</v>
      </c>
      <c r="G48" s="281">
        <v>0</v>
      </c>
      <c r="H48" s="149">
        <v>0</v>
      </c>
      <c r="I48" s="1">
        <v>0</v>
      </c>
      <c r="J48" s="29">
        <f t="shared" si="1"/>
        <v>0</v>
      </c>
    </row>
    <row r="49" spans="1:10" ht="14.95" thickBot="1" x14ac:dyDescent="0.3">
      <c r="A49" s="62" t="s">
        <v>721</v>
      </c>
      <c r="B49" s="279">
        <v>1</v>
      </c>
      <c r="C49" s="98">
        <v>0</v>
      </c>
      <c r="D49" s="217">
        <v>0</v>
      </c>
      <c r="E49" s="59">
        <f t="shared" si="0"/>
        <v>1</v>
      </c>
      <c r="F49" s="132" t="s">
        <v>721</v>
      </c>
      <c r="G49" s="281">
        <v>5</v>
      </c>
      <c r="H49" s="149">
        <v>0</v>
      </c>
      <c r="I49" s="1">
        <v>0</v>
      </c>
      <c r="J49" s="29">
        <f t="shared" si="1"/>
        <v>5</v>
      </c>
    </row>
    <row r="50" spans="1:10" ht="14.95" customHeight="1" thickBot="1" x14ac:dyDescent="0.3">
      <c r="A50" s="62" t="s">
        <v>55</v>
      </c>
      <c r="B50" s="279">
        <v>0</v>
      </c>
      <c r="C50" s="98">
        <v>0</v>
      </c>
      <c r="D50" s="217">
        <v>0</v>
      </c>
      <c r="E50" s="59">
        <f t="shared" si="0"/>
        <v>0</v>
      </c>
      <c r="F50" s="132" t="s">
        <v>55</v>
      </c>
      <c r="G50" s="281">
        <v>0</v>
      </c>
      <c r="H50" s="149">
        <v>0</v>
      </c>
      <c r="I50" s="1">
        <v>0</v>
      </c>
      <c r="J50" s="29">
        <f t="shared" si="1"/>
        <v>0</v>
      </c>
    </row>
    <row r="51" spans="1:10" ht="14.95" customHeight="1" thickBot="1" x14ac:dyDescent="0.3">
      <c r="A51" s="62" t="s">
        <v>658</v>
      </c>
      <c r="B51" s="279">
        <v>0</v>
      </c>
      <c r="C51" s="98">
        <v>0</v>
      </c>
      <c r="D51" s="217">
        <v>0</v>
      </c>
      <c r="E51" s="59">
        <f t="shared" si="0"/>
        <v>0</v>
      </c>
      <c r="F51" s="132" t="s">
        <v>658</v>
      </c>
      <c r="G51" s="281">
        <v>0</v>
      </c>
      <c r="H51" s="149">
        <v>0</v>
      </c>
      <c r="I51" s="1">
        <v>0</v>
      </c>
      <c r="J51" s="29">
        <f t="shared" si="1"/>
        <v>0</v>
      </c>
    </row>
    <row r="52" spans="1:10" ht="14.45" customHeight="1" thickBot="1" x14ac:dyDescent="0.3">
      <c r="A52" s="62" t="s">
        <v>71</v>
      </c>
      <c r="B52" s="279">
        <v>0</v>
      </c>
      <c r="C52" s="98">
        <v>0</v>
      </c>
      <c r="D52" s="217">
        <v>0</v>
      </c>
      <c r="E52" s="59">
        <f t="shared" si="0"/>
        <v>0</v>
      </c>
      <c r="F52" s="132" t="s">
        <v>71</v>
      </c>
      <c r="G52" s="281">
        <v>0</v>
      </c>
      <c r="H52" s="149">
        <v>0</v>
      </c>
      <c r="I52" s="1">
        <v>0</v>
      </c>
      <c r="J52" s="29">
        <f t="shared" si="1"/>
        <v>0</v>
      </c>
    </row>
    <row r="53" spans="1:10" ht="14.95" thickBot="1" x14ac:dyDescent="0.3">
      <c r="A53" s="62" t="s">
        <v>3</v>
      </c>
      <c r="B53" s="279">
        <f>SUM(B3:B52)</f>
        <v>17</v>
      </c>
      <c r="C53" s="98">
        <f>SUM(C3:C52)</f>
        <v>0</v>
      </c>
      <c r="D53" s="217">
        <f>SUM(D3:D52)</f>
        <v>0</v>
      </c>
      <c r="E53" s="59">
        <f t="shared" si="0"/>
        <v>17</v>
      </c>
      <c r="F53" s="133" t="s">
        <v>3</v>
      </c>
      <c r="G53" s="280">
        <f>SUM(G3:G52)</f>
        <v>117</v>
      </c>
      <c r="H53" s="148">
        <f>SUM(H3:H52)</f>
        <v>0</v>
      </c>
      <c r="I53" s="381">
        <f>SUM(I3:I52)</f>
        <v>0</v>
      </c>
      <c r="J53" s="118">
        <f t="shared" si="1"/>
        <v>117</v>
      </c>
    </row>
    <row r="54" spans="1:10" ht="16.3" x14ac:dyDescent="0.25">
      <c r="D54" s="50"/>
      <c r="F54" s="3"/>
      <c r="G54" s="3"/>
      <c r="H54" s="3"/>
      <c r="I54" s="51"/>
      <c r="J54" s="3"/>
    </row>
    <row r="55" spans="1:10" ht="14.95" customHeight="1" thickBot="1" x14ac:dyDescent="0.3">
      <c r="A55" t="s">
        <v>7</v>
      </c>
      <c r="D55" s="50"/>
      <c r="F55" s="3"/>
      <c r="G55" s="3"/>
      <c r="H55" s="3"/>
      <c r="I55" s="51"/>
      <c r="J55" s="3"/>
    </row>
    <row r="56" spans="1:10" ht="14.95" customHeight="1" thickBot="1" x14ac:dyDescent="0.3">
      <c r="A56" s="65" t="s">
        <v>0</v>
      </c>
      <c r="B56" s="278" t="s">
        <v>14</v>
      </c>
      <c r="C56" s="97" t="s">
        <v>500</v>
      </c>
      <c r="D56" s="382" t="s">
        <v>11</v>
      </c>
      <c r="E56" s="68" t="s">
        <v>1</v>
      </c>
      <c r="F56" s="130" t="s">
        <v>2</v>
      </c>
      <c r="G56" s="280" t="s">
        <v>14</v>
      </c>
      <c r="H56" s="148" t="s">
        <v>500</v>
      </c>
      <c r="I56" s="381" t="s">
        <v>11</v>
      </c>
      <c r="J56" s="118" t="s">
        <v>1</v>
      </c>
    </row>
    <row r="57" spans="1:10" ht="14.95" thickBot="1" x14ac:dyDescent="0.3">
      <c r="A57" s="62" t="s">
        <v>42</v>
      </c>
      <c r="B57" s="279">
        <v>4</v>
      </c>
      <c r="C57" s="98">
        <v>0</v>
      </c>
      <c r="D57" s="217">
        <v>0</v>
      </c>
      <c r="E57" s="59">
        <f t="shared" ref="E57:E88" si="4">SUM(B57:D57)</f>
        <v>4</v>
      </c>
      <c r="F57" s="131" t="s">
        <v>60</v>
      </c>
      <c r="G57" s="281">
        <v>24</v>
      </c>
      <c r="H57" s="149">
        <v>0</v>
      </c>
      <c r="I57" s="1">
        <v>0</v>
      </c>
      <c r="J57" s="29">
        <f t="shared" ref="J57:J88" si="5">SUM(G57:I57)</f>
        <v>24</v>
      </c>
    </row>
    <row r="58" spans="1:10" ht="14.95" thickBot="1" x14ac:dyDescent="0.3">
      <c r="A58" s="62" t="s">
        <v>61</v>
      </c>
      <c r="B58" s="279">
        <v>3</v>
      </c>
      <c r="C58" s="98">
        <v>0</v>
      </c>
      <c r="D58" s="217">
        <v>0</v>
      </c>
      <c r="E58" s="59">
        <f t="shared" si="4"/>
        <v>3</v>
      </c>
      <c r="F58" s="131" t="s">
        <v>42</v>
      </c>
      <c r="G58" s="281">
        <v>20</v>
      </c>
      <c r="H58" s="149">
        <v>0</v>
      </c>
      <c r="I58" s="1">
        <v>0</v>
      </c>
      <c r="J58" s="29">
        <f t="shared" si="5"/>
        <v>20</v>
      </c>
    </row>
    <row r="59" spans="1:10" ht="14.95" thickBot="1" x14ac:dyDescent="0.3">
      <c r="A59" s="62" t="s">
        <v>47</v>
      </c>
      <c r="B59" s="279">
        <v>2</v>
      </c>
      <c r="C59" s="98">
        <v>0</v>
      </c>
      <c r="D59" s="217">
        <v>0</v>
      </c>
      <c r="E59" s="59">
        <f t="shared" si="4"/>
        <v>2</v>
      </c>
      <c r="F59" s="131" t="s">
        <v>61</v>
      </c>
      <c r="G59" s="281">
        <v>15</v>
      </c>
      <c r="H59" s="149">
        <v>0</v>
      </c>
      <c r="I59" s="1">
        <v>0</v>
      </c>
      <c r="J59" s="29">
        <f t="shared" si="5"/>
        <v>15</v>
      </c>
    </row>
    <row r="60" spans="1:10" ht="14.95" thickBot="1" x14ac:dyDescent="0.3">
      <c r="A60" s="62" t="s">
        <v>57</v>
      </c>
      <c r="B60" s="279">
        <v>1</v>
      </c>
      <c r="C60" s="98">
        <v>0</v>
      </c>
      <c r="D60" s="217">
        <v>0</v>
      </c>
      <c r="E60" s="59">
        <f t="shared" si="4"/>
        <v>1</v>
      </c>
      <c r="F60" s="131" t="s">
        <v>47</v>
      </c>
      <c r="G60" s="281">
        <v>10</v>
      </c>
      <c r="H60" s="149">
        <v>0</v>
      </c>
      <c r="I60" s="1">
        <v>0</v>
      </c>
      <c r="J60" s="29">
        <f t="shared" si="5"/>
        <v>10</v>
      </c>
    </row>
    <row r="61" spans="1:10" ht="14.95" thickBot="1" x14ac:dyDescent="0.3">
      <c r="A61" s="62" t="s">
        <v>748</v>
      </c>
      <c r="B61" s="279">
        <v>1</v>
      </c>
      <c r="C61" s="98">
        <v>0</v>
      </c>
      <c r="D61" s="217">
        <v>0</v>
      </c>
      <c r="E61" s="59">
        <f t="shared" si="4"/>
        <v>1</v>
      </c>
      <c r="F61" s="132" t="s">
        <v>66</v>
      </c>
      <c r="G61" s="281">
        <v>8</v>
      </c>
      <c r="H61" s="149">
        <v>0</v>
      </c>
      <c r="I61" s="1">
        <v>0</v>
      </c>
      <c r="J61" s="29">
        <f t="shared" si="5"/>
        <v>8</v>
      </c>
    </row>
    <row r="62" spans="1:10" ht="14.95" thickBot="1" x14ac:dyDescent="0.3">
      <c r="A62" s="62" t="s">
        <v>98</v>
      </c>
      <c r="B62" s="279">
        <v>1</v>
      </c>
      <c r="C62" s="98">
        <v>0</v>
      </c>
      <c r="D62" s="217">
        <v>0</v>
      </c>
      <c r="E62" s="59">
        <f t="shared" si="4"/>
        <v>1</v>
      </c>
      <c r="F62" s="132" t="s">
        <v>57</v>
      </c>
      <c r="G62" s="281">
        <v>5</v>
      </c>
      <c r="H62" s="149">
        <v>0</v>
      </c>
      <c r="I62" s="1">
        <v>0</v>
      </c>
      <c r="J62" s="29">
        <f t="shared" si="5"/>
        <v>5</v>
      </c>
    </row>
    <row r="63" spans="1:10" ht="14.95" thickBot="1" x14ac:dyDescent="0.3">
      <c r="A63" s="62" t="s">
        <v>50</v>
      </c>
      <c r="B63" s="279">
        <v>1</v>
      </c>
      <c r="C63" s="98">
        <v>0</v>
      </c>
      <c r="D63" s="217">
        <v>0</v>
      </c>
      <c r="E63" s="59">
        <f t="shared" si="4"/>
        <v>1</v>
      </c>
      <c r="F63" s="132" t="s">
        <v>748</v>
      </c>
      <c r="G63" s="281">
        <v>5</v>
      </c>
      <c r="H63" s="149">
        <v>0</v>
      </c>
      <c r="I63" s="1">
        <v>0</v>
      </c>
      <c r="J63" s="29">
        <f t="shared" si="5"/>
        <v>5</v>
      </c>
    </row>
    <row r="64" spans="1:10" ht="14.95" thickBot="1" x14ac:dyDescent="0.3">
      <c r="A64" s="62" t="s">
        <v>1037</v>
      </c>
      <c r="B64" s="279">
        <v>1</v>
      </c>
      <c r="C64" s="98">
        <v>0</v>
      </c>
      <c r="D64" s="217">
        <v>0</v>
      </c>
      <c r="E64" s="59">
        <f t="shared" si="4"/>
        <v>1</v>
      </c>
      <c r="F64" s="132" t="s">
        <v>98</v>
      </c>
      <c r="G64" s="281">
        <v>5</v>
      </c>
      <c r="H64" s="149">
        <v>0</v>
      </c>
      <c r="I64" s="1">
        <v>0</v>
      </c>
      <c r="J64" s="29">
        <f t="shared" si="5"/>
        <v>5</v>
      </c>
    </row>
    <row r="65" spans="1:10" ht="14.95" thickBot="1" x14ac:dyDescent="0.3">
      <c r="A65" s="62" t="s">
        <v>64</v>
      </c>
      <c r="B65" s="279">
        <v>1</v>
      </c>
      <c r="C65" s="98">
        <v>0</v>
      </c>
      <c r="D65" s="217">
        <v>0</v>
      </c>
      <c r="E65" s="59">
        <f t="shared" si="4"/>
        <v>1</v>
      </c>
      <c r="F65" s="132" t="s">
        <v>50</v>
      </c>
      <c r="G65" s="281">
        <v>5</v>
      </c>
      <c r="H65" s="149">
        <v>0</v>
      </c>
      <c r="I65" s="1">
        <v>0</v>
      </c>
      <c r="J65" s="29">
        <f t="shared" si="5"/>
        <v>5</v>
      </c>
    </row>
    <row r="66" spans="1:10" ht="14.95" thickBot="1" x14ac:dyDescent="0.3">
      <c r="A66" s="62" t="s">
        <v>68</v>
      </c>
      <c r="B66" s="279">
        <v>1</v>
      </c>
      <c r="C66" s="98">
        <v>0</v>
      </c>
      <c r="D66" s="217">
        <v>0</v>
      </c>
      <c r="E66" s="59">
        <f t="shared" si="4"/>
        <v>1</v>
      </c>
      <c r="F66" s="132" t="s">
        <v>1037</v>
      </c>
      <c r="G66" s="281">
        <v>5</v>
      </c>
      <c r="H66" s="149">
        <v>0</v>
      </c>
      <c r="I66" s="1">
        <v>0</v>
      </c>
      <c r="J66" s="29">
        <f t="shared" si="5"/>
        <v>5</v>
      </c>
    </row>
    <row r="67" spans="1:10" ht="14.95" thickBot="1" x14ac:dyDescent="0.3">
      <c r="A67" s="62" t="s">
        <v>721</v>
      </c>
      <c r="B67" s="279">
        <v>1</v>
      </c>
      <c r="C67" s="98">
        <v>0</v>
      </c>
      <c r="D67" s="217">
        <v>0</v>
      </c>
      <c r="E67" s="59">
        <f t="shared" si="4"/>
        <v>1</v>
      </c>
      <c r="F67" s="132" t="s">
        <v>64</v>
      </c>
      <c r="G67" s="281">
        <v>5</v>
      </c>
      <c r="H67" s="149">
        <v>0</v>
      </c>
      <c r="I67" s="1">
        <v>0</v>
      </c>
      <c r="J67" s="29">
        <f t="shared" si="5"/>
        <v>5</v>
      </c>
    </row>
    <row r="68" spans="1:10" ht="14.95" thickBot="1" x14ac:dyDescent="0.3">
      <c r="A68" s="62" t="s">
        <v>56</v>
      </c>
      <c r="B68" s="279">
        <v>0</v>
      </c>
      <c r="C68" s="98">
        <v>0</v>
      </c>
      <c r="D68" s="217">
        <v>0</v>
      </c>
      <c r="E68" s="59">
        <f t="shared" si="4"/>
        <v>0</v>
      </c>
      <c r="F68" s="132" t="s">
        <v>68</v>
      </c>
      <c r="G68" s="281">
        <v>5</v>
      </c>
      <c r="H68" s="149">
        <v>0</v>
      </c>
      <c r="I68" s="1">
        <v>0</v>
      </c>
      <c r="J68" s="29">
        <f t="shared" si="5"/>
        <v>5</v>
      </c>
    </row>
    <row r="69" spans="1:10" ht="14.95" thickBot="1" x14ac:dyDescent="0.3">
      <c r="A69" s="62" t="s">
        <v>40</v>
      </c>
      <c r="B69" s="279">
        <v>0</v>
      </c>
      <c r="C69" s="98">
        <v>0</v>
      </c>
      <c r="D69" s="217">
        <v>0</v>
      </c>
      <c r="E69" s="59">
        <f t="shared" si="4"/>
        <v>0</v>
      </c>
      <c r="F69" s="132" t="s">
        <v>721</v>
      </c>
      <c r="G69" s="281">
        <v>5</v>
      </c>
      <c r="H69" s="149">
        <v>0</v>
      </c>
      <c r="I69" s="1">
        <v>0</v>
      </c>
      <c r="J69" s="29">
        <f t="shared" si="5"/>
        <v>5</v>
      </c>
    </row>
    <row r="70" spans="1:10" ht="14.95" thickBot="1" x14ac:dyDescent="0.3">
      <c r="A70" s="62" t="s">
        <v>494</v>
      </c>
      <c r="B70" s="279">
        <v>0</v>
      </c>
      <c r="C70" s="98">
        <v>0</v>
      </c>
      <c r="D70" s="217">
        <v>0</v>
      </c>
      <c r="E70" s="59">
        <f t="shared" si="4"/>
        <v>0</v>
      </c>
      <c r="F70" s="132" t="s">
        <v>56</v>
      </c>
      <c r="G70" s="281">
        <v>0</v>
      </c>
      <c r="H70" s="149">
        <v>0</v>
      </c>
      <c r="I70" s="1">
        <v>0</v>
      </c>
      <c r="J70" s="29">
        <f t="shared" si="5"/>
        <v>0</v>
      </c>
    </row>
    <row r="71" spans="1:10" ht="14.95" thickBot="1" x14ac:dyDescent="0.3">
      <c r="A71" s="62" t="s">
        <v>521</v>
      </c>
      <c r="B71" s="279">
        <v>0</v>
      </c>
      <c r="C71" s="98">
        <v>0</v>
      </c>
      <c r="D71" s="217">
        <v>0</v>
      </c>
      <c r="E71" s="59">
        <f t="shared" si="4"/>
        <v>0</v>
      </c>
      <c r="F71" s="132" t="s">
        <v>40</v>
      </c>
      <c r="G71" s="281">
        <v>0</v>
      </c>
      <c r="H71" s="149">
        <v>0</v>
      </c>
      <c r="I71" s="1">
        <v>0</v>
      </c>
      <c r="J71" s="29">
        <f t="shared" si="5"/>
        <v>0</v>
      </c>
    </row>
    <row r="72" spans="1:10" ht="14.95" thickBot="1" x14ac:dyDescent="0.3">
      <c r="A72" s="62" t="s">
        <v>41</v>
      </c>
      <c r="B72" s="279">
        <v>0</v>
      </c>
      <c r="C72" s="98">
        <v>0</v>
      </c>
      <c r="D72" s="217">
        <v>0</v>
      </c>
      <c r="E72" s="59">
        <f t="shared" si="4"/>
        <v>0</v>
      </c>
      <c r="F72" s="132" t="s">
        <v>494</v>
      </c>
      <c r="G72" s="281">
        <v>0</v>
      </c>
      <c r="H72" s="149">
        <v>0</v>
      </c>
      <c r="I72" s="1">
        <v>0</v>
      </c>
      <c r="J72" s="29">
        <f t="shared" si="5"/>
        <v>0</v>
      </c>
    </row>
    <row r="73" spans="1:10" ht="14.95" thickBot="1" x14ac:dyDescent="0.3">
      <c r="A73" s="62" t="s">
        <v>43</v>
      </c>
      <c r="B73" s="279">
        <v>0</v>
      </c>
      <c r="C73" s="98">
        <v>0</v>
      </c>
      <c r="D73" s="217">
        <v>0</v>
      </c>
      <c r="E73" s="59">
        <f t="shared" si="4"/>
        <v>0</v>
      </c>
      <c r="F73" s="132" t="s">
        <v>521</v>
      </c>
      <c r="G73" s="281">
        <v>0</v>
      </c>
      <c r="H73" s="149">
        <v>0</v>
      </c>
      <c r="I73" s="1">
        <v>0</v>
      </c>
      <c r="J73" s="29">
        <f t="shared" si="5"/>
        <v>0</v>
      </c>
    </row>
    <row r="74" spans="1:10" ht="14.95" thickBot="1" x14ac:dyDescent="0.3">
      <c r="A74" s="62" t="s">
        <v>656</v>
      </c>
      <c r="B74" s="279">
        <v>0</v>
      </c>
      <c r="C74" s="98">
        <v>0</v>
      </c>
      <c r="D74" s="217">
        <v>0</v>
      </c>
      <c r="E74" s="59">
        <f t="shared" si="4"/>
        <v>0</v>
      </c>
      <c r="F74" s="132" t="s">
        <v>41</v>
      </c>
      <c r="G74" s="281">
        <v>0</v>
      </c>
      <c r="H74" s="149">
        <v>0</v>
      </c>
      <c r="I74" s="1">
        <v>0</v>
      </c>
      <c r="J74" s="29">
        <f t="shared" si="5"/>
        <v>0</v>
      </c>
    </row>
    <row r="75" spans="1:10" ht="14.95" thickBot="1" x14ac:dyDescent="0.3">
      <c r="A75" s="62" t="s">
        <v>734</v>
      </c>
      <c r="B75" s="279">
        <v>0</v>
      </c>
      <c r="C75" s="98">
        <v>0</v>
      </c>
      <c r="D75" s="217">
        <v>0</v>
      </c>
      <c r="E75" s="59">
        <f t="shared" si="4"/>
        <v>0</v>
      </c>
      <c r="F75" s="132" t="s">
        <v>43</v>
      </c>
      <c r="G75" s="281">
        <v>0</v>
      </c>
      <c r="H75" s="149">
        <v>0</v>
      </c>
      <c r="I75" s="1">
        <v>0</v>
      </c>
      <c r="J75" s="29">
        <f t="shared" si="5"/>
        <v>0</v>
      </c>
    </row>
    <row r="76" spans="1:10" ht="14.95" thickBot="1" x14ac:dyDescent="0.3">
      <c r="A76" s="62" t="s">
        <v>44</v>
      </c>
      <c r="B76" s="279">
        <v>0</v>
      </c>
      <c r="C76" s="98">
        <v>0</v>
      </c>
      <c r="D76" s="217">
        <v>0</v>
      </c>
      <c r="E76" s="59">
        <f t="shared" si="4"/>
        <v>0</v>
      </c>
      <c r="F76" s="132" t="s">
        <v>656</v>
      </c>
      <c r="G76" s="281">
        <v>0</v>
      </c>
      <c r="H76" s="149">
        <v>0</v>
      </c>
      <c r="I76" s="1">
        <v>0</v>
      </c>
      <c r="J76" s="29">
        <f t="shared" si="5"/>
        <v>0</v>
      </c>
    </row>
    <row r="77" spans="1:10" ht="14.95" thickBot="1" x14ac:dyDescent="0.3">
      <c r="A77" s="62" t="s">
        <v>495</v>
      </c>
      <c r="B77" s="279">
        <v>0</v>
      </c>
      <c r="C77" s="98">
        <v>0</v>
      </c>
      <c r="D77" s="217">
        <v>0</v>
      </c>
      <c r="E77" s="59">
        <f t="shared" si="4"/>
        <v>0</v>
      </c>
      <c r="F77" s="132" t="s">
        <v>735</v>
      </c>
      <c r="G77" s="281">
        <v>0</v>
      </c>
      <c r="H77" s="149">
        <v>0</v>
      </c>
      <c r="I77" s="1">
        <v>0</v>
      </c>
      <c r="J77" s="29">
        <f t="shared" si="5"/>
        <v>0</v>
      </c>
    </row>
    <row r="78" spans="1:10" ht="14.95" thickBot="1" x14ac:dyDescent="0.3">
      <c r="A78" s="62" t="s">
        <v>45</v>
      </c>
      <c r="B78" s="279">
        <v>0</v>
      </c>
      <c r="C78" s="98">
        <v>0</v>
      </c>
      <c r="D78" s="217">
        <v>0</v>
      </c>
      <c r="E78" s="59">
        <f t="shared" si="4"/>
        <v>0</v>
      </c>
      <c r="F78" s="132" t="s">
        <v>44</v>
      </c>
      <c r="G78" s="281">
        <v>0</v>
      </c>
      <c r="H78" s="149">
        <v>0</v>
      </c>
      <c r="I78" s="1">
        <v>0</v>
      </c>
      <c r="J78" s="29">
        <f t="shared" si="5"/>
        <v>0</v>
      </c>
    </row>
    <row r="79" spans="1:10" ht="14.95" thickBot="1" x14ac:dyDescent="0.3">
      <c r="A79" s="62" t="s">
        <v>46</v>
      </c>
      <c r="B79" s="279">
        <v>0</v>
      </c>
      <c r="C79" s="98">
        <v>0</v>
      </c>
      <c r="D79" s="217">
        <v>0</v>
      </c>
      <c r="E79" s="59">
        <f t="shared" si="4"/>
        <v>0</v>
      </c>
      <c r="F79" s="132" t="s">
        <v>495</v>
      </c>
      <c r="G79" s="281">
        <v>0</v>
      </c>
      <c r="H79" s="149">
        <v>0</v>
      </c>
      <c r="I79" s="1">
        <v>0</v>
      </c>
      <c r="J79" s="29">
        <f t="shared" si="5"/>
        <v>0</v>
      </c>
    </row>
    <row r="80" spans="1:10" ht="14.95" thickBot="1" x14ac:dyDescent="0.3">
      <c r="A80" s="62" t="s">
        <v>58</v>
      </c>
      <c r="B80" s="279">
        <v>0</v>
      </c>
      <c r="C80" s="98">
        <v>0</v>
      </c>
      <c r="D80" s="217">
        <v>0</v>
      </c>
      <c r="E80" s="59">
        <f t="shared" si="4"/>
        <v>0</v>
      </c>
      <c r="F80" s="132" t="s">
        <v>45</v>
      </c>
      <c r="G80" s="281">
        <v>0</v>
      </c>
      <c r="H80" s="149">
        <v>0</v>
      </c>
      <c r="I80" s="1">
        <v>0</v>
      </c>
      <c r="J80" s="29">
        <f t="shared" si="5"/>
        <v>0</v>
      </c>
    </row>
    <row r="81" spans="1:10" ht="14.95" thickBot="1" x14ac:dyDescent="0.3">
      <c r="A81" s="62" t="s">
        <v>59</v>
      </c>
      <c r="B81" s="279">
        <v>0</v>
      </c>
      <c r="C81" s="98">
        <v>0</v>
      </c>
      <c r="D81" s="217">
        <v>0</v>
      </c>
      <c r="E81" s="59">
        <f t="shared" si="4"/>
        <v>0</v>
      </c>
      <c r="F81" s="132" t="s">
        <v>46</v>
      </c>
      <c r="G81" s="281">
        <v>0</v>
      </c>
      <c r="H81" s="149">
        <v>0</v>
      </c>
      <c r="I81" s="1">
        <v>0</v>
      </c>
      <c r="J81" s="29">
        <f t="shared" si="5"/>
        <v>0</v>
      </c>
    </row>
    <row r="82" spans="1:10" ht="14.95" thickBot="1" x14ac:dyDescent="0.3">
      <c r="A82" s="62" t="s">
        <v>594</v>
      </c>
      <c r="B82" s="279">
        <v>0</v>
      </c>
      <c r="C82" s="98">
        <v>0</v>
      </c>
      <c r="D82" s="217">
        <v>0</v>
      </c>
      <c r="E82" s="59">
        <f t="shared" si="4"/>
        <v>0</v>
      </c>
      <c r="F82" s="132" t="s">
        <v>58</v>
      </c>
      <c r="G82" s="281">
        <v>0</v>
      </c>
      <c r="H82" s="149">
        <v>0</v>
      </c>
      <c r="I82" s="1">
        <v>0</v>
      </c>
      <c r="J82" s="29">
        <f t="shared" si="5"/>
        <v>0</v>
      </c>
    </row>
    <row r="83" spans="1:10" ht="14.95" thickBot="1" x14ac:dyDescent="0.3">
      <c r="A83" s="62" t="s">
        <v>48</v>
      </c>
      <c r="B83" s="279">
        <v>0</v>
      </c>
      <c r="C83" s="98">
        <v>0</v>
      </c>
      <c r="D83" s="217">
        <v>0</v>
      </c>
      <c r="E83" s="59">
        <f t="shared" si="4"/>
        <v>0</v>
      </c>
      <c r="F83" s="132" t="s">
        <v>59</v>
      </c>
      <c r="G83" s="281">
        <v>0</v>
      </c>
      <c r="H83" s="149">
        <v>0</v>
      </c>
      <c r="I83" s="1">
        <v>0</v>
      </c>
      <c r="J83" s="29">
        <f t="shared" si="5"/>
        <v>0</v>
      </c>
    </row>
    <row r="84" spans="1:10" ht="14.95" thickBot="1" x14ac:dyDescent="0.3">
      <c r="A84" s="62" t="s">
        <v>49</v>
      </c>
      <c r="B84" s="279">
        <v>0</v>
      </c>
      <c r="C84" s="98">
        <v>0</v>
      </c>
      <c r="D84" s="217">
        <v>0</v>
      </c>
      <c r="E84" s="59">
        <f t="shared" si="4"/>
        <v>0</v>
      </c>
      <c r="F84" s="132" t="s">
        <v>594</v>
      </c>
      <c r="G84" s="281">
        <v>0</v>
      </c>
      <c r="H84" s="149">
        <v>0</v>
      </c>
      <c r="I84" s="1">
        <v>0</v>
      </c>
      <c r="J84" s="29">
        <f t="shared" si="5"/>
        <v>0</v>
      </c>
    </row>
    <row r="85" spans="1:10" ht="14.95" thickBot="1" x14ac:dyDescent="0.3">
      <c r="A85" s="62" t="s">
        <v>60</v>
      </c>
      <c r="B85" s="279">
        <v>0</v>
      </c>
      <c r="C85" s="98">
        <v>0</v>
      </c>
      <c r="D85" s="217">
        <v>0</v>
      </c>
      <c r="E85" s="59">
        <f t="shared" si="4"/>
        <v>0</v>
      </c>
      <c r="F85" s="132" t="s">
        <v>48</v>
      </c>
      <c r="G85" s="281">
        <v>0</v>
      </c>
      <c r="H85" s="149">
        <v>0</v>
      </c>
      <c r="I85" s="1">
        <v>0</v>
      </c>
      <c r="J85" s="29">
        <f t="shared" si="5"/>
        <v>0</v>
      </c>
    </row>
    <row r="86" spans="1:10" ht="14.95" thickBot="1" x14ac:dyDescent="0.3">
      <c r="A86" s="62" t="s">
        <v>383</v>
      </c>
      <c r="B86" s="279">
        <v>0</v>
      </c>
      <c r="C86" s="98">
        <v>0</v>
      </c>
      <c r="D86" s="217">
        <v>0</v>
      </c>
      <c r="E86" s="59">
        <f t="shared" si="4"/>
        <v>0</v>
      </c>
      <c r="F86" s="132" t="s">
        <v>49</v>
      </c>
      <c r="G86" s="281">
        <v>0</v>
      </c>
      <c r="H86" s="149">
        <v>0</v>
      </c>
      <c r="I86" s="1">
        <v>0</v>
      </c>
      <c r="J86" s="29">
        <f t="shared" si="5"/>
        <v>0</v>
      </c>
    </row>
    <row r="87" spans="1:10" ht="14.95" thickBot="1" x14ac:dyDescent="0.3">
      <c r="A87" s="62" t="s">
        <v>503</v>
      </c>
      <c r="B87" s="279">
        <v>0</v>
      </c>
      <c r="C87" s="98">
        <v>0</v>
      </c>
      <c r="D87" s="217">
        <v>0</v>
      </c>
      <c r="E87" s="59">
        <f t="shared" si="4"/>
        <v>0</v>
      </c>
      <c r="F87" s="132" t="s">
        <v>383</v>
      </c>
      <c r="G87" s="281">
        <v>0</v>
      </c>
      <c r="H87" s="149">
        <v>0</v>
      </c>
      <c r="I87" s="1">
        <v>0</v>
      </c>
      <c r="J87" s="29">
        <f t="shared" si="5"/>
        <v>0</v>
      </c>
    </row>
    <row r="88" spans="1:10" ht="14.95" thickBot="1" x14ac:dyDescent="0.3">
      <c r="A88" s="62" t="s">
        <v>879</v>
      </c>
      <c r="B88" s="279">
        <v>0</v>
      </c>
      <c r="C88" s="98">
        <v>0</v>
      </c>
      <c r="D88" s="217">
        <v>0</v>
      </c>
      <c r="E88" s="59">
        <f t="shared" si="4"/>
        <v>0</v>
      </c>
      <c r="F88" s="132" t="s">
        <v>503</v>
      </c>
      <c r="G88" s="281">
        <v>0</v>
      </c>
      <c r="H88" s="149">
        <v>0</v>
      </c>
      <c r="I88" s="1">
        <v>0</v>
      </c>
      <c r="J88" s="29">
        <f t="shared" si="5"/>
        <v>0</v>
      </c>
    </row>
    <row r="89" spans="1:10" ht="14.95" thickBot="1" x14ac:dyDescent="0.3">
      <c r="A89" s="62" t="s">
        <v>856</v>
      </c>
      <c r="B89" s="279">
        <v>0</v>
      </c>
      <c r="C89" s="98">
        <v>0</v>
      </c>
      <c r="D89" s="217">
        <v>0</v>
      </c>
      <c r="E89" s="59">
        <f t="shared" ref="E89:E120" si="6">SUM(B89:D89)</f>
        <v>0</v>
      </c>
      <c r="F89" s="132" t="s">
        <v>879</v>
      </c>
      <c r="G89" s="281">
        <v>0</v>
      </c>
      <c r="H89" s="149">
        <v>0</v>
      </c>
      <c r="I89" s="1">
        <v>0</v>
      </c>
      <c r="J89" s="29">
        <f t="shared" ref="J89:J120" si="7">SUM(G89:I89)</f>
        <v>0</v>
      </c>
    </row>
    <row r="90" spans="1:10" ht="14.95" thickBot="1" x14ac:dyDescent="0.3">
      <c r="A90" s="62" t="s">
        <v>51</v>
      </c>
      <c r="B90" s="279">
        <v>0</v>
      </c>
      <c r="C90" s="98">
        <v>0</v>
      </c>
      <c r="D90" s="217">
        <v>0</v>
      </c>
      <c r="E90" s="59">
        <f t="shared" si="6"/>
        <v>0</v>
      </c>
      <c r="F90" s="132" t="s">
        <v>856</v>
      </c>
      <c r="G90" s="281">
        <v>0</v>
      </c>
      <c r="H90" s="149">
        <v>0</v>
      </c>
      <c r="I90" s="1">
        <v>0</v>
      </c>
      <c r="J90" s="29">
        <f t="shared" si="7"/>
        <v>0</v>
      </c>
    </row>
    <row r="91" spans="1:10" ht="14.95" thickBot="1" x14ac:dyDescent="0.3">
      <c r="A91" s="62" t="s">
        <v>62</v>
      </c>
      <c r="B91" s="279">
        <v>0</v>
      </c>
      <c r="C91" s="98">
        <v>0</v>
      </c>
      <c r="D91" s="217">
        <v>0</v>
      </c>
      <c r="E91" s="59">
        <f t="shared" si="6"/>
        <v>0</v>
      </c>
      <c r="F91" s="132" t="s">
        <v>51</v>
      </c>
      <c r="G91" s="281">
        <v>0</v>
      </c>
      <c r="H91" s="149">
        <v>0</v>
      </c>
      <c r="I91" s="1">
        <v>0</v>
      </c>
      <c r="J91" s="29">
        <f t="shared" si="7"/>
        <v>0</v>
      </c>
    </row>
    <row r="92" spans="1:10" ht="14.95" thickBot="1" x14ac:dyDescent="0.3">
      <c r="A92" s="62" t="s">
        <v>52</v>
      </c>
      <c r="B92" s="279">
        <v>0</v>
      </c>
      <c r="C92" s="98">
        <v>0</v>
      </c>
      <c r="D92" s="217">
        <v>0</v>
      </c>
      <c r="E92" s="59">
        <f t="shared" si="6"/>
        <v>0</v>
      </c>
      <c r="F92" s="132" t="s">
        <v>62</v>
      </c>
      <c r="G92" s="281">
        <v>0</v>
      </c>
      <c r="H92" s="149">
        <v>0</v>
      </c>
      <c r="I92" s="1">
        <v>0</v>
      </c>
      <c r="J92" s="29">
        <f t="shared" si="7"/>
        <v>0</v>
      </c>
    </row>
    <row r="93" spans="1:10" ht="14.95" thickBot="1" x14ac:dyDescent="0.3">
      <c r="A93" s="62" t="s">
        <v>53</v>
      </c>
      <c r="B93" s="279">
        <v>0</v>
      </c>
      <c r="C93" s="98">
        <v>0</v>
      </c>
      <c r="D93" s="217">
        <v>0</v>
      </c>
      <c r="E93" s="59">
        <f t="shared" si="6"/>
        <v>0</v>
      </c>
      <c r="F93" s="132" t="s">
        <v>52</v>
      </c>
      <c r="G93" s="281">
        <v>0</v>
      </c>
      <c r="H93" s="149">
        <v>0</v>
      </c>
      <c r="I93" s="1">
        <v>0</v>
      </c>
      <c r="J93" s="29">
        <f t="shared" si="7"/>
        <v>0</v>
      </c>
    </row>
    <row r="94" spans="1:10" ht="14.95" thickBot="1" x14ac:dyDescent="0.3">
      <c r="A94" s="62" t="s">
        <v>63</v>
      </c>
      <c r="B94" s="279">
        <v>0</v>
      </c>
      <c r="C94" s="98">
        <v>0</v>
      </c>
      <c r="D94" s="217">
        <v>0</v>
      </c>
      <c r="E94" s="59">
        <f t="shared" si="6"/>
        <v>0</v>
      </c>
      <c r="F94" s="132" t="s">
        <v>53</v>
      </c>
      <c r="G94" s="281">
        <v>0</v>
      </c>
      <c r="H94" s="149">
        <v>0</v>
      </c>
      <c r="I94" s="1">
        <v>0</v>
      </c>
      <c r="J94" s="29">
        <f t="shared" si="7"/>
        <v>0</v>
      </c>
    </row>
    <row r="95" spans="1:10" ht="14.95" thickBot="1" x14ac:dyDescent="0.3">
      <c r="A95" s="62" t="s">
        <v>208</v>
      </c>
      <c r="B95" s="279">
        <v>0</v>
      </c>
      <c r="C95" s="98">
        <v>0</v>
      </c>
      <c r="D95" s="217">
        <v>0</v>
      </c>
      <c r="E95" s="59">
        <f t="shared" si="6"/>
        <v>0</v>
      </c>
      <c r="F95" s="132" t="s">
        <v>63</v>
      </c>
      <c r="G95" s="281">
        <v>0</v>
      </c>
      <c r="H95" s="149">
        <v>0</v>
      </c>
      <c r="I95" s="1">
        <v>0</v>
      </c>
      <c r="J95" s="29">
        <f t="shared" si="7"/>
        <v>0</v>
      </c>
    </row>
    <row r="96" spans="1:10" ht="14.95" thickBot="1" x14ac:dyDescent="0.3">
      <c r="A96" s="62" t="s">
        <v>54</v>
      </c>
      <c r="B96" s="279">
        <v>0</v>
      </c>
      <c r="C96" s="98">
        <v>0</v>
      </c>
      <c r="D96" s="217">
        <v>0</v>
      </c>
      <c r="E96" s="59">
        <f t="shared" si="6"/>
        <v>0</v>
      </c>
      <c r="F96" s="132" t="s">
        <v>208</v>
      </c>
      <c r="G96" s="281">
        <v>0</v>
      </c>
      <c r="H96" s="149">
        <v>0</v>
      </c>
      <c r="I96" s="1">
        <v>0</v>
      </c>
      <c r="J96" s="29">
        <f t="shared" si="7"/>
        <v>0</v>
      </c>
    </row>
    <row r="97" spans="1:10" ht="14.95" thickBot="1" x14ac:dyDescent="0.3">
      <c r="A97" s="62" t="s">
        <v>65</v>
      </c>
      <c r="B97" s="279">
        <v>0</v>
      </c>
      <c r="C97" s="98">
        <v>0</v>
      </c>
      <c r="D97" s="217">
        <v>0</v>
      </c>
      <c r="E97" s="59">
        <f t="shared" si="6"/>
        <v>0</v>
      </c>
      <c r="F97" s="132" t="s">
        <v>54</v>
      </c>
      <c r="G97" s="281">
        <v>0</v>
      </c>
      <c r="H97" s="149">
        <v>0</v>
      </c>
      <c r="I97" s="1">
        <v>0</v>
      </c>
      <c r="J97" s="29">
        <f t="shared" si="7"/>
        <v>0</v>
      </c>
    </row>
    <row r="98" spans="1:10" ht="14.95" thickBot="1" x14ac:dyDescent="0.3">
      <c r="A98" s="62" t="s">
        <v>66</v>
      </c>
      <c r="B98" s="279">
        <v>0</v>
      </c>
      <c r="C98" s="98">
        <v>0</v>
      </c>
      <c r="D98" s="217">
        <v>0</v>
      </c>
      <c r="E98" s="59">
        <f t="shared" si="6"/>
        <v>0</v>
      </c>
      <c r="F98" s="132" t="s">
        <v>65</v>
      </c>
      <c r="G98" s="281">
        <v>0</v>
      </c>
      <c r="H98" s="149">
        <v>0</v>
      </c>
      <c r="I98" s="1">
        <v>0</v>
      </c>
      <c r="J98" s="29">
        <f t="shared" si="7"/>
        <v>0</v>
      </c>
    </row>
    <row r="99" spans="1:10" ht="14.95" thickBot="1" x14ac:dyDescent="0.3">
      <c r="A99" s="62" t="s">
        <v>67</v>
      </c>
      <c r="B99" s="279">
        <v>0</v>
      </c>
      <c r="C99" s="98">
        <v>0</v>
      </c>
      <c r="D99" s="217">
        <v>0</v>
      </c>
      <c r="E99" s="59">
        <f t="shared" si="6"/>
        <v>0</v>
      </c>
      <c r="F99" s="132" t="s">
        <v>67</v>
      </c>
      <c r="G99" s="281">
        <v>0</v>
      </c>
      <c r="H99" s="149">
        <v>0</v>
      </c>
      <c r="I99" s="1">
        <v>0</v>
      </c>
      <c r="J99" s="29">
        <f t="shared" si="7"/>
        <v>0</v>
      </c>
    </row>
    <row r="100" spans="1:10" ht="14.95" thickBot="1" x14ac:dyDescent="0.3">
      <c r="A100" s="62" t="s">
        <v>878</v>
      </c>
      <c r="B100" s="279">
        <v>0</v>
      </c>
      <c r="C100" s="98">
        <v>0</v>
      </c>
      <c r="D100" s="217">
        <v>0</v>
      </c>
      <c r="E100" s="59">
        <f t="shared" si="6"/>
        <v>0</v>
      </c>
      <c r="F100" s="132" t="s">
        <v>878</v>
      </c>
      <c r="G100" s="281">
        <v>0</v>
      </c>
      <c r="H100" s="149">
        <v>0</v>
      </c>
      <c r="I100" s="1">
        <v>0</v>
      </c>
      <c r="J100" s="29">
        <f t="shared" si="7"/>
        <v>0</v>
      </c>
    </row>
    <row r="101" spans="1:10" ht="14.95" thickBot="1" x14ac:dyDescent="0.3">
      <c r="A101" s="62" t="s">
        <v>414</v>
      </c>
      <c r="B101" s="279">
        <v>0</v>
      </c>
      <c r="C101" s="98">
        <v>0</v>
      </c>
      <c r="D101" s="217">
        <v>0</v>
      </c>
      <c r="E101" s="59">
        <f t="shared" si="6"/>
        <v>0</v>
      </c>
      <c r="F101" s="132" t="s">
        <v>414</v>
      </c>
      <c r="G101" s="281">
        <v>0</v>
      </c>
      <c r="H101" s="149">
        <v>0</v>
      </c>
      <c r="I101" s="1">
        <v>0</v>
      </c>
      <c r="J101" s="29">
        <f t="shared" si="7"/>
        <v>0</v>
      </c>
    </row>
    <row r="102" spans="1:10" ht="14.95" thickBot="1" x14ac:dyDescent="0.3">
      <c r="A102" s="62" t="s">
        <v>70</v>
      </c>
      <c r="B102" s="279">
        <v>0</v>
      </c>
      <c r="C102" s="98">
        <v>0</v>
      </c>
      <c r="D102" s="217">
        <v>0</v>
      </c>
      <c r="E102" s="59">
        <f t="shared" si="6"/>
        <v>0</v>
      </c>
      <c r="F102" s="132" t="s">
        <v>70</v>
      </c>
      <c r="G102" s="281">
        <v>0</v>
      </c>
      <c r="H102" s="149">
        <v>0</v>
      </c>
      <c r="I102" s="1">
        <v>0</v>
      </c>
      <c r="J102" s="29">
        <f t="shared" si="7"/>
        <v>0</v>
      </c>
    </row>
    <row r="103" spans="1:10" ht="14.95" thickBot="1" x14ac:dyDescent="0.3">
      <c r="A103" s="62" t="s">
        <v>69</v>
      </c>
      <c r="B103" s="279">
        <v>0</v>
      </c>
      <c r="C103" s="98">
        <v>0</v>
      </c>
      <c r="D103" s="217">
        <v>0</v>
      </c>
      <c r="E103" s="59">
        <f t="shared" si="6"/>
        <v>0</v>
      </c>
      <c r="F103" s="132" t="s">
        <v>69</v>
      </c>
      <c r="G103" s="281">
        <v>0</v>
      </c>
      <c r="H103" s="149">
        <v>0</v>
      </c>
      <c r="I103" s="1">
        <v>0</v>
      </c>
      <c r="J103" s="29">
        <f t="shared" si="7"/>
        <v>0</v>
      </c>
    </row>
    <row r="104" spans="1:10" ht="14.95" thickBot="1" x14ac:dyDescent="0.3">
      <c r="A104" s="62" t="s">
        <v>55</v>
      </c>
      <c r="B104" s="279">
        <v>0</v>
      </c>
      <c r="C104" s="98">
        <v>0</v>
      </c>
      <c r="D104" s="217">
        <v>0</v>
      </c>
      <c r="E104" s="59">
        <f t="shared" si="6"/>
        <v>0</v>
      </c>
      <c r="F104" s="132" t="s">
        <v>55</v>
      </c>
      <c r="G104" s="281">
        <v>0</v>
      </c>
      <c r="H104" s="149">
        <v>0</v>
      </c>
      <c r="I104" s="1">
        <v>0</v>
      </c>
      <c r="J104" s="29">
        <f t="shared" si="7"/>
        <v>0</v>
      </c>
    </row>
    <row r="105" spans="1:10" ht="14.95" thickBot="1" x14ac:dyDescent="0.3">
      <c r="A105" s="62" t="s">
        <v>658</v>
      </c>
      <c r="B105" s="279">
        <v>0</v>
      </c>
      <c r="C105" s="98">
        <v>0</v>
      </c>
      <c r="D105" s="217">
        <v>0</v>
      </c>
      <c r="E105" s="59">
        <f t="shared" si="6"/>
        <v>0</v>
      </c>
      <c r="F105" s="132" t="s">
        <v>658</v>
      </c>
      <c r="G105" s="281">
        <v>0</v>
      </c>
      <c r="H105" s="149">
        <v>0</v>
      </c>
      <c r="I105" s="1">
        <v>0</v>
      </c>
      <c r="J105" s="29">
        <f t="shared" si="7"/>
        <v>0</v>
      </c>
    </row>
    <row r="106" spans="1:10" ht="14.95" thickBot="1" x14ac:dyDescent="0.3">
      <c r="A106" s="62" t="s">
        <v>71</v>
      </c>
      <c r="B106" s="279">
        <v>0</v>
      </c>
      <c r="C106" s="98">
        <v>0</v>
      </c>
      <c r="D106" s="217">
        <v>0</v>
      </c>
      <c r="E106" s="59">
        <f t="shared" si="6"/>
        <v>0</v>
      </c>
      <c r="F106" s="132" t="s">
        <v>71</v>
      </c>
      <c r="G106" s="281">
        <v>0</v>
      </c>
      <c r="H106" s="149">
        <v>0</v>
      </c>
      <c r="I106" s="1">
        <v>0</v>
      </c>
      <c r="J106" s="29">
        <f t="shared" si="7"/>
        <v>0</v>
      </c>
    </row>
    <row r="107" spans="1:10" ht="16.3" customHeight="1" thickBot="1" x14ac:dyDescent="0.3">
      <c r="A107" s="62" t="s">
        <v>3</v>
      </c>
      <c r="B107" s="279">
        <f>SUM(B57:B106)</f>
        <v>17</v>
      </c>
      <c r="C107" s="98">
        <f>SUM(C57:C106)</f>
        <v>0</v>
      </c>
      <c r="D107" s="217">
        <f>SUM(D57:D106)</f>
        <v>0</v>
      </c>
      <c r="E107" s="59">
        <f t="shared" ref="E107" si="8">SUM(B107:D107)</f>
        <v>17</v>
      </c>
      <c r="F107" s="133" t="s">
        <v>3</v>
      </c>
      <c r="G107" s="280">
        <f>SUM(G57:G106)</f>
        <v>117</v>
      </c>
      <c r="H107" s="148">
        <f>SUM(H57:H106)</f>
        <v>0</v>
      </c>
      <c r="I107" s="381">
        <f>SUM(I57:I106)</f>
        <v>0</v>
      </c>
      <c r="J107" s="118">
        <f t="shared" ref="J107" si="9">SUM(G107:I107)</f>
        <v>117</v>
      </c>
    </row>
    <row r="108" spans="1:10" ht="16.3" x14ac:dyDescent="0.3">
      <c r="A108" s="524" t="s">
        <v>10</v>
      </c>
      <c r="B108" s="524"/>
      <c r="C108" s="524"/>
      <c r="D108" s="525"/>
    </row>
  </sheetData>
  <sortState xmlns:xlrd2="http://schemas.microsoft.com/office/spreadsheetml/2017/richdata2" ref="F57:J106">
    <sortCondition descending="1" ref="J57:J106"/>
  </sortState>
  <mergeCells count="23">
    <mergeCell ref="A1:J1"/>
    <mergeCell ref="R1:R2"/>
    <mergeCell ref="K1:K2"/>
    <mergeCell ref="O1:Q2"/>
    <mergeCell ref="K13:K14"/>
    <mergeCell ref="AD1:AF2"/>
    <mergeCell ref="O13:Q14"/>
    <mergeCell ref="V1:X2"/>
    <mergeCell ref="U13:W14"/>
    <mergeCell ref="L13:N14"/>
    <mergeCell ref="L1:N2"/>
    <mergeCell ref="S1:U2"/>
    <mergeCell ref="R13:T14"/>
    <mergeCell ref="AA1:AC2"/>
    <mergeCell ref="AA13:AC14"/>
    <mergeCell ref="A108:D108"/>
    <mergeCell ref="R34:T35"/>
    <mergeCell ref="O34:Q35"/>
    <mergeCell ref="K25:K26"/>
    <mergeCell ref="L25:N26"/>
    <mergeCell ref="K34:K35"/>
    <mergeCell ref="L34:N35"/>
    <mergeCell ref="O25:Q26"/>
  </mergeCells>
  <pageMargins left="0.7" right="0.7" top="0.75" bottom="0.75" header="0.3" footer="0.3"/>
  <pageSetup paperSize="9" orientation="portrait" r:id="rId1"/>
  <ignoredErrors>
    <ignoredError sqref="E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1EB6-180F-4222-8C94-B16A91BDFD4A}">
  <dimension ref="A1:AF44"/>
  <sheetViews>
    <sheetView workbookViewId="0">
      <selection activeCell="Y21" sqref="Y21"/>
    </sheetView>
  </sheetViews>
  <sheetFormatPr defaultRowHeight="14.3" x14ac:dyDescent="0.25"/>
  <cols>
    <col min="1" max="1" width="16.5" customWidth="1"/>
    <col min="2" max="3" width="4.5" customWidth="1"/>
    <col min="4" max="4" width="4.875" customWidth="1"/>
    <col min="5" max="5" width="4.5" customWidth="1"/>
    <col min="6" max="6" width="16.5" customWidth="1"/>
    <col min="7" max="8" width="4.5" customWidth="1"/>
    <col min="9" max="9" width="4.875" customWidth="1"/>
    <col min="10" max="10" width="4.5" customWidth="1"/>
    <col min="11" max="11" width="16.5" customWidth="1"/>
    <col min="12" max="18" width="5.75" customWidth="1"/>
    <col min="19" max="21" width="5.5" customWidth="1"/>
    <col min="22" max="24" width="5.625" customWidth="1"/>
    <col min="27" max="32" width="5.625" customWidth="1"/>
  </cols>
  <sheetData>
    <row r="1" spans="1:32" ht="14.95" customHeight="1" thickBot="1" x14ac:dyDescent="0.3">
      <c r="A1" s="567" t="s">
        <v>992</v>
      </c>
      <c r="B1" s="568"/>
      <c r="C1" s="568"/>
      <c r="D1" s="568"/>
      <c r="E1" s="568"/>
      <c r="F1" s="568"/>
      <c r="G1" s="568"/>
      <c r="H1" s="568"/>
      <c r="I1" s="568"/>
      <c r="J1" s="569"/>
      <c r="K1" s="561" t="s">
        <v>15</v>
      </c>
      <c r="L1" s="502">
        <v>2026</v>
      </c>
      <c r="M1" s="503"/>
      <c r="N1" s="504"/>
      <c r="O1" s="502" t="s">
        <v>12</v>
      </c>
      <c r="P1" s="503"/>
      <c r="Q1" s="504"/>
      <c r="R1" s="522" t="s">
        <v>16</v>
      </c>
      <c r="S1" s="510">
        <v>2025</v>
      </c>
      <c r="T1" s="511"/>
      <c r="U1" s="512"/>
      <c r="V1" s="510">
        <v>2024</v>
      </c>
      <c r="W1" s="511"/>
      <c r="X1" s="512"/>
      <c r="AA1" s="510">
        <v>2023</v>
      </c>
      <c r="AB1" s="511"/>
      <c r="AC1" s="512"/>
      <c r="AD1" s="510">
        <v>2022</v>
      </c>
      <c r="AE1" s="511"/>
      <c r="AF1" s="512"/>
    </row>
    <row r="2" spans="1:32" ht="14.95" customHeight="1" thickBot="1" x14ac:dyDescent="0.3">
      <c r="A2" s="115" t="s">
        <v>0</v>
      </c>
      <c r="B2" s="68" t="s">
        <v>11</v>
      </c>
      <c r="C2" s="155" t="s">
        <v>243</v>
      </c>
      <c r="D2" s="97" t="s">
        <v>500</v>
      </c>
      <c r="E2" s="68" t="s">
        <v>1</v>
      </c>
      <c r="F2" s="75" t="s">
        <v>2</v>
      </c>
      <c r="G2" s="103" t="s">
        <v>11</v>
      </c>
      <c r="H2" s="78" t="s">
        <v>243</v>
      </c>
      <c r="I2" s="103" t="s">
        <v>500</v>
      </c>
      <c r="J2" s="46" t="s">
        <v>1</v>
      </c>
      <c r="K2" s="562"/>
      <c r="L2" s="505"/>
      <c r="M2" s="506"/>
      <c r="N2" s="507"/>
      <c r="O2" s="505"/>
      <c r="P2" s="506"/>
      <c r="Q2" s="507"/>
      <c r="R2" s="523"/>
      <c r="S2" s="513"/>
      <c r="T2" s="514"/>
      <c r="U2" s="515"/>
      <c r="V2" s="513"/>
      <c r="W2" s="514"/>
      <c r="X2" s="515"/>
      <c r="AA2" s="513"/>
      <c r="AB2" s="514"/>
      <c r="AC2" s="515"/>
      <c r="AD2" s="513"/>
      <c r="AE2" s="514"/>
      <c r="AF2" s="515"/>
    </row>
    <row r="3" spans="1:32" ht="14.95" customHeight="1" thickBot="1" x14ac:dyDescent="0.3">
      <c r="A3" s="116" t="s">
        <v>797</v>
      </c>
      <c r="B3" s="59">
        <v>0</v>
      </c>
      <c r="C3" s="156">
        <v>0</v>
      </c>
      <c r="D3" s="98">
        <v>0</v>
      </c>
      <c r="E3" s="59">
        <f>SUM(B3:D3)</f>
        <v>0</v>
      </c>
      <c r="F3" s="18" t="s">
        <v>797</v>
      </c>
      <c r="G3" s="104">
        <v>0</v>
      </c>
      <c r="H3" s="67">
        <v>0</v>
      </c>
      <c r="I3" s="104">
        <v>0</v>
      </c>
      <c r="J3" s="19">
        <f t="shared" ref="J3:J40" si="0">SUM(G3:I3)</f>
        <v>0</v>
      </c>
      <c r="K3" s="4"/>
      <c r="L3" s="29" t="s">
        <v>17</v>
      </c>
      <c r="M3" s="29" t="s">
        <v>5</v>
      </c>
      <c r="N3" s="29" t="s">
        <v>6</v>
      </c>
      <c r="O3" s="71" t="s">
        <v>17</v>
      </c>
      <c r="P3" s="29" t="s">
        <v>5</v>
      </c>
      <c r="Q3" s="29" t="s">
        <v>6</v>
      </c>
      <c r="R3" s="1"/>
      <c r="S3" s="59" t="s">
        <v>17</v>
      </c>
      <c r="T3" s="59" t="s">
        <v>5</v>
      </c>
      <c r="U3" s="59" t="s">
        <v>6</v>
      </c>
      <c r="V3" s="59" t="s">
        <v>17</v>
      </c>
      <c r="W3" s="59" t="s">
        <v>5</v>
      </c>
      <c r="X3" s="59" t="s">
        <v>6</v>
      </c>
      <c r="AA3" s="260" t="s">
        <v>17</v>
      </c>
      <c r="AB3" s="59" t="s">
        <v>5</v>
      </c>
      <c r="AC3" s="59" t="s">
        <v>6</v>
      </c>
      <c r="AD3" s="260" t="s">
        <v>17</v>
      </c>
      <c r="AE3" s="59" t="s">
        <v>5</v>
      </c>
      <c r="AF3" s="59" t="s">
        <v>6</v>
      </c>
    </row>
    <row r="4" spans="1:32" ht="14.95" customHeight="1" thickBot="1" x14ac:dyDescent="0.3">
      <c r="A4" s="116" t="s">
        <v>214</v>
      </c>
      <c r="B4" s="59">
        <v>0</v>
      </c>
      <c r="C4" s="156">
        <v>0</v>
      </c>
      <c r="D4" s="98">
        <v>0</v>
      </c>
      <c r="E4" s="59">
        <f t="shared" ref="E4:E40" si="1">SUM(B4:D4)</f>
        <v>0</v>
      </c>
      <c r="F4" s="18" t="s">
        <v>214</v>
      </c>
      <c r="G4" s="104">
        <v>0</v>
      </c>
      <c r="H4" s="67">
        <v>0</v>
      </c>
      <c r="I4" s="104">
        <v>0</v>
      </c>
      <c r="J4" s="19">
        <f t="shared" si="0"/>
        <v>0</v>
      </c>
      <c r="K4" s="116" t="s">
        <v>852</v>
      </c>
      <c r="L4" s="29" t="s">
        <v>8</v>
      </c>
      <c r="M4" s="29" t="s">
        <v>8</v>
      </c>
      <c r="N4" s="29" t="s">
        <v>8</v>
      </c>
      <c r="O4" s="59" t="s">
        <v>8</v>
      </c>
      <c r="P4" s="59" t="s">
        <v>8</v>
      </c>
      <c r="Q4" s="59" t="s">
        <v>8</v>
      </c>
      <c r="R4" s="59">
        <v>-1</v>
      </c>
      <c r="S4" s="59">
        <v>1</v>
      </c>
      <c r="T4" s="59">
        <v>5</v>
      </c>
      <c r="U4" s="59">
        <v>20</v>
      </c>
      <c r="V4" s="59" t="s">
        <v>8</v>
      </c>
      <c r="W4" s="59" t="s">
        <v>8</v>
      </c>
      <c r="X4" s="59" t="s">
        <v>8</v>
      </c>
      <c r="AA4" s="260" t="s">
        <v>8</v>
      </c>
      <c r="AB4" s="59" t="s">
        <v>8</v>
      </c>
      <c r="AC4" s="59" t="s">
        <v>8</v>
      </c>
      <c r="AD4" s="260" t="s">
        <v>8</v>
      </c>
      <c r="AE4" s="59" t="s">
        <v>8</v>
      </c>
      <c r="AF4" s="59" t="s">
        <v>8</v>
      </c>
    </row>
    <row r="5" spans="1:32" ht="14.95" customHeight="1" thickBot="1" x14ac:dyDescent="0.3">
      <c r="A5" s="116" t="s">
        <v>380</v>
      </c>
      <c r="B5" s="59">
        <v>0</v>
      </c>
      <c r="C5" s="156">
        <v>0</v>
      </c>
      <c r="D5" s="98">
        <v>0</v>
      </c>
      <c r="E5" s="59">
        <f t="shared" si="1"/>
        <v>0</v>
      </c>
      <c r="F5" s="18" t="s">
        <v>380</v>
      </c>
      <c r="G5" s="104">
        <v>0</v>
      </c>
      <c r="H5" s="67">
        <v>0</v>
      </c>
      <c r="I5" s="104">
        <v>0</v>
      </c>
      <c r="J5" s="19">
        <f t="shared" si="0"/>
        <v>0</v>
      </c>
      <c r="K5" s="116" t="s">
        <v>256</v>
      </c>
      <c r="L5" s="29" t="s">
        <v>8</v>
      </c>
      <c r="M5" s="29" t="s">
        <v>8</v>
      </c>
      <c r="N5" s="29" t="s">
        <v>8</v>
      </c>
      <c r="O5" s="59" t="s">
        <v>8</v>
      </c>
      <c r="P5" s="59" t="s">
        <v>8</v>
      </c>
      <c r="Q5" s="59" t="s">
        <v>8</v>
      </c>
      <c r="R5" s="59">
        <v>-1</v>
      </c>
      <c r="S5" s="59" t="s">
        <v>8</v>
      </c>
      <c r="T5" s="59" t="s">
        <v>8</v>
      </c>
      <c r="U5" s="59" t="s">
        <v>8</v>
      </c>
      <c r="V5" s="59">
        <v>0</v>
      </c>
      <c r="W5" s="59">
        <v>1</v>
      </c>
      <c r="X5" s="59">
        <f>SUM(V5/W5)*100</f>
        <v>0</v>
      </c>
      <c r="AA5" s="260" t="s">
        <v>8</v>
      </c>
      <c r="AB5" s="59" t="s">
        <v>8</v>
      </c>
      <c r="AC5" s="59" t="s">
        <v>8</v>
      </c>
      <c r="AD5" s="260" t="s">
        <v>8</v>
      </c>
      <c r="AE5" s="59" t="s">
        <v>8</v>
      </c>
      <c r="AF5" s="59" t="s">
        <v>8</v>
      </c>
    </row>
    <row r="6" spans="1:32" ht="14.95" customHeight="1" thickBot="1" x14ac:dyDescent="0.3">
      <c r="A6" s="116" t="s">
        <v>642</v>
      </c>
      <c r="B6" s="59">
        <v>0</v>
      </c>
      <c r="C6" s="156">
        <v>0</v>
      </c>
      <c r="D6" s="98">
        <v>0</v>
      </c>
      <c r="E6" s="59">
        <f t="shared" si="1"/>
        <v>0</v>
      </c>
      <c r="F6" s="17" t="s">
        <v>642</v>
      </c>
      <c r="G6" s="104">
        <v>0</v>
      </c>
      <c r="H6" s="67">
        <v>0</v>
      </c>
      <c r="I6" s="104">
        <v>0</v>
      </c>
      <c r="J6" s="19">
        <f t="shared" si="0"/>
        <v>0</v>
      </c>
      <c r="K6" s="116" t="s">
        <v>215</v>
      </c>
      <c r="L6" s="29" t="s">
        <v>8</v>
      </c>
      <c r="M6" s="29" t="s">
        <v>8</v>
      </c>
      <c r="N6" s="29" t="s">
        <v>8</v>
      </c>
      <c r="O6" s="59" t="s">
        <v>8</v>
      </c>
      <c r="P6" s="59" t="s">
        <v>8</v>
      </c>
      <c r="Q6" s="59" t="s">
        <v>8</v>
      </c>
      <c r="R6" s="59" t="s">
        <v>346</v>
      </c>
      <c r="S6" s="59" t="s">
        <v>8</v>
      </c>
      <c r="T6" s="59" t="s">
        <v>8</v>
      </c>
      <c r="U6" s="59" t="s">
        <v>8</v>
      </c>
      <c r="V6" s="59" t="s">
        <v>8</v>
      </c>
      <c r="W6" s="59" t="s">
        <v>8</v>
      </c>
      <c r="X6" s="59" t="s">
        <v>8</v>
      </c>
      <c r="AA6" s="260" t="s">
        <v>8</v>
      </c>
      <c r="AB6" s="59" t="s">
        <v>8</v>
      </c>
      <c r="AC6" s="59" t="s">
        <v>8</v>
      </c>
      <c r="AD6" s="260">
        <v>14</v>
      </c>
      <c r="AE6" s="59" t="s">
        <v>346</v>
      </c>
      <c r="AF6" s="59" t="s">
        <v>346</v>
      </c>
    </row>
    <row r="7" spans="1:32" ht="14.95" customHeight="1" thickBot="1" x14ac:dyDescent="0.3">
      <c r="A7" s="116" t="s">
        <v>432</v>
      </c>
      <c r="B7" s="59">
        <v>0</v>
      </c>
      <c r="C7" s="156">
        <v>0</v>
      </c>
      <c r="D7" s="98">
        <v>0</v>
      </c>
      <c r="E7" s="59">
        <f t="shared" si="1"/>
        <v>0</v>
      </c>
      <c r="F7" s="17" t="s">
        <v>432</v>
      </c>
      <c r="G7" s="104">
        <v>0</v>
      </c>
      <c r="H7" s="67">
        <v>0</v>
      </c>
      <c r="I7" s="104">
        <v>0</v>
      </c>
      <c r="J7" s="19">
        <f t="shared" si="0"/>
        <v>0</v>
      </c>
      <c r="K7" s="116" t="s">
        <v>245</v>
      </c>
      <c r="L7" s="29" t="s">
        <v>8</v>
      </c>
      <c r="M7" s="29" t="s">
        <v>8</v>
      </c>
      <c r="N7" s="29" t="s">
        <v>8</v>
      </c>
      <c r="O7" s="59" t="s">
        <v>8</v>
      </c>
      <c r="P7" s="59" t="s">
        <v>8</v>
      </c>
      <c r="Q7" s="59" t="s">
        <v>8</v>
      </c>
      <c r="R7" s="59" t="s">
        <v>346</v>
      </c>
      <c r="S7" s="59" t="s">
        <v>8</v>
      </c>
      <c r="T7" s="59" t="s">
        <v>8</v>
      </c>
      <c r="U7" s="59" t="s">
        <v>8</v>
      </c>
      <c r="V7" s="59" t="s">
        <v>8</v>
      </c>
      <c r="W7" s="59" t="s">
        <v>8</v>
      </c>
      <c r="X7" s="59" t="s">
        <v>8</v>
      </c>
      <c r="AA7" s="260" t="s">
        <v>8</v>
      </c>
      <c r="AB7" s="59" t="s">
        <v>8</v>
      </c>
      <c r="AC7" s="59" t="s">
        <v>8</v>
      </c>
      <c r="AD7" s="260">
        <v>1</v>
      </c>
      <c r="AE7" s="59" t="s">
        <v>346</v>
      </c>
      <c r="AF7" s="59" t="s">
        <v>346</v>
      </c>
    </row>
    <row r="8" spans="1:32" ht="14.95" customHeight="1" thickBot="1" x14ac:dyDescent="0.3">
      <c r="A8" s="116" t="s">
        <v>767</v>
      </c>
      <c r="B8" s="59">
        <v>0</v>
      </c>
      <c r="C8" s="156">
        <v>0</v>
      </c>
      <c r="D8" s="98">
        <v>0</v>
      </c>
      <c r="E8" s="59">
        <f t="shared" si="1"/>
        <v>0</v>
      </c>
      <c r="F8" s="17" t="s">
        <v>767</v>
      </c>
      <c r="G8" s="104">
        <v>0</v>
      </c>
      <c r="H8" s="67">
        <v>0</v>
      </c>
      <c r="I8" s="104">
        <v>0</v>
      </c>
      <c r="J8" s="19">
        <f t="shared" si="0"/>
        <v>0</v>
      </c>
      <c r="K8" s="116" t="s">
        <v>931</v>
      </c>
      <c r="L8" s="29" t="s">
        <v>8</v>
      </c>
      <c r="M8" s="29" t="s">
        <v>8</v>
      </c>
      <c r="N8" s="29" t="s">
        <v>8</v>
      </c>
      <c r="O8" s="59" t="s">
        <v>8</v>
      </c>
      <c r="P8" s="59" t="s">
        <v>8</v>
      </c>
      <c r="Q8" s="59" t="s">
        <v>8</v>
      </c>
      <c r="R8" s="59">
        <v>-1</v>
      </c>
      <c r="S8" s="59">
        <v>0</v>
      </c>
      <c r="T8" s="59">
        <v>1</v>
      </c>
      <c r="U8" s="59">
        <v>0</v>
      </c>
      <c r="V8" s="59" t="s">
        <v>8</v>
      </c>
      <c r="W8" s="59" t="s">
        <v>8</v>
      </c>
      <c r="X8" s="59" t="s">
        <v>8</v>
      </c>
      <c r="AA8" s="260" t="s">
        <v>8</v>
      </c>
      <c r="AB8" s="59" t="s">
        <v>8</v>
      </c>
      <c r="AC8" s="59" t="s">
        <v>8</v>
      </c>
      <c r="AD8" s="185" t="s">
        <v>8</v>
      </c>
      <c r="AE8" s="59" t="s">
        <v>8</v>
      </c>
      <c r="AF8" s="59" t="s">
        <v>8</v>
      </c>
    </row>
    <row r="9" spans="1:32" ht="14.95" customHeight="1" thickBot="1" x14ac:dyDescent="0.3">
      <c r="A9" s="116" t="s">
        <v>852</v>
      </c>
      <c r="B9" s="59">
        <v>0</v>
      </c>
      <c r="C9" s="156">
        <v>0</v>
      </c>
      <c r="D9" s="98">
        <v>0</v>
      </c>
      <c r="E9" s="59">
        <f t="shared" si="1"/>
        <v>0</v>
      </c>
      <c r="F9" s="17" t="s">
        <v>852</v>
      </c>
      <c r="G9" s="104">
        <v>0</v>
      </c>
      <c r="H9" s="67">
        <v>0</v>
      </c>
      <c r="I9" s="104">
        <v>0</v>
      </c>
      <c r="J9" s="19">
        <f t="shared" si="0"/>
        <v>0</v>
      </c>
      <c r="K9" s="116" t="s">
        <v>429</v>
      </c>
      <c r="L9" s="29" t="s">
        <v>8</v>
      </c>
      <c r="M9" s="29" t="s">
        <v>8</v>
      </c>
      <c r="N9" s="29" t="s">
        <v>8</v>
      </c>
      <c r="O9" s="59" t="s">
        <v>8</v>
      </c>
      <c r="P9" s="59" t="s">
        <v>8</v>
      </c>
      <c r="Q9" s="59" t="s">
        <v>8</v>
      </c>
      <c r="R9" s="59">
        <v>-1</v>
      </c>
      <c r="S9" s="59" t="s">
        <v>8</v>
      </c>
      <c r="T9" s="59" t="s">
        <v>8</v>
      </c>
      <c r="U9" s="59" t="s">
        <v>8</v>
      </c>
      <c r="V9" s="59" t="s">
        <v>8</v>
      </c>
      <c r="W9" s="59" t="s">
        <v>8</v>
      </c>
      <c r="X9" s="59" t="s">
        <v>8</v>
      </c>
      <c r="AA9" s="260">
        <v>0</v>
      </c>
      <c r="AB9" s="59">
        <v>1</v>
      </c>
      <c r="AC9" s="59">
        <v>0</v>
      </c>
      <c r="AD9" s="260" t="s">
        <v>8</v>
      </c>
      <c r="AE9" s="59" t="s">
        <v>8</v>
      </c>
      <c r="AF9" s="117" t="s">
        <v>8</v>
      </c>
    </row>
    <row r="10" spans="1:32" ht="14.95" customHeight="1" thickBot="1" x14ac:dyDescent="0.3">
      <c r="A10" s="116" t="s">
        <v>798</v>
      </c>
      <c r="B10" s="59">
        <v>0</v>
      </c>
      <c r="C10" s="156">
        <v>0</v>
      </c>
      <c r="D10" s="98">
        <v>0</v>
      </c>
      <c r="E10" s="59">
        <f t="shared" si="1"/>
        <v>0</v>
      </c>
      <c r="F10" s="17" t="s">
        <v>798</v>
      </c>
      <c r="G10" s="104">
        <v>0</v>
      </c>
      <c r="H10" s="67">
        <v>0</v>
      </c>
      <c r="I10" s="104">
        <v>0</v>
      </c>
      <c r="J10" s="19">
        <f t="shared" si="0"/>
        <v>0</v>
      </c>
      <c r="K10" s="116" t="s">
        <v>246</v>
      </c>
      <c r="L10" s="29" t="s">
        <v>8</v>
      </c>
      <c r="M10" s="29" t="s">
        <v>8</v>
      </c>
      <c r="N10" s="29" t="s">
        <v>8</v>
      </c>
      <c r="O10" s="59" t="s">
        <v>8</v>
      </c>
      <c r="P10" s="59" t="s">
        <v>8</v>
      </c>
      <c r="Q10" s="59" t="s">
        <v>8</v>
      </c>
      <c r="R10" s="181">
        <v>2</v>
      </c>
      <c r="S10" s="59" t="s">
        <v>8</v>
      </c>
      <c r="T10" s="59" t="s">
        <v>8</v>
      </c>
      <c r="U10" s="59" t="s">
        <v>8</v>
      </c>
      <c r="V10" s="59" t="s">
        <v>8</v>
      </c>
      <c r="W10" s="59" t="s">
        <v>8</v>
      </c>
      <c r="X10" s="59" t="s">
        <v>8</v>
      </c>
      <c r="AA10" s="260" t="s">
        <v>8</v>
      </c>
      <c r="AB10" s="59" t="s">
        <v>8</v>
      </c>
      <c r="AC10" s="59" t="s">
        <v>8</v>
      </c>
      <c r="AD10" s="260">
        <v>4</v>
      </c>
      <c r="AE10" s="59" t="s">
        <v>346</v>
      </c>
      <c r="AF10" s="59" t="s">
        <v>346</v>
      </c>
    </row>
    <row r="11" spans="1:32" ht="14.95" customHeight="1" thickBot="1" x14ac:dyDescent="0.3">
      <c r="A11" s="116" t="s">
        <v>630</v>
      </c>
      <c r="B11" s="59">
        <v>0</v>
      </c>
      <c r="C11" s="156">
        <v>0</v>
      </c>
      <c r="D11" s="98">
        <v>0</v>
      </c>
      <c r="E11" s="59">
        <f t="shared" si="1"/>
        <v>0</v>
      </c>
      <c r="F11" s="17" t="s">
        <v>630</v>
      </c>
      <c r="G11" s="104">
        <v>0</v>
      </c>
      <c r="H11" s="67">
        <v>0</v>
      </c>
      <c r="I11" s="104">
        <v>0</v>
      </c>
      <c r="J11" s="19">
        <f t="shared" si="0"/>
        <v>0</v>
      </c>
      <c r="K11" s="116" t="s">
        <v>433</v>
      </c>
      <c r="L11" s="29" t="s">
        <v>8</v>
      </c>
      <c r="M11" s="29" t="s">
        <v>8</v>
      </c>
      <c r="N11" s="212" t="s">
        <v>8</v>
      </c>
      <c r="O11" s="59" t="s">
        <v>8</v>
      </c>
      <c r="P11" s="59" t="s">
        <v>8</v>
      </c>
      <c r="Q11" s="59" t="s">
        <v>8</v>
      </c>
      <c r="R11" s="206">
        <v>-1</v>
      </c>
      <c r="S11" s="59">
        <v>2</v>
      </c>
      <c r="T11" s="59">
        <v>4</v>
      </c>
      <c r="U11" s="117">
        <v>50</v>
      </c>
      <c r="V11" s="59">
        <v>30</v>
      </c>
      <c r="W11" s="59">
        <v>47</v>
      </c>
      <c r="X11" s="117">
        <f>SUM(V11/W11)*100</f>
        <v>63.829787234042556</v>
      </c>
      <c r="AA11" s="260">
        <v>13</v>
      </c>
      <c r="AB11" s="59">
        <v>25</v>
      </c>
      <c r="AC11" s="117">
        <f>SUM(AA11/AB11)*100</f>
        <v>52</v>
      </c>
      <c r="AD11" s="260" t="s">
        <v>8</v>
      </c>
      <c r="AE11" s="59" t="s">
        <v>8</v>
      </c>
      <c r="AF11" s="117" t="s">
        <v>8</v>
      </c>
    </row>
    <row r="12" spans="1:32" ht="14.95" customHeight="1" thickBot="1" x14ac:dyDescent="0.3">
      <c r="A12" s="116" t="s">
        <v>244</v>
      </c>
      <c r="B12" s="59">
        <v>0</v>
      </c>
      <c r="C12" s="156">
        <v>0</v>
      </c>
      <c r="D12" s="98">
        <v>0</v>
      </c>
      <c r="E12" s="59">
        <f t="shared" si="1"/>
        <v>0</v>
      </c>
      <c r="F12" s="17" t="s">
        <v>244</v>
      </c>
      <c r="G12" s="104">
        <v>0</v>
      </c>
      <c r="H12" s="67">
        <v>0</v>
      </c>
      <c r="I12" s="104">
        <v>0</v>
      </c>
      <c r="J12" s="19">
        <f t="shared" si="0"/>
        <v>0</v>
      </c>
      <c r="K12" s="116" t="s">
        <v>799</v>
      </c>
      <c r="L12" s="29" t="s">
        <v>8</v>
      </c>
      <c r="M12" s="29" t="s">
        <v>8</v>
      </c>
      <c r="N12" s="212" t="s">
        <v>8</v>
      </c>
      <c r="O12" s="59">
        <v>2</v>
      </c>
      <c r="P12" s="59">
        <v>3</v>
      </c>
      <c r="Q12" s="117">
        <f>SUM(O12/P12)*100</f>
        <v>66.666666666666657</v>
      </c>
      <c r="R12" s="59">
        <v>-1</v>
      </c>
      <c r="S12" s="59">
        <v>11</v>
      </c>
      <c r="T12" s="59">
        <v>18</v>
      </c>
      <c r="U12" s="59">
        <v>61.111111111111114</v>
      </c>
      <c r="V12" s="59" t="s">
        <v>8</v>
      </c>
      <c r="W12" s="59" t="s">
        <v>8</v>
      </c>
      <c r="X12" s="59" t="s">
        <v>8</v>
      </c>
      <c r="AA12" s="260" t="s">
        <v>8</v>
      </c>
      <c r="AB12" s="59" t="s">
        <v>8</v>
      </c>
      <c r="AC12" s="59" t="s">
        <v>8</v>
      </c>
      <c r="AD12" s="185" t="s">
        <v>8</v>
      </c>
      <c r="AE12" s="59" t="s">
        <v>8</v>
      </c>
      <c r="AF12" s="59" t="s">
        <v>8</v>
      </c>
    </row>
    <row r="13" spans="1:32" ht="14.95" customHeight="1" thickBot="1" x14ac:dyDescent="0.3">
      <c r="A13" s="116" t="s">
        <v>255</v>
      </c>
      <c r="B13" s="59">
        <v>0</v>
      </c>
      <c r="C13" s="156">
        <v>0</v>
      </c>
      <c r="D13" s="98">
        <v>0</v>
      </c>
      <c r="E13" s="59">
        <f t="shared" si="1"/>
        <v>0</v>
      </c>
      <c r="F13" s="17" t="s">
        <v>255</v>
      </c>
      <c r="G13" s="104">
        <v>0</v>
      </c>
      <c r="H13" s="67">
        <v>0</v>
      </c>
      <c r="I13" s="104">
        <v>0</v>
      </c>
      <c r="J13" s="19">
        <f t="shared" si="0"/>
        <v>0</v>
      </c>
      <c r="K13" s="26"/>
      <c r="L13" s="20"/>
      <c r="M13" s="20"/>
      <c r="N13" s="20"/>
      <c r="O13" s="96"/>
      <c r="P13" s="96"/>
      <c r="Q13" s="96"/>
    </row>
    <row r="14" spans="1:32" ht="14.95" customHeight="1" thickBot="1" x14ac:dyDescent="0.3">
      <c r="A14" s="116" t="s">
        <v>638</v>
      </c>
      <c r="B14" s="59">
        <v>0</v>
      </c>
      <c r="C14" s="156">
        <v>0</v>
      </c>
      <c r="D14" s="98">
        <v>0</v>
      </c>
      <c r="E14" s="59">
        <f t="shared" si="1"/>
        <v>0</v>
      </c>
      <c r="F14" s="17" t="s">
        <v>638</v>
      </c>
      <c r="G14" s="104">
        <v>0</v>
      </c>
      <c r="H14" s="67">
        <v>0</v>
      </c>
      <c r="I14" s="104">
        <v>0</v>
      </c>
      <c r="J14" s="19">
        <f t="shared" si="0"/>
        <v>0</v>
      </c>
      <c r="K14" s="570" t="s">
        <v>434</v>
      </c>
      <c r="L14" s="510">
        <v>2025</v>
      </c>
      <c r="M14" s="511"/>
      <c r="N14" s="512"/>
      <c r="O14" s="516">
        <v>2024</v>
      </c>
      <c r="P14" s="517"/>
      <c r="Q14" s="518"/>
      <c r="R14" s="510">
        <v>2023</v>
      </c>
      <c r="S14" s="511"/>
      <c r="T14" s="512"/>
    </row>
    <row r="15" spans="1:32" ht="14.95" customHeight="1" thickBot="1" x14ac:dyDescent="0.3">
      <c r="A15" s="116" t="s">
        <v>254</v>
      </c>
      <c r="B15" s="59">
        <v>0</v>
      </c>
      <c r="C15" s="156">
        <v>0</v>
      </c>
      <c r="D15" s="98">
        <v>0</v>
      </c>
      <c r="E15" s="59">
        <f t="shared" si="1"/>
        <v>0</v>
      </c>
      <c r="F15" s="17" t="s">
        <v>254</v>
      </c>
      <c r="G15" s="104">
        <v>0</v>
      </c>
      <c r="H15" s="67">
        <v>0</v>
      </c>
      <c r="I15" s="104">
        <v>0</v>
      </c>
      <c r="J15" s="19">
        <f t="shared" si="0"/>
        <v>0</v>
      </c>
      <c r="K15" s="571"/>
      <c r="L15" s="513"/>
      <c r="M15" s="514"/>
      <c r="N15" s="515"/>
      <c r="O15" s="519"/>
      <c r="P15" s="520"/>
      <c r="Q15" s="521"/>
      <c r="R15" s="513"/>
      <c r="S15" s="514"/>
      <c r="T15" s="515"/>
    </row>
    <row r="16" spans="1:32" ht="14.95" customHeight="1" thickBot="1" x14ac:dyDescent="0.3">
      <c r="A16" s="116" t="s">
        <v>221</v>
      </c>
      <c r="B16" s="59">
        <v>0</v>
      </c>
      <c r="C16" s="156">
        <v>0</v>
      </c>
      <c r="D16" s="98">
        <v>0</v>
      </c>
      <c r="E16" s="59">
        <f t="shared" si="1"/>
        <v>0</v>
      </c>
      <c r="F16" s="17" t="s">
        <v>221</v>
      </c>
      <c r="G16" s="104">
        <v>0</v>
      </c>
      <c r="H16" s="67">
        <v>0</v>
      </c>
      <c r="I16" s="104">
        <v>0</v>
      </c>
      <c r="J16" s="19">
        <f t="shared" si="0"/>
        <v>0</v>
      </c>
      <c r="K16" s="351"/>
      <c r="L16" s="59" t="s">
        <v>17</v>
      </c>
      <c r="M16" s="59" t="s">
        <v>5</v>
      </c>
      <c r="N16" s="59" t="s">
        <v>6</v>
      </c>
      <c r="O16" s="59" t="s">
        <v>17</v>
      </c>
      <c r="P16" s="59" t="s">
        <v>5</v>
      </c>
      <c r="Q16" s="59" t="s">
        <v>6</v>
      </c>
      <c r="R16" s="59" t="s">
        <v>17</v>
      </c>
      <c r="S16" s="59" t="s">
        <v>5</v>
      </c>
      <c r="T16" s="59" t="s">
        <v>6</v>
      </c>
    </row>
    <row r="17" spans="1:20" ht="14.95" customHeight="1" thickBot="1" x14ac:dyDescent="0.3">
      <c r="A17" s="116" t="s">
        <v>634</v>
      </c>
      <c r="B17" s="59">
        <v>0</v>
      </c>
      <c r="C17" s="156">
        <v>0</v>
      </c>
      <c r="D17" s="98">
        <v>0</v>
      </c>
      <c r="E17" s="59">
        <f t="shared" si="1"/>
        <v>0</v>
      </c>
      <c r="F17" s="17" t="s">
        <v>634</v>
      </c>
      <c r="G17" s="104">
        <v>0</v>
      </c>
      <c r="H17" s="67">
        <v>0</v>
      </c>
      <c r="I17" s="104">
        <v>0</v>
      </c>
      <c r="J17" s="19">
        <f t="shared" si="0"/>
        <v>0</v>
      </c>
      <c r="K17" s="116" t="s">
        <v>852</v>
      </c>
      <c r="L17" s="59">
        <v>1</v>
      </c>
      <c r="M17" s="59">
        <v>4</v>
      </c>
      <c r="N17" s="117">
        <f>SUM(L17/M17)*100</f>
        <v>25</v>
      </c>
      <c r="O17" s="59" t="s">
        <v>8</v>
      </c>
      <c r="P17" s="59" t="s">
        <v>8</v>
      </c>
      <c r="Q17" s="117" t="s">
        <v>8</v>
      </c>
      <c r="R17" s="59" t="s">
        <v>8</v>
      </c>
      <c r="S17" s="59" t="s">
        <v>8</v>
      </c>
      <c r="T17" s="117" t="s">
        <v>8</v>
      </c>
    </row>
    <row r="18" spans="1:20" ht="14.95" customHeight="1" thickBot="1" x14ac:dyDescent="0.3">
      <c r="A18" s="116" t="s">
        <v>257</v>
      </c>
      <c r="B18" s="59">
        <v>0</v>
      </c>
      <c r="C18" s="156">
        <v>0</v>
      </c>
      <c r="D18" s="98">
        <v>0</v>
      </c>
      <c r="E18" s="59">
        <f t="shared" si="1"/>
        <v>0</v>
      </c>
      <c r="F18" s="17" t="s">
        <v>257</v>
      </c>
      <c r="G18" s="104">
        <v>0</v>
      </c>
      <c r="H18" s="67">
        <v>0</v>
      </c>
      <c r="I18" s="104">
        <v>0</v>
      </c>
      <c r="J18" s="19">
        <f t="shared" si="0"/>
        <v>0</v>
      </c>
      <c r="K18" s="116" t="s">
        <v>433</v>
      </c>
      <c r="L18" s="59">
        <v>1</v>
      </c>
      <c r="M18" s="59">
        <v>3</v>
      </c>
      <c r="N18" s="117">
        <f>SUM(L18/M18)*100</f>
        <v>33.333333333333329</v>
      </c>
      <c r="O18" s="59">
        <v>19</v>
      </c>
      <c r="P18" s="59">
        <v>26</v>
      </c>
      <c r="Q18" s="117">
        <f>SUM(O18/P18)*100</f>
        <v>73.076923076923066</v>
      </c>
      <c r="R18" s="59">
        <v>11</v>
      </c>
      <c r="S18" s="59">
        <v>21</v>
      </c>
      <c r="T18" s="117">
        <v>50</v>
      </c>
    </row>
    <row r="19" spans="1:20" ht="14.95" customHeight="1" thickBot="1" x14ac:dyDescent="0.3">
      <c r="A19" s="116" t="s">
        <v>801</v>
      </c>
      <c r="B19" s="59">
        <v>0</v>
      </c>
      <c r="C19" s="156">
        <v>0</v>
      </c>
      <c r="D19" s="98">
        <v>0</v>
      </c>
      <c r="E19" s="59">
        <f t="shared" si="1"/>
        <v>0</v>
      </c>
      <c r="F19" s="17" t="s">
        <v>801</v>
      </c>
      <c r="G19" s="104">
        <v>0</v>
      </c>
      <c r="H19" s="67">
        <v>0</v>
      </c>
      <c r="I19" s="104">
        <v>0</v>
      </c>
      <c r="J19" s="19">
        <f t="shared" si="0"/>
        <v>0</v>
      </c>
      <c r="K19" s="116" t="s">
        <v>252</v>
      </c>
      <c r="L19" s="59" t="s">
        <v>8</v>
      </c>
      <c r="M19" s="59" t="s">
        <v>8</v>
      </c>
      <c r="N19" s="117" t="s">
        <v>8</v>
      </c>
      <c r="O19" s="59" t="s">
        <v>8</v>
      </c>
      <c r="P19" s="59" t="s">
        <v>8</v>
      </c>
      <c r="Q19" s="117" t="s">
        <v>8</v>
      </c>
      <c r="R19" s="59">
        <v>1</v>
      </c>
      <c r="S19" s="59">
        <v>3</v>
      </c>
      <c r="T19" s="117">
        <v>33</v>
      </c>
    </row>
    <row r="20" spans="1:20" ht="14.95" customHeight="1" thickBot="1" x14ac:dyDescent="0.3">
      <c r="A20" s="116" t="s">
        <v>641</v>
      </c>
      <c r="B20" s="59">
        <v>0</v>
      </c>
      <c r="C20" s="156">
        <v>0</v>
      </c>
      <c r="D20" s="98">
        <v>0</v>
      </c>
      <c r="E20" s="59">
        <f t="shared" si="1"/>
        <v>0</v>
      </c>
      <c r="F20" s="17" t="s">
        <v>641</v>
      </c>
      <c r="G20" s="104">
        <v>0</v>
      </c>
      <c r="H20" s="67">
        <v>0</v>
      </c>
      <c r="I20" s="104">
        <v>0</v>
      </c>
      <c r="J20" s="19">
        <f t="shared" si="0"/>
        <v>0</v>
      </c>
      <c r="K20" s="116" t="s">
        <v>799</v>
      </c>
      <c r="L20" s="59">
        <v>2</v>
      </c>
      <c r="M20" s="59">
        <v>8</v>
      </c>
      <c r="N20" s="117">
        <f>SUM(L20/M20)*100</f>
        <v>25</v>
      </c>
      <c r="O20" s="59" t="s">
        <v>8</v>
      </c>
      <c r="P20" s="59" t="s">
        <v>8</v>
      </c>
      <c r="Q20" s="117" t="s">
        <v>8</v>
      </c>
      <c r="R20" s="59" t="s">
        <v>8</v>
      </c>
      <c r="S20" s="59" t="s">
        <v>8</v>
      </c>
      <c r="T20" s="117" t="s">
        <v>8</v>
      </c>
    </row>
    <row r="21" spans="1:20" ht="14.95" customHeight="1" thickBot="1" x14ac:dyDescent="0.3">
      <c r="A21" s="116" t="s">
        <v>800</v>
      </c>
      <c r="B21" s="59">
        <v>0</v>
      </c>
      <c r="C21" s="156">
        <v>0</v>
      </c>
      <c r="D21" s="98">
        <v>0</v>
      </c>
      <c r="E21" s="59">
        <f t="shared" si="1"/>
        <v>0</v>
      </c>
      <c r="F21" s="17" t="s">
        <v>800</v>
      </c>
      <c r="G21" s="104">
        <v>0</v>
      </c>
      <c r="H21" s="67">
        <v>0</v>
      </c>
      <c r="I21" s="104">
        <v>0</v>
      </c>
      <c r="J21" s="19">
        <f t="shared" si="0"/>
        <v>0</v>
      </c>
      <c r="K21" s="204"/>
      <c r="L21" s="207"/>
      <c r="M21" s="24"/>
      <c r="N21" s="25"/>
      <c r="O21" s="96"/>
      <c r="P21" s="96"/>
      <c r="Q21" s="96"/>
    </row>
    <row r="22" spans="1:20" ht="14.95" customHeight="1" thickBot="1" x14ac:dyDescent="0.3">
      <c r="A22" s="116" t="s">
        <v>635</v>
      </c>
      <c r="B22" s="59">
        <v>0</v>
      </c>
      <c r="C22" s="156">
        <v>0</v>
      </c>
      <c r="D22" s="98">
        <v>0</v>
      </c>
      <c r="E22" s="59">
        <f t="shared" si="1"/>
        <v>0</v>
      </c>
      <c r="F22" s="17" t="s">
        <v>635</v>
      </c>
      <c r="G22" s="104">
        <v>0</v>
      </c>
      <c r="H22" s="67">
        <v>0</v>
      </c>
      <c r="I22" s="104">
        <v>0</v>
      </c>
      <c r="J22" s="19">
        <f t="shared" si="0"/>
        <v>0</v>
      </c>
      <c r="K22" s="528" t="s">
        <v>345</v>
      </c>
      <c r="L22" s="510">
        <v>2025</v>
      </c>
      <c r="M22" s="511"/>
      <c r="N22" s="512"/>
      <c r="O22" s="510">
        <v>2022</v>
      </c>
      <c r="P22" s="511"/>
      <c r="Q22" s="512"/>
      <c r="R22" s="56"/>
      <c r="S22" s="56"/>
      <c r="T22" s="56"/>
    </row>
    <row r="23" spans="1:20" ht="14.95" customHeight="1" thickBot="1" x14ac:dyDescent="0.3">
      <c r="A23" s="116" t="s">
        <v>795</v>
      </c>
      <c r="B23" s="59">
        <v>1</v>
      </c>
      <c r="C23" s="156">
        <v>0</v>
      </c>
      <c r="D23" s="98">
        <v>0</v>
      </c>
      <c r="E23" s="59">
        <f t="shared" si="1"/>
        <v>1</v>
      </c>
      <c r="F23" s="17" t="s">
        <v>795</v>
      </c>
      <c r="G23" s="104">
        <v>5</v>
      </c>
      <c r="H23" s="67">
        <v>0</v>
      </c>
      <c r="I23" s="104">
        <v>0</v>
      </c>
      <c r="J23" s="19">
        <f t="shared" si="0"/>
        <v>5</v>
      </c>
      <c r="K23" s="529"/>
      <c r="L23" s="513"/>
      <c r="M23" s="514"/>
      <c r="N23" s="515"/>
      <c r="O23" s="513"/>
      <c r="P23" s="514"/>
      <c r="Q23" s="515"/>
      <c r="R23" s="56"/>
      <c r="S23" s="56"/>
      <c r="T23" s="56"/>
    </row>
    <row r="24" spans="1:20" ht="14.95" customHeight="1" thickBot="1" x14ac:dyDescent="0.3">
      <c r="A24" s="116" t="s">
        <v>796</v>
      </c>
      <c r="B24" s="59">
        <v>0</v>
      </c>
      <c r="C24" s="156">
        <v>0</v>
      </c>
      <c r="D24" s="98">
        <v>0</v>
      </c>
      <c r="E24" s="59">
        <f t="shared" si="1"/>
        <v>0</v>
      </c>
      <c r="F24" s="17" t="s">
        <v>796</v>
      </c>
      <c r="G24" s="104">
        <v>0</v>
      </c>
      <c r="H24" s="67">
        <v>0</v>
      </c>
      <c r="I24" s="104">
        <v>0</v>
      </c>
      <c r="J24" s="19">
        <f t="shared" si="0"/>
        <v>0</v>
      </c>
      <c r="K24" s="300"/>
      <c r="L24" s="59" t="s">
        <v>17</v>
      </c>
      <c r="M24" s="59" t="s">
        <v>5</v>
      </c>
      <c r="N24" s="59" t="s">
        <v>6</v>
      </c>
      <c r="O24" s="59" t="s">
        <v>17</v>
      </c>
      <c r="P24" s="59" t="s">
        <v>5</v>
      </c>
      <c r="Q24" s="59" t="s">
        <v>6</v>
      </c>
      <c r="R24" s="56"/>
      <c r="S24" s="56"/>
      <c r="T24" s="56"/>
    </row>
    <row r="25" spans="1:20" ht="14.95" customHeight="1" thickBot="1" x14ac:dyDescent="0.3">
      <c r="A25" s="116" t="s">
        <v>637</v>
      </c>
      <c r="B25" s="59">
        <v>0</v>
      </c>
      <c r="C25" s="156">
        <v>0</v>
      </c>
      <c r="D25" s="98">
        <v>0</v>
      </c>
      <c r="E25" s="59">
        <f t="shared" si="1"/>
        <v>0</v>
      </c>
      <c r="F25" s="17" t="s">
        <v>637</v>
      </c>
      <c r="G25" s="104">
        <v>0</v>
      </c>
      <c r="H25" s="67">
        <v>0</v>
      </c>
      <c r="I25" s="104">
        <v>0</v>
      </c>
      <c r="J25" s="19">
        <f t="shared" si="0"/>
        <v>0</v>
      </c>
      <c r="K25" s="116" t="s">
        <v>380</v>
      </c>
      <c r="L25" s="59" t="s">
        <v>8</v>
      </c>
      <c r="M25" s="59" t="s">
        <v>8</v>
      </c>
      <c r="N25" s="117" t="s">
        <v>8</v>
      </c>
      <c r="O25" s="59">
        <v>5</v>
      </c>
      <c r="P25" s="59">
        <v>7</v>
      </c>
      <c r="Q25" s="117">
        <v>71</v>
      </c>
      <c r="R25" s="56"/>
      <c r="S25" s="56"/>
      <c r="T25" s="56"/>
    </row>
    <row r="26" spans="1:20" ht="14.95" customHeight="1" thickBot="1" x14ac:dyDescent="0.3">
      <c r="A26" s="116" t="s">
        <v>429</v>
      </c>
      <c r="B26" s="59">
        <v>0</v>
      </c>
      <c r="C26" s="156">
        <v>0</v>
      </c>
      <c r="D26" s="98">
        <v>0</v>
      </c>
      <c r="E26" s="59">
        <f t="shared" si="1"/>
        <v>0</v>
      </c>
      <c r="F26" s="17" t="s">
        <v>429</v>
      </c>
      <c r="G26" s="104">
        <v>0</v>
      </c>
      <c r="H26" s="67">
        <v>0</v>
      </c>
      <c r="I26" s="104">
        <v>0</v>
      </c>
      <c r="J26" s="19">
        <f t="shared" si="0"/>
        <v>0</v>
      </c>
      <c r="K26" s="116" t="s">
        <v>852</v>
      </c>
      <c r="L26" s="59">
        <v>0</v>
      </c>
      <c r="M26" s="59">
        <v>1</v>
      </c>
      <c r="N26" s="59">
        <f>SUM(L26/M26)*100</f>
        <v>0</v>
      </c>
      <c r="O26" s="59" t="s">
        <v>8</v>
      </c>
      <c r="P26" s="59" t="s">
        <v>8</v>
      </c>
      <c r="Q26" s="117" t="s">
        <v>8</v>
      </c>
      <c r="R26" s="56"/>
      <c r="S26" s="56"/>
      <c r="T26" s="56"/>
    </row>
    <row r="27" spans="1:20" ht="14.95" customHeight="1" thickBot="1" x14ac:dyDescent="0.3">
      <c r="A27" s="116" t="s">
        <v>246</v>
      </c>
      <c r="B27" s="59">
        <v>0</v>
      </c>
      <c r="C27" s="156">
        <v>0</v>
      </c>
      <c r="D27" s="98">
        <v>0</v>
      </c>
      <c r="E27" s="59">
        <f t="shared" si="1"/>
        <v>0</v>
      </c>
      <c r="F27" s="17" t="s">
        <v>246</v>
      </c>
      <c r="G27" s="104">
        <v>0</v>
      </c>
      <c r="H27" s="67">
        <v>0</v>
      </c>
      <c r="I27" s="104">
        <v>0</v>
      </c>
      <c r="J27" s="19">
        <f t="shared" si="0"/>
        <v>0</v>
      </c>
      <c r="K27" s="116" t="s">
        <v>931</v>
      </c>
      <c r="L27" s="59">
        <v>0</v>
      </c>
      <c r="M27" s="59">
        <v>1</v>
      </c>
      <c r="N27" s="59">
        <f>SUM(L27/M27)*100</f>
        <v>0</v>
      </c>
      <c r="O27" s="59" t="s">
        <v>8</v>
      </c>
      <c r="P27" s="59" t="s">
        <v>8</v>
      </c>
      <c r="Q27" s="117" t="s">
        <v>8</v>
      </c>
      <c r="R27" s="56"/>
      <c r="S27" s="56"/>
      <c r="T27" s="56"/>
    </row>
    <row r="28" spans="1:20" ht="14.95" customHeight="1" thickBot="1" x14ac:dyDescent="0.3">
      <c r="A28" s="116" t="s">
        <v>247</v>
      </c>
      <c r="B28" s="59">
        <v>0</v>
      </c>
      <c r="C28" s="156">
        <v>0</v>
      </c>
      <c r="D28" s="98">
        <v>0</v>
      </c>
      <c r="E28" s="59">
        <f t="shared" si="1"/>
        <v>0</v>
      </c>
      <c r="F28" s="17" t="s">
        <v>247</v>
      </c>
      <c r="G28" s="104">
        <v>0</v>
      </c>
      <c r="H28" s="67">
        <v>0</v>
      </c>
      <c r="I28" s="104">
        <v>0</v>
      </c>
      <c r="J28" s="19">
        <f t="shared" si="0"/>
        <v>0</v>
      </c>
      <c r="K28" s="116" t="s">
        <v>799</v>
      </c>
      <c r="L28" s="59">
        <v>5</v>
      </c>
      <c r="M28" s="59">
        <v>6</v>
      </c>
      <c r="N28" s="117">
        <f>SUM(L28/M28)*100</f>
        <v>83.333333333333343</v>
      </c>
      <c r="O28" s="59" t="s">
        <v>8</v>
      </c>
      <c r="P28" s="59" t="s">
        <v>8</v>
      </c>
      <c r="Q28" s="117" t="s">
        <v>8</v>
      </c>
      <c r="R28" s="56"/>
      <c r="S28" s="56"/>
      <c r="T28" s="56"/>
    </row>
    <row r="29" spans="1:20" ht="14.95" customHeight="1" thickBot="1" x14ac:dyDescent="0.3">
      <c r="A29" s="116" t="s">
        <v>248</v>
      </c>
      <c r="B29" s="59">
        <v>0</v>
      </c>
      <c r="C29" s="156">
        <v>0</v>
      </c>
      <c r="D29" s="98">
        <v>0</v>
      </c>
      <c r="E29" s="59">
        <f t="shared" si="1"/>
        <v>0</v>
      </c>
      <c r="F29" s="17" t="s">
        <v>248</v>
      </c>
      <c r="G29" s="104">
        <v>0</v>
      </c>
      <c r="H29" s="67">
        <v>0</v>
      </c>
      <c r="I29" s="104">
        <v>0</v>
      </c>
      <c r="J29" s="19">
        <f t="shared" si="0"/>
        <v>0</v>
      </c>
      <c r="K29" s="565"/>
      <c r="L29" s="566"/>
      <c r="M29" s="566"/>
      <c r="N29" s="566"/>
      <c r="O29" s="566"/>
      <c r="P29" s="566"/>
      <c r="Q29" s="566"/>
      <c r="R29" s="566"/>
    </row>
    <row r="30" spans="1:20" ht="14.95" customHeight="1" thickBot="1" x14ac:dyDescent="0.3">
      <c r="A30" s="116" t="s">
        <v>794</v>
      </c>
      <c r="B30" s="59">
        <v>0</v>
      </c>
      <c r="C30" s="156">
        <v>0</v>
      </c>
      <c r="D30" s="98">
        <v>0</v>
      </c>
      <c r="E30" s="59">
        <f t="shared" si="1"/>
        <v>0</v>
      </c>
      <c r="F30" s="17" t="s">
        <v>794</v>
      </c>
      <c r="G30" s="104">
        <v>0</v>
      </c>
      <c r="H30" s="67">
        <v>0</v>
      </c>
      <c r="I30" s="104">
        <v>0</v>
      </c>
      <c r="J30" s="19">
        <f t="shared" si="0"/>
        <v>0</v>
      </c>
      <c r="K30" s="526" t="s">
        <v>500</v>
      </c>
      <c r="L30" s="510">
        <v>2025</v>
      </c>
      <c r="M30" s="511"/>
      <c r="N30" s="512"/>
      <c r="O30" s="510">
        <v>2024</v>
      </c>
      <c r="P30" s="511"/>
      <c r="Q30" s="512"/>
    </row>
    <row r="31" spans="1:20" ht="14.95" customHeight="1" thickBot="1" x14ac:dyDescent="0.3">
      <c r="A31" s="116" t="s">
        <v>249</v>
      </c>
      <c r="B31" s="59">
        <v>0</v>
      </c>
      <c r="C31" s="156">
        <v>0</v>
      </c>
      <c r="D31" s="98">
        <v>0</v>
      </c>
      <c r="E31" s="59">
        <f t="shared" si="1"/>
        <v>0</v>
      </c>
      <c r="F31" s="17" t="s">
        <v>249</v>
      </c>
      <c r="G31" s="104">
        <v>0</v>
      </c>
      <c r="H31" s="67">
        <v>0</v>
      </c>
      <c r="I31" s="104">
        <v>0</v>
      </c>
      <c r="J31" s="19">
        <f t="shared" si="0"/>
        <v>0</v>
      </c>
      <c r="K31" s="527"/>
      <c r="L31" s="513"/>
      <c r="M31" s="514"/>
      <c r="N31" s="515"/>
      <c r="O31" s="513"/>
      <c r="P31" s="514"/>
      <c r="Q31" s="515"/>
    </row>
    <row r="32" spans="1:20" ht="14.95" customHeight="1" thickBot="1" x14ac:dyDescent="0.3">
      <c r="A32" s="116" t="s">
        <v>253</v>
      </c>
      <c r="B32" s="59">
        <v>0</v>
      </c>
      <c r="C32" s="156">
        <v>0</v>
      </c>
      <c r="D32" s="98">
        <v>0</v>
      </c>
      <c r="E32" s="59">
        <f t="shared" si="1"/>
        <v>0</v>
      </c>
      <c r="F32" s="17" t="s">
        <v>253</v>
      </c>
      <c r="G32" s="104">
        <v>0</v>
      </c>
      <c r="H32" s="67">
        <v>0</v>
      </c>
      <c r="I32" s="104">
        <v>0</v>
      </c>
      <c r="J32" s="19">
        <f t="shared" si="0"/>
        <v>0</v>
      </c>
      <c r="K32" s="220"/>
      <c r="L32" s="59" t="s">
        <v>17</v>
      </c>
      <c r="M32" s="59" t="s">
        <v>5</v>
      </c>
      <c r="N32" s="59" t="s">
        <v>6</v>
      </c>
      <c r="O32" s="59" t="s">
        <v>17</v>
      </c>
      <c r="P32" s="59" t="s">
        <v>5</v>
      </c>
      <c r="Q32" s="59" t="s">
        <v>6</v>
      </c>
    </row>
    <row r="33" spans="1:18" ht="14.95" customHeight="1" thickBot="1" x14ac:dyDescent="0.3">
      <c r="A33" s="116" t="s">
        <v>491</v>
      </c>
      <c r="B33" s="59">
        <v>0</v>
      </c>
      <c r="C33" s="156">
        <v>0</v>
      </c>
      <c r="D33" s="98">
        <v>0</v>
      </c>
      <c r="E33" s="59">
        <f t="shared" si="1"/>
        <v>0</v>
      </c>
      <c r="F33" s="17" t="s">
        <v>491</v>
      </c>
      <c r="G33" s="104">
        <v>0</v>
      </c>
      <c r="H33" s="67">
        <v>0</v>
      </c>
      <c r="I33" s="104">
        <v>0</v>
      </c>
      <c r="J33" s="19">
        <f t="shared" si="0"/>
        <v>0</v>
      </c>
      <c r="K33" s="116" t="s">
        <v>256</v>
      </c>
      <c r="L33" s="59" t="s">
        <v>8</v>
      </c>
      <c r="M33" s="59" t="s">
        <v>8</v>
      </c>
      <c r="N33" s="117" t="s">
        <v>8</v>
      </c>
      <c r="O33" s="59">
        <v>0</v>
      </c>
      <c r="P33" s="59">
        <v>1</v>
      </c>
      <c r="Q33" s="117">
        <v>71</v>
      </c>
    </row>
    <row r="34" spans="1:18" ht="14.95" customHeight="1" thickBot="1" x14ac:dyDescent="0.3">
      <c r="A34" s="116" t="s">
        <v>433</v>
      </c>
      <c r="B34" s="59">
        <v>0</v>
      </c>
      <c r="C34" s="156">
        <v>0</v>
      </c>
      <c r="D34" s="98">
        <v>0</v>
      </c>
      <c r="E34" s="59">
        <f t="shared" si="1"/>
        <v>0</v>
      </c>
      <c r="F34" s="17" t="s">
        <v>433</v>
      </c>
      <c r="G34" s="104">
        <v>0</v>
      </c>
      <c r="H34" s="67">
        <v>0</v>
      </c>
      <c r="I34" s="104">
        <v>0</v>
      </c>
      <c r="J34" s="19">
        <f t="shared" si="0"/>
        <v>0</v>
      </c>
      <c r="K34" s="116" t="s">
        <v>433</v>
      </c>
      <c r="L34" s="59" t="s">
        <v>8</v>
      </c>
      <c r="M34" s="59" t="s">
        <v>8</v>
      </c>
      <c r="N34" s="117" t="s">
        <v>8</v>
      </c>
      <c r="O34" s="59">
        <v>7</v>
      </c>
      <c r="P34" s="59">
        <v>11</v>
      </c>
      <c r="Q34" s="117">
        <v>71</v>
      </c>
    </row>
    <row r="35" spans="1:18" ht="14.95" customHeight="1" thickBot="1" x14ac:dyDescent="0.3">
      <c r="A35" s="116" t="s">
        <v>629</v>
      </c>
      <c r="B35" s="59">
        <v>0</v>
      </c>
      <c r="C35" s="156">
        <v>0</v>
      </c>
      <c r="D35" s="98">
        <v>0</v>
      </c>
      <c r="E35" s="59">
        <f t="shared" si="1"/>
        <v>0</v>
      </c>
      <c r="F35" s="17" t="s">
        <v>629</v>
      </c>
      <c r="G35" s="104">
        <v>0</v>
      </c>
      <c r="H35" s="67">
        <v>0</v>
      </c>
      <c r="I35" s="104">
        <v>0</v>
      </c>
      <c r="J35" s="19">
        <f t="shared" si="0"/>
        <v>0</v>
      </c>
      <c r="K35" s="565" t="s">
        <v>650</v>
      </c>
      <c r="L35" s="566"/>
      <c r="M35" s="566"/>
      <c r="N35" s="566"/>
      <c r="O35" s="566"/>
      <c r="P35" s="566"/>
      <c r="Q35" s="566"/>
      <c r="R35" s="566"/>
    </row>
    <row r="36" spans="1:18" ht="14.95" customHeight="1" thickBot="1" x14ac:dyDescent="0.3">
      <c r="A36" s="116" t="s">
        <v>802</v>
      </c>
      <c r="B36" s="59">
        <v>0</v>
      </c>
      <c r="C36" s="156">
        <v>0</v>
      </c>
      <c r="D36" s="98">
        <v>0</v>
      </c>
      <c r="E36" s="59">
        <f t="shared" si="1"/>
        <v>0</v>
      </c>
      <c r="F36" s="17" t="s">
        <v>803</v>
      </c>
      <c r="G36" s="104">
        <v>0</v>
      </c>
      <c r="H36" s="67">
        <v>0</v>
      </c>
      <c r="I36" s="104">
        <v>0</v>
      </c>
      <c r="J36" s="19">
        <f t="shared" si="0"/>
        <v>0</v>
      </c>
      <c r="K36" s="2"/>
    </row>
    <row r="37" spans="1:18" ht="14.95" customHeight="1" thickBot="1" x14ac:dyDescent="0.3">
      <c r="A37" s="116" t="s">
        <v>250</v>
      </c>
      <c r="B37" s="59">
        <v>0</v>
      </c>
      <c r="C37" s="156">
        <v>0</v>
      </c>
      <c r="D37" s="98">
        <v>0</v>
      </c>
      <c r="E37" s="59">
        <f t="shared" si="1"/>
        <v>0</v>
      </c>
      <c r="F37" s="17" t="s">
        <v>250</v>
      </c>
      <c r="G37" s="104">
        <v>0</v>
      </c>
      <c r="H37" s="67">
        <v>0</v>
      </c>
      <c r="I37" s="104">
        <v>0</v>
      </c>
      <c r="J37" s="19">
        <f t="shared" si="0"/>
        <v>0</v>
      </c>
    </row>
    <row r="38" spans="1:18" ht="14.95" customHeight="1" thickBot="1" x14ac:dyDescent="0.3">
      <c r="A38" s="116" t="s">
        <v>799</v>
      </c>
      <c r="B38" s="59">
        <v>0</v>
      </c>
      <c r="C38" s="156">
        <v>0</v>
      </c>
      <c r="D38" s="98">
        <v>0</v>
      </c>
      <c r="E38" s="59">
        <f t="shared" si="1"/>
        <v>0</v>
      </c>
      <c r="F38" s="17" t="s">
        <v>799</v>
      </c>
      <c r="G38" s="104">
        <v>5</v>
      </c>
      <c r="H38" s="67">
        <v>0</v>
      </c>
      <c r="I38" s="104">
        <v>0</v>
      </c>
      <c r="J38" s="19">
        <f t="shared" si="0"/>
        <v>5</v>
      </c>
    </row>
    <row r="39" spans="1:18" ht="14.95" customHeight="1" thickBot="1" x14ac:dyDescent="0.3">
      <c r="A39" s="116" t="s">
        <v>251</v>
      </c>
      <c r="B39" s="59">
        <v>0</v>
      </c>
      <c r="C39" s="156">
        <v>0</v>
      </c>
      <c r="D39" s="98">
        <v>0</v>
      </c>
      <c r="E39" s="59">
        <f t="shared" si="1"/>
        <v>0</v>
      </c>
      <c r="F39" s="17" t="s">
        <v>251</v>
      </c>
      <c r="G39" s="104">
        <v>0</v>
      </c>
      <c r="H39" s="67">
        <v>0</v>
      </c>
      <c r="I39" s="104">
        <v>0</v>
      </c>
      <c r="J39" s="19">
        <f t="shared" si="0"/>
        <v>0</v>
      </c>
    </row>
    <row r="40" spans="1:18" ht="14.95" customHeight="1" thickBot="1" x14ac:dyDescent="0.3">
      <c r="A40" s="116" t="s">
        <v>993</v>
      </c>
      <c r="B40" s="59">
        <v>1</v>
      </c>
      <c r="C40" s="156">
        <v>0</v>
      </c>
      <c r="D40" s="98">
        <v>0</v>
      </c>
      <c r="E40" s="59">
        <f t="shared" si="1"/>
        <v>1</v>
      </c>
      <c r="F40" s="17" t="s">
        <v>993</v>
      </c>
      <c r="G40" s="104">
        <v>5</v>
      </c>
      <c r="H40" s="67">
        <v>0</v>
      </c>
      <c r="I40" s="104">
        <v>0</v>
      </c>
      <c r="J40" s="19">
        <f t="shared" si="0"/>
        <v>5</v>
      </c>
    </row>
    <row r="41" spans="1:18" ht="14.95" customHeight="1" thickBot="1" x14ac:dyDescent="0.3">
      <c r="A41" s="116" t="s">
        <v>3</v>
      </c>
      <c r="B41" s="59">
        <f>SUM(B3:B40)</f>
        <v>2</v>
      </c>
      <c r="C41" s="156">
        <f>SUM(C3:C40)</f>
        <v>0</v>
      </c>
      <c r="D41" s="98">
        <f>SUM(D3:D40)</f>
        <v>0</v>
      </c>
      <c r="E41" s="59">
        <f>SUM(B41:D41)</f>
        <v>2</v>
      </c>
      <c r="F41" s="49" t="s">
        <v>3</v>
      </c>
      <c r="G41" s="103">
        <f>SUM(G3:G40)</f>
        <v>15</v>
      </c>
      <c r="H41" s="78">
        <f>SUM(H3:H40)</f>
        <v>0</v>
      </c>
      <c r="I41" s="103">
        <f>SUM(I3:I40)</f>
        <v>0</v>
      </c>
      <c r="J41" s="46">
        <f>SUM(G41:I41)</f>
        <v>15</v>
      </c>
    </row>
    <row r="42" spans="1:18" ht="14.95" customHeight="1" x14ac:dyDescent="0.25">
      <c r="A42" s="572"/>
      <c r="B42" s="573"/>
      <c r="C42" s="573"/>
      <c r="D42" s="573"/>
      <c r="E42" s="573"/>
      <c r="F42" s="573"/>
      <c r="G42" s="573"/>
      <c r="H42" s="573"/>
      <c r="I42" s="573"/>
      <c r="J42" s="573"/>
      <c r="O42" s="9"/>
      <c r="P42" s="9"/>
      <c r="Q42" s="9"/>
    </row>
    <row r="43" spans="1:18" ht="16.3" x14ac:dyDescent="0.25">
      <c r="A43" t="s">
        <v>7</v>
      </c>
      <c r="B43" s="50"/>
      <c r="C43" s="50"/>
      <c r="D43" s="50"/>
      <c r="F43" s="3"/>
      <c r="G43" s="51"/>
      <c r="H43" s="51"/>
      <c r="I43" s="51"/>
      <c r="J43" s="3"/>
    </row>
    <row r="44" spans="1:18" ht="16.3" x14ac:dyDescent="0.3">
      <c r="A44" s="524" t="s">
        <v>10</v>
      </c>
      <c r="B44" s="524"/>
      <c r="C44" s="525"/>
    </row>
  </sheetData>
  <mergeCells count="23">
    <mergeCell ref="AD1:AF2"/>
    <mergeCell ref="K35:R35"/>
    <mergeCell ref="V1:X2"/>
    <mergeCell ref="S1:U2"/>
    <mergeCell ref="O14:Q15"/>
    <mergeCell ref="L22:N23"/>
    <mergeCell ref="AA1:AC2"/>
    <mergeCell ref="A44:C44"/>
    <mergeCell ref="K22:K23"/>
    <mergeCell ref="O22:Q23"/>
    <mergeCell ref="K29:R29"/>
    <mergeCell ref="R1:R2"/>
    <mergeCell ref="A1:J1"/>
    <mergeCell ref="K1:K2"/>
    <mergeCell ref="L1:N2"/>
    <mergeCell ref="O1:Q2"/>
    <mergeCell ref="K14:K15"/>
    <mergeCell ref="L14:N15"/>
    <mergeCell ref="R14:T15"/>
    <mergeCell ref="A42:J42"/>
    <mergeCell ref="K30:K31"/>
    <mergeCell ref="L30:N31"/>
    <mergeCell ref="O30:Q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1247</vt:i4>
      </vt:variant>
    </vt:vector>
  </HeadingPairs>
  <TitlesOfParts>
    <vt:vector size="1267" baseType="lpstr">
      <vt:lpstr>TIER 1</vt:lpstr>
      <vt:lpstr>6N</vt:lpstr>
      <vt:lpstr>WXV</vt:lpstr>
      <vt:lpstr>P4</vt:lpstr>
      <vt:lpstr>AUS</vt:lpstr>
      <vt:lpstr>BRA</vt:lpstr>
      <vt:lpstr>CAN</vt:lpstr>
      <vt:lpstr>ENG</vt:lpstr>
      <vt:lpstr>FIJ</vt:lpstr>
      <vt:lpstr>FRA</vt:lpstr>
      <vt:lpstr>IRE</vt:lpstr>
      <vt:lpstr>ITA</vt:lpstr>
      <vt:lpstr>JPN</vt:lpstr>
      <vt:lpstr>NZL</vt:lpstr>
      <vt:lpstr>SAM</vt:lpstr>
      <vt:lpstr>SCO</vt:lpstr>
      <vt:lpstr>RSA</vt:lpstr>
      <vt:lpstr>ESP</vt:lpstr>
      <vt:lpstr>USA</vt:lpstr>
      <vt:lpstr>WAL</vt:lpstr>
      <vt:lpstr>AdamsWAL6NPTS</vt:lpstr>
      <vt:lpstr>AdamsWAL6NTRIES</vt:lpstr>
      <vt:lpstr>Aitchisoneng6natt</vt:lpstr>
      <vt:lpstr>Aitchisoneng6ngls</vt:lpstr>
      <vt:lpstr>Aitchisonengpts</vt:lpstr>
      <vt:lpstr>Aitchisonengtries</vt:lpstr>
      <vt:lpstr>aitchisonengwxvatt</vt:lpstr>
      <vt:lpstr>Aitchisonengwxvgls</vt:lpstr>
      <vt:lpstr>aitchisonengwxvpts</vt:lpstr>
      <vt:lpstr>aitchisonengwxvtries</vt:lpstr>
      <vt:lpstr>Akiire6npts</vt:lpstr>
      <vt:lpstr>Akiiretries</vt:lpstr>
      <vt:lpstr>alamedaespwxvpts</vt:lpstr>
      <vt:lpstr>alamedaespwxvtries</vt:lpstr>
      <vt:lpstr>Aldcrofteng6npts</vt:lpstr>
      <vt:lpstr>Aldcrofteng6ntries</vt:lpstr>
      <vt:lpstr>aldcroftengwxvpts</vt:lpstr>
      <vt:lpstr>aldcroftengwxvtries</vt:lpstr>
      <vt:lpstr>amosaauswxvpts</vt:lpstr>
      <vt:lpstr>amosaauswxvtries</vt:lpstr>
      <vt:lpstr>andopnwxvpts</vt:lpstr>
      <vt:lpstr>andopnwxvtries</vt:lpstr>
      <vt:lpstr>antolinezespwxvpts</vt:lpstr>
      <vt:lpstr>antolinezespwxvtries</vt:lpstr>
      <vt:lpstr>Appscanp4pts</vt:lpstr>
      <vt:lpstr>Appscanp4tries</vt:lpstr>
      <vt:lpstr>Arbeyfra6npts</vt:lpstr>
      <vt:lpstr>Arbeyfra6ntries</vt:lpstr>
      <vt:lpstr>arbeyfrawxvpts</vt:lpstr>
      <vt:lpstr>arbeyfrawxvtries</vt:lpstr>
      <vt:lpstr>arbezfra6natt</vt:lpstr>
      <vt:lpstr>Arbezfra6ngls</vt:lpstr>
      <vt:lpstr>ArbezFRA6NPTS</vt:lpstr>
      <vt:lpstr>ArbezFRA6NTRIES</vt:lpstr>
      <vt:lpstr>arbezfrawxpts</vt:lpstr>
      <vt:lpstr>arbezfrawxtries</vt:lpstr>
      <vt:lpstr>Arbezfrayratt</vt:lpstr>
      <vt:lpstr>Arbezfrayrgls</vt:lpstr>
      <vt:lpstr>argudoespwxvpts</vt:lpstr>
      <vt:lpstr>argudoespwxvtries</vt:lpstr>
      <vt:lpstr>AshenbruckerUSAP4pts</vt:lpstr>
      <vt:lpstr>AshenbruckerUSAP4tries</vt:lpstr>
      <vt:lpstr>atkindavieseng6npts</vt:lpstr>
      <vt:lpstr>atkindavieseng6ntries</vt:lpstr>
      <vt:lpstr>atkindaviesengwxvpts</vt:lpstr>
      <vt:lpstr>atkindaviesengwxvtries</vt:lpstr>
      <vt:lpstr>BailleFRA6NPTS</vt:lpstr>
      <vt:lpstr>BailleFRA6NTRIES</vt:lpstr>
      <vt:lpstr>Bairdire6npts</vt:lpstr>
      <vt:lpstr>Bairdire6ntries</vt:lpstr>
      <vt:lpstr>banetfrawxvpts</vt:lpstr>
      <vt:lpstr>banetfrawxvtries</vt:lpstr>
      <vt:lpstr>Barattinitapts</vt:lpstr>
      <vt:lpstr>Barattinitatries</vt:lpstr>
      <vt:lpstr>bargellusawxtries</vt:lpstr>
      <vt:lpstr>bargellusawxvpts</vt:lpstr>
      <vt:lpstr>Barratfra6npts</vt:lpstr>
      <vt:lpstr>Barratfra6ntries</vt:lpstr>
      <vt:lpstr>Bartlettsco6npts</vt:lpstr>
      <vt:lpstr>Bartlettsco6ntries</vt:lpstr>
      <vt:lpstr>bartlettscowxvpts</vt:lpstr>
      <vt:lpstr>bartlettscowxvtries</vt:lpstr>
      <vt:lpstr>BashamWAL6NPTS</vt:lpstr>
      <vt:lpstr>BashamWAL6NTRIES</vt:lpstr>
      <vt:lpstr>bayfieldnzlwxvpts</vt:lpstr>
      <vt:lpstr>bayfieldnzlwxvtries</vt:lpstr>
      <vt:lpstr>Bealhamire6npts</vt:lpstr>
      <vt:lpstr>Bealhamire6ntries</vt:lpstr>
      <vt:lpstr>Bermudezcanp4pts</vt:lpstr>
      <vt:lpstr>Bermudezcanp4tries</vt:lpstr>
      <vt:lpstr>bermudezcanwxvpts</vt:lpstr>
      <vt:lpstr>bermudezcanwxvtries</vt:lpstr>
      <vt:lpstr>Berneng6npts</vt:lpstr>
      <vt:lpstr>Berneng6ntries</vt:lpstr>
      <vt:lpstr>bernengwxvpts</vt:lpstr>
      <vt:lpstr>bernengwxvtries</vt:lpstr>
      <vt:lpstr>Bettoniita6npts</vt:lpstr>
      <vt:lpstr>Bettoniita6ntries</vt:lpstr>
      <vt:lpstr>Beukeboomcanp4pts</vt:lpstr>
      <vt:lpstr>Beukeboomcanp4tries</vt:lpstr>
      <vt:lpstr>bevanwal6natt</vt:lpstr>
      <vt:lpstr>Bevanwal6ngls</vt:lpstr>
      <vt:lpstr>Bevanwal6nglscorrect</vt:lpstr>
      <vt:lpstr>Bevanwalwxvatt</vt:lpstr>
      <vt:lpstr>Bevanwalwxvgls</vt:lpstr>
      <vt:lpstr>bevanwalwxvpts</vt:lpstr>
      <vt:lpstr>bevanwalwxvtries</vt:lpstr>
      <vt:lpstr>Bevanwalyratt</vt:lpstr>
      <vt:lpstr>Bevanwalyrgls</vt:lpstr>
      <vt:lpstr>Biggarwal6natt</vt:lpstr>
      <vt:lpstr>biggarwal6nattcorrect</vt:lpstr>
      <vt:lpstr>Biggarwal6nglscorrect</vt:lpstr>
      <vt:lpstr>Biggarwal6npts</vt:lpstr>
      <vt:lpstr>Biggarwal6ntries</vt:lpstr>
      <vt:lpstr>biggarwalatt</vt:lpstr>
      <vt:lpstr>Biggarwalgls</vt:lpstr>
      <vt:lpstr>biggarwalpts</vt:lpstr>
      <vt:lpstr>biggarwaltries</vt:lpstr>
      <vt:lpstr>Bigotfra6npts</vt:lpstr>
      <vt:lpstr>Bigotfra6ntries</vt:lpstr>
      <vt:lpstr>bitonciitawxvpts</vt:lpstr>
      <vt:lpstr>bitonciitawxvtries</vt:lpstr>
      <vt:lpstr>Bitterusap4att</vt:lpstr>
      <vt:lpstr>Bitterusap4gls</vt:lpstr>
      <vt:lpstr>Bitterusawxvatt</vt:lpstr>
      <vt:lpstr>Bitterusawxvgls</vt:lpstr>
      <vt:lpstr>Bitterusayratt</vt:lpstr>
      <vt:lpstr>Bitterusayrgls</vt:lpstr>
      <vt:lpstr>blancoespwxvpts</vt:lpstr>
      <vt:lpstr>blancoespwxvtries</vt:lpstr>
      <vt:lpstr>Bluckwal6npts</vt:lpstr>
      <vt:lpstr>Bluckwal6ntries</vt:lpstr>
      <vt:lpstr>Boagcanp4pts</vt:lpstr>
      <vt:lpstr>Boagcanp4tries</vt:lpstr>
      <vt:lpstr>boagcanwxvpts</vt:lpstr>
      <vt:lpstr>boagcanwxvtries</vt:lpstr>
      <vt:lpstr>bonarrscowxvpts</vt:lpstr>
      <vt:lpstr>bonarrscowxvtries</vt:lpstr>
      <vt:lpstr>Bonarsco6npts</vt:lpstr>
      <vt:lpstr>Bonarsco6ntries</vt:lpstr>
      <vt:lpstr>botesrsawxvpts</vt:lpstr>
      <vt:lpstr>botesrsawxvtries</vt:lpstr>
      <vt:lpstr>bottermanengwxvpts</vt:lpstr>
      <vt:lpstr>bottermanengwxvtries</vt:lpstr>
      <vt:lpstr>Boujardfra6npts</vt:lpstr>
      <vt:lpstr>Boujardfra6ntries</vt:lpstr>
      <vt:lpstr>Boulard_Efra6npts</vt:lpstr>
      <vt:lpstr>Boulard_Efra6ntries</vt:lpstr>
      <vt:lpstr>boulardfrawxvpts</vt:lpstr>
      <vt:lpstr>boulardfrawxvtries</vt:lpstr>
      <vt:lpstr>Bourdonfra6natt</vt:lpstr>
      <vt:lpstr>Bourdonfra6ngls</vt:lpstr>
      <vt:lpstr>Bourdonfra6npts</vt:lpstr>
      <vt:lpstr>Bourdonfra6ntries</vt:lpstr>
      <vt:lpstr>bourdonfragls</vt:lpstr>
      <vt:lpstr>bourdonfrawxvpts</vt:lpstr>
      <vt:lpstr>bourdonfrawxvtries</vt:lpstr>
      <vt:lpstr>Bourgeoisfra6natt</vt:lpstr>
      <vt:lpstr>Bourgeoisfra6ngls</vt:lpstr>
      <vt:lpstr>Bourgeoisfrawxvatt</vt:lpstr>
      <vt:lpstr>Bourgeoisfrawxvgls</vt:lpstr>
      <vt:lpstr>bourgeoisfrawxvtpts</vt:lpstr>
      <vt:lpstr>bourgeoisfrawxvtries</vt:lpstr>
      <vt:lpstr>Braleyita6npts</vt:lpstr>
      <vt:lpstr>Braleyita6ntries</vt:lpstr>
      <vt:lpstr>breachengwxvpts</vt:lpstr>
      <vt:lpstr>breachengwxvtries</vt:lpstr>
      <vt:lpstr>brebnerholdenscowxvpts</vt:lpstr>
      <vt:lpstr>brebnerholdenscowxvtries</vt:lpstr>
      <vt:lpstr>Breenire6natt</vt:lpstr>
      <vt:lpstr>Breenire6nattcorrect</vt:lpstr>
      <vt:lpstr>Breenire6ngls</vt:lpstr>
      <vt:lpstr>Breenire6nglscorrect</vt:lpstr>
      <vt:lpstr>breenirewxvpts</vt:lpstr>
      <vt:lpstr>breenirewxvtries</vt:lpstr>
      <vt:lpstr>Bremner_AnzlP4pts</vt:lpstr>
      <vt:lpstr>Bremner_AnzlP4tries</vt:lpstr>
      <vt:lpstr>Bremner_CnzlP4pts</vt:lpstr>
      <vt:lpstr>Bremner_CnzlP4tries</vt:lpstr>
      <vt:lpstr>brockengwxvpts</vt:lpstr>
      <vt:lpstr>brockengwxvtries</vt:lpstr>
      <vt:lpstr>brodyusawxvpts</vt:lpstr>
      <vt:lpstr>brodyusawxvtries</vt:lpstr>
      <vt:lpstr>BruntnzlP4pts</vt:lpstr>
      <vt:lpstr>BruntnzlP4tries</vt:lpstr>
      <vt:lpstr>bruntnzlwxvpts</vt:lpstr>
      <vt:lpstr>bruntnzlwxvtries</vt:lpstr>
      <vt:lpstr>Burtoneng6npts</vt:lpstr>
      <vt:lpstr>Burtoneng6ntries</vt:lpstr>
      <vt:lpstr>busoita6natt</vt:lpstr>
      <vt:lpstr>busoita6ngls</vt:lpstr>
      <vt:lpstr>busoitawxvpts</vt:lpstr>
      <vt:lpstr>busoitawxvtries</vt:lpstr>
      <vt:lpstr>Busoitayratt</vt:lpstr>
      <vt:lpstr>Busoitayrgls</vt:lpstr>
      <vt:lpstr>callenderwalwxpts</vt:lpstr>
      <vt:lpstr>callenderwalwxtries</vt:lpstr>
      <vt:lpstr>callenderwalwxvpts</vt:lpstr>
      <vt:lpstr>callenderwalwxvtries</vt:lpstr>
      <vt:lpstr>cantornaUSAp4att</vt:lpstr>
      <vt:lpstr>CantornaUSAp4gls</vt:lpstr>
      <vt:lpstr>CantornaUSAP4pts</vt:lpstr>
      <vt:lpstr>Cantornausap4tries</vt:lpstr>
      <vt:lpstr>Cantornausawxvatt</vt:lpstr>
      <vt:lpstr>Cantornausawxvgls</vt:lpstr>
      <vt:lpstr>cantornausawxvpts</vt:lpstr>
      <vt:lpstr>cantornausawxvtries</vt:lpstr>
      <vt:lpstr>Capomaggiita6natt</vt:lpstr>
      <vt:lpstr>Capomaggiita6nattcorrect</vt:lpstr>
      <vt:lpstr>Capomaggiita6ngls</vt:lpstr>
      <vt:lpstr>Capomaggiita6nglscorrect</vt:lpstr>
      <vt:lpstr>capomaggiitawxvatt</vt:lpstr>
      <vt:lpstr>Capomaggiitawxvgls</vt:lpstr>
      <vt:lpstr>capomaggiitawxvpts</vt:lpstr>
      <vt:lpstr>capomaggiitawxvtries</vt:lpstr>
      <vt:lpstr>Capuozzoita6npts</vt:lpstr>
      <vt:lpstr>Capuozzoita6ntries</vt:lpstr>
      <vt:lpstr>Carberyire6npts</vt:lpstr>
      <vt:lpstr>Carberyire6ntries</vt:lpstr>
      <vt:lpstr>CarsonEeng6npts</vt:lpstr>
      <vt:lpstr>CarsonEeng6ntries</vt:lpstr>
      <vt:lpstr>carsonengwxvpts</vt:lpstr>
      <vt:lpstr>carsonengwxvtries</vt:lpstr>
      <vt:lpstr>Caslickausp4pts</vt:lpstr>
      <vt:lpstr>Caslickausp4tries</vt:lpstr>
      <vt:lpstr>casteloespwxvpts</vt:lpstr>
      <vt:lpstr>casteloespwxvtries</vt:lpstr>
      <vt:lpstr>Chambonfra6npts</vt:lpstr>
      <vt:lpstr>Chambonfra6ntries</vt:lpstr>
      <vt:lpstr>chambonfrawxvpts</vt:lpstr>
      <vt:lpstr>chambonfrawxvptscorrect</vt:lpstr>
      <vt:lpstr>chambonfrawxvtries</vt:lpstr>
      <vt:lpstr>chambonfrawxvtriescorrect</vt:lpstr>
      <vt:lpstr>champonfrawxvpts</vt:lpstr>
      <vt:lpstr>champonfrawxvtries</vt:lpstr>
      <vt:lpstr>chancellorauswxvpts</vt:lpstr>
      <vt:lpstr>chancellorauswxvtries</vt:lpstr>
      <vt:lpstr>ClappUSAP4pts</vt:lpstr>
      <vt:lpstr>ClappUSAp4tries</vt:lpstr>
      <vt:lpstr>clappusawxvpts</vt:lpstr>
      <vt:lpstr>clappusawxvtries</vt:lpstr>
      <vt:lpstr>Cleall_Penftries</vt:lpstr>
      <vt:lpstr>Cleall_Pengpts</vt:lpstr>
      <vt:lpstr>Cliffordeng6npts</vt:lpstr>
      <vt:lpstr>Cliffordeng6ntries</vt:lpstr>
      <vt:lpstr>Cliffordeng6ntriescorrect</vt:lpstr>
      <vt:lpstr>cliffordengwxvpts</vt:lpstr>
      <vt:lpstr>cliffordengwxvtries</vt:lpstr>
      <vt:lpstr>Clinecanp4pts</vt:lpstr>
      <vt:lpstr>Clinecanp4tries</vt:lpstr>
      <vt:lpstr>Cokayneeng6npts</vt:lpstr>
      <vt:lpstr>Cokayneeng6ntries</vt:lpstr>
      <vt:lpstr>cokayneengwxvpts</vt:lpstr>
      <vt:lpstr>cokayneengwxvtries</vt:lpstr>
      <vt:lpstr>Conanire6npts</vt:lpstr>
      <vt:lpstr>Conanire6ntries</vt:lpstr>
      <vt:lpstr>ConnornzlP4tries</vt:lpstr>
      <vt:lpstr>ConnorrnzlP4pts</vt:lpstr>
      <vt:lpstr>Conwayire6npts</vt:lpstr>
      <vt:lpstr>Conwayire6ntries</vt:lpstr>
      <vt:lpstr>corradiniitawxvpts</vt:lpstr>
      <vt:lpstr>corradiniitawxvtries</vt:lpstr>
      <vt:lpstr>Corrigancanp4pts</vt:lpstr>
      <vt:lpstr>Corrigancanp4tries</vt:lpstr>
      <vt:lpstr>corrigancanwxvpts</vt:lpstr>
      <vt:lpstr>corrigancanwxvtries</vt:lpstr>
      <vt:lpstr>Corriganire6npts</vt:lpstr>
      <vt:lpstr>Corriganire6ntries</vt:lpstr>
      <vt:lpstr>costiganirewxvpts</vt:lpstr>
      <vt:lpstr>costiganirewxvtries</vt:lpstr>
      <vt:lpstr>coulibalyusawxpts</vt:lpstr>
      <vt:lpstr>coulibalyusawxtries</vt:lpstr>
      <vt:lpstr>Cowellengpts</vt:lpstr>
      <vt:lpstr>Cowellengtries</vt:lpstr>
      <vt:lpstr>coxwalwxvtries</vt:lpstr>
      <vt:lpstr>coxwalwxvtriespts</vt:lpstr>
      <vt:lpstr>Crabbwal6npts</vt:lpstr>
      <vt:lpstr>Crabbwal6ntries</vt:lpstr>
      <vt:lpstr>cramerausP4att</vt:lpstr>
      <vt:lpstr>CramerausP4gls</vt:lpstr>
      <vt:lpstr>Cramerausp4pts</vt:lpstr>
      <vt:lpstr>Cramerausp4tries</vt:lpstr>
      <vt:lpstr>cramerauswxvpts</vt:lpstr>
      <vt:lpstr>cramerauswxvtries</vt:lpstr>
      <vt:lpstr>croninire6natt</vt:lpstr>
      <vt:lpstr>Croninire6ngls</vt:lpstr>
      <vt:lpstr>Croninire6npts</vt:lpstr>
      <vt:lpstr>Croninire6ntries</vt:lpstr>
      <vt:lpstr>crossleycanwxvpts</vt:lpstr>
      <vt:lpstr>crossleycanwxvtries</vt:lpstr>
      <vt:lpstr>Croweire6npts</vt:lpstr>
      <vt:lpstr>Croweire6ntries</vt:lpstr>
      <vt:lpstr>d_Incaita6natt</vt:lpstr>
      <vt:lpstr>d_Incaita6ngls</vt:lpstr>
      <vt:lpstr>D_Incaita6npts</vt:lpstr>
      <vt:lpstr>D_Incaita6ntries</vt:lpstr>
      <vt:lpstr>d_Incaitayratt</vt:lpstr>
      <vt:lpstr>d_Incaitayrgls</vt:lpstr>
      <vt:lpstr>Dallavallewal6npts</vt:lpstr>
      <vt:lpstr>Dallavallewal6ntries</vt:lpstr>
      <vt:lpstr>dallingerauswxvatt</vt:lpstr>
      <vt:lpstr>Dallingerauswxvgls</vt:lpstr>
      <vt:lpstr>dallingerauswxvpts</vt:lpstr>
      <vt:lpstr>dallingerauswxvtries</vt:lpstr>
      <vt:lpstr>Daltonire6npts</vt:lpstr>
      <vt:lpstr>Daltonire6ntries</vt:lpstr>
      <vt:lpstr>Dalyeng6npts</vt:lpstr>
      <vt:lpstr>Dalyeng6ntries</vt:lpstr>
      <vt:lpstr>Dantyfra6npts</vt:lpstr>
      <vt:lpstr>Dantyfra6ntries</vt:lpstr>
      <vt:lpstr>Dargesco6npts</vt:lpstr>
      <vt:lpstr>Dargesco6ntries</vt:lpstr>
      <vt:lpstr>De_Goedecanp4att</vt:lpstr>
      <vt:lpstr>De_Goedecanp4gls</vt:lpstr>
      <vt:lpstr>de_Goedecanp4pts</vt:lpstr>
      <vt:lpstr>de_Goedecanp4tries</vt:lpstr>
      <vt:lpstr>de_Goedecanwxvatt</vt:lpstr>
      <vt:lpstr>de_Goedecanwxvgls</vt:lpstr>
      <vt:lpstr>degoedecanwxvpts</vt:lpstr>
      <vt:lpstr>degoedecanwxvtries</vt:lpstr>
      <vt:lpstr>Demantnzlp4att</vt:lpstr>
      <vt:lpstr>Demantnzlp4attcorrect</vt:lpstr>
      <vt:lpstr>Demantnzlp4gls</vt:lpstr>
      <vt:lpstr>DemantnzlP4pts</vt:lpstr>
      <vt:lpstr>DemantnzlP4tries</vt:lpstr>
      <vt:lpstr>Demantnzlwxvatt</vt:lpstr>
      <vt:lpstr>Demantnzlwxvgls</vt:lpstr>
      <vt:lpstr>demantnzlwxvpts</vt:lpstr>
      <vt:lpstr>demantnzlwxvtries</vt:lpstr>
      <vt:lpstr>DeMerchantcanP4pts</vt:lpstr>
      <vt:lpstr>DeMerchantcanP4tries</vt:lpstr>
      <vt:lpstr>demerchantcanwxvpts</vt:lpstr>
      <vt:lpstr>demerchantcanwxvtries</vt:lpstr>
      <vt:lpstr>deshayefrawxvpts</vt:lpstr>
      <vt:lpstr>deshayefrawxvtries</vt:lpstr>
      <vt:lpstr>DetiveauxUSAP4pts</vt:lpstr>
      <vt:lpstr>DetiveauxUSAP4tries</vt:lpstr>
      <vt:lpstr>dincaitawxvpts</vt:lpstr>
      <vt:lpstr>dincaitawxvtries</vt:lpstr>
      <vt:lpstr>djougangirewxvpts</vt:lpstr>
      <vt:lpstr>djougangirewxvtries</vt:lpstr>
      <vt:lpstr>dolfrsawxvpts</vt:lpstr>
      <vt:lpstr>dolfrsawxvtries</vt:lpstr>
      <vt:lpstr>Dombrandteng6npts</vt:lpstr>
      <vt:lpstr>Dombrandteng6ntries</vt:lpstr>
      <vt:lpstr>Dowengpts</vt:lpstr>
      <vt:lpstr>Dowengtries</vt:lpstr>
      <vt:lpstr>dowengwxvpts</vt:lpstr>
      <vt:lpstr>dowengwxvtries</vt:lpstr>
      <vt:lpstr>drouinfra6natt</vt:lpstr>
      <vt:lpstr>Drouinfra6ngls</vt:lpstr>
      <vt:lpstr>Drouinfra6npts</vt:lpstr>
      <vt:lpstr>Drouinfra6ntries</vt:lpstr>
      <vt:lpstr>du_PlessisnzlP4pts</vt:lpstr>
      <vt:lpstr>du_PlessisnzlP4tries</vt:lpstr>
      <vt:lpstr>ducautawxvpts</vt:lpstr>
      <vt:lpstr>ducautawxvtrie</vt:lpstr>
      <vt:lpstr>dumkersawxvpts</vt:lpstr>
      <vt:lpstr>dumkersawxvtries</vt:lpstr>
      <vt:lpstr>duplessisnzlwxvpts</vt:lpstr>
      <vt:lpstr>duplessisnzlwxvtries</vt:lpstr>
      <vt:lpstr>DupontFRA6NPTS</vt:lpstr>
      <vt:lpstr>DupontFRA6NTRIES</vt:lpstr>
      <vt:lpstr>EscuderoFRA6NPTS</vt:lpstr>
      <vt:lpstr>EscuderoFRA6NTRIES</vt:lpstr>
      <vt:lpstr>escuderofrawxpts</vt:lpstr>
      <vt:lpstr>escuderofrawxtries</vt:lpstr>
      <vt:lpstr>evanswalwxvpts</vt:lpstr>
      <vt:lpstr>evanswalwxvtries</vt:lpstr>
      <vt:lpstr>Farrelleng6Ngatt</vt:lpstr>
      <vt:lpstr>Farrelleng6Ngoals</vt:lpstr>
      <vt:lpstr>farriescanwxvpts</vt:lpstr>
      <vt:lpstr>farriescanwxvtries</vt:lpstr>
      <vt:lpstr>Feaunatieng6npts</vt:lpstr>
      <vt:lpstr>Feaunatieng6ntries</vt:lpstr>
      <vt:lpstr>feaunatiengwxvpts</vt:lpstr>
      <vt:lpstr>feaunatiengwxvtries</vt:lpstr>
      <vt:lpstr>Fedrighiita6npts</vt:lpstr>
      <vt:lpstr>Fedrighiita6ntries</vt:lpstr>
      <vt:lpstr>fedrighiitawxvpts</vt:lpstr>
      <vt:lpstr>fedrighiitawxvtries</vt:lpstr>
      <vt:lpstr>Feleu_Tfra6npts</vt:lpstr>
      <vt:lpstr>Feleu_Tfra6Ntries</vt:lpstr>
      <vt:lpstr>Feuryusawxvatt</vt:lpstr>
      <vt:lpstr>Feuryusawxvgls</vt:lpstr>
      <vt:lpstr>feuryusawxvpts</vt:lpstr>
      <vt:lpstr>feuryusawxvtries</vt:lpstr>
      <vt:lpstr>Fickoufra6npts</vt:lpstr>
      <vt:lpstr>Fickoufra6ntries</vt:lpstr>
      <vt:lpstr>Flemingwal6npts</vt:lpstr>
      <vt:lpstr>Flemingwal6ntries</vt:lpstr>
      <vt:lpstr>flemingwalwxvpts</vt:lpstr>
      <vt:lpstr>flemingwalwxvtries</vt:lpstr>
      <vt:lpstr>floodirewxvpts</vt:lpstr>
      <vt:lpstr>floodirewxvtries</vt:lpstr>
      <vt:lpstr>Fordeng6ngatt</vt:lpstr>
      <vt:lpstr>Fordeng6ngoals</vt:lpstr>
      <vt:lpstr>Forlanifra6npts</vt:lpstr>
      <vt:lpstr>Forlanifra6ntries</vt:lpstr>
      <vt:lpstr>fortezacanP4pts</vt:lpstr>
      <vt:lpstr>FortezacanP4tries</vt:lpstr>
      <vt:lpstr>fortezacanwxvpts</vt:lpstr>
      <vt:lpstr>fortezacanwxvtries</vt:lpstr>
      <vt:lpstr>Fowley6nireatt</vt:lpstr>
      <vt:lpstr>Fowley6niregls</vt:lpstr>
      <vt:lpstr>FriedrichsausP4pts</vt:lpstr>
      <vt:lpstr>FriedrichsausP4tries</vt:lpstr>
      <vt:lpstr>friedrichsauswxvpts</vt:lpstr>
      <vt:lpstr>friedrichsauswxvtries</vt:lpstr>
      <vt:lpstr>Frydayire6npts</vt:lpstr>
      <vt:lpstr>Frydayire6ntries</vt:lpstr>
      <vt:lpstr>Gaffneysco6npts</vt:lpstr>
      <vt:lpstr>Gaffneysco6ntries</vt:lpstr>
      <vt:lpstr>gaffneyscointpts</vt:lpstr>
      <vt:lpstr>gaffneyscointtries</vt:lpstr>
      <vt:lpstr>Gagop4nzlpts</vt:lpstr>
      <vt:lpstr>Gagop4nzltries</vt:lpstr>
      <vt:lpstr>Gallaghercanp4att</vt:lpstr>
      <vt:lpstr>Gallaghercanp4gls</vt:lpstr>
      <vt:lpstr>Gallaghercanp4pts</vt:lpstr>
      <vt:lpstr>Gallaghercanp4tries</vt:lpstr>
      <vt:lpstr>gallaghercanyratt</vt:lpstr>
      <vt:lpstr>Gallaghercanyrgls</vt:lpstr>
      <vt:lpstr>gallagherscowxvpts</vt:lpstr>
      <vt:lpstr>gallagherscowxvtries</vt:lpstr>
      <vt:lpstr>Galliganeng6npts</vt:lpstr>
      <vt:lpstr>Galliganeng6ntries</vt:lpstr>
      <vt:lpstr>Garbisiita6npts</vt:lpstr>
      <vt:lpstr>Georgeeng6npts</vt:lpstr>
      <vt:lpstr>Georgeeng6ntries</vt:lpstr>
      <vt:lpstr>Georgewal6natt</vt:lpstr>
      <vt:lpstr>Georgewal6ngls</vt:lpstr>
      <vt:lpstr>Georgewal6npts</vt:lpstr>
      <vt:lpstr>Georgewal6ntries</vt:lpstr>
      <vt:lpstr>georgewalwxvatt</vt:lpstr>
      <vt:lpstr>Georgewalwxvgls</vt:lpstr>
      <vt:lpstr>Georgewalyratt</vt:lpstr>
      <vt:lpstr>Georgewalyrgls</vt:lpstr>
      <vt:lpstr>gerinfrawxvpts</vt:lpstr>
      <vt:lpstr>gerinfrawxvtries</vt:lpstr>
      <vt:lpstr>Gibson_Parkire6npts</vt:lpstr>
      <vt:lpstr>Gibson_Parkire6ntries</vt:lpstr>
      <vt:lpstr>giordanoitawxvpts</vt:lpstr>
      <vt:lpstr>giordanoitawxvtries</vt:lpstr>
      <vt:lpstr>Grahamsco6npts</vt:lpstr>
      <vt:lpstr>Grahamsco6ntries</vt:lpstr>
      <vt:lpstr>grahamscopts</vt:lpstr>
      <vt:lpstr>grahamscotries</vt:lpstr>
      <vt:lpstr>Grantcanp4pts</vt:lpstr>
      <vt:lpstr>Grantcanp4tries</vt:lpstr>
      <vt:lpstr>grantcanwxvpts</vt:lpstr>
      <vt:lpstr>grantcanwxvtries</vt:lpstr>
      <vt:lpstr>Grantsco6npts</vt:lpstr>
      <vt:lpstr>Grantsco6ntries</vt:lpstr>
      <vt:lpstr>grantscowxvpts</vt:lpstr>
      <vt:lpstr>grantscowxvtries</vt:lpstr>
      <vt:lpstr>Granzottoita6npts</vt:lpstr>
      <vt:lpstr>Granzottoita6ntries</vt:lpstr>
      <vt:lpstr>granzottoitawxvpts</vt:lpstr>
      <vt:lpstr>granzottoitawxvtries</vt:lpstr>
      <vt:lpstr>Grisezfra6npts</vt:lpstr>
      <vt:lpstr>Grisezfra6ntries</vt:lpstr>
      <vt:lpstr>grisezfrawxvpts</vt:lpstr>
      <vt:lpstr>grisezfrawxvtries</vt:lpstr>
      <vt:lpstr>halseauswxvpts</vt:lpstr>
      <vt:lpstr>halseauswxvtries</vt:lpstr>
      <vt:lpstr>HamiltonausP4pts</vt:lpstr>
      <vt:lpstr>HamiltonausP4tries</vt:lpstr>
      <vt:lpstr>Hansenire6npts</vt:lpstr>
      <vt:lpstr>Hansenire6nries</vt:lpstr>
      <vt:lpstr>HardyWAL6NPTS</vt:lpstr>
      <vt:lpstr>HardyWAL6NTRIES</vt:lpstr>
      <vt:lpstr>Harrieswal6npts</vt:lpstr>
      <vt:lpstr>Harrieswal6ntries</vt:lpstr>
      <vt:lpstr>harrisoneng6natt</vt:lpstr>
      <vt:lpstr>Harrisoneng6ngls</vt:lpstr>
      <vt:lpstr>Harrisoneng6npts</vt:lpstr>
      <vt:lpstr>Harrisoneng6ntries</vt:lpstr>
      <vt:lpstr>Harrisonengwxvatt</vt:lpstr>
      <vt:lpstr>Harrisonengwxvgls</vt:lpstr>
      <vt:lpstr>harrisonengwxvpts</vt:lpstr>
      <vt:lpstr>harrisonengwxvtries</vt:lpstr>
      <vt:lpstr>Harrisonengyratt</vt:lpstr>
      <vt:lpstr>Harrisonengyrgls</vt:lpstr>
      <vt:lpstr>HarrisSCO6NPTS</vt:lpstr>
      <vt:lpstr>HarrisSCO6NTRIES</vt:lpstr>
      <vt:lpstr>Hartryscorers</vt:lpstr>
      <vt:lpstr>hatadajpnwxvpts</vt:lpstr>
      <vt:lpstr>hatadajpnwxvtries</vt:lpstr>
      <vt:lpstr>hawkinsUSAp4att</vt:lpstr>
      <vt:lpstr>HawkinsUSAp4gls</vt:lpstr>
      <vt:lpstr>HawkinsUSAP4pts</vt:lpstr>
      <vt:lpstr>Hawkinsusap4tries</vt:lpstr>
      <vt:lpstr>Hawkinsusawxvatt</vt:lpstr>
      <vt:lpstr>Hawkinsusawxvgls</vt:lpstr>
      <vt:lpstr>hawkinsusawxvpts</vt:lpstr>
      <vt:lpstr>hawkinsusawxvtries</vt:lpstr>
      <vt:lpstr>helersawxvpts</vt:lpstr>
      <vt:lpstr>helersawxvtries</vt:lpstr>
      <vt:lpstr>Henrichusap4pts</vt:lpstr>
      <vt:lpstr>Henrichusap4tries</vt:lpstr>
      <vt:lpstr>Hermetfra6npts</vt:lpstr>
      <vt:lpstr>Hermetfra6ntries</vt:lpstr>
      <vt:lpstr>Higginsire6npts</vt:lpstr>
      <vt:lpstr>Higginsire6ntries</vt:lpstr>
      <vt:lpstr>higginsirewxvpts</vt:lpstr>
      <vt:lpstr>higginsirewxvtries</vt:lpstr>
      <vt:lpstr>Hinganousap4pts</vt:lpstr>
      <vt:lpstr>Hinganousap4tries</vt:lpstr>
      <vt:lpstr>hinganousawxvpts</vt:lpstr>
      <vt:lpstr>hinganousawxvtries</vt:lpstr>
      <vt:lpstr>hirotsujpnwxvpts</vt:lpstr>
      <vt:lpstr>hirotsujpnwxvtries</vt:lpstr>
      <vt:lpstr>hirotsupnwxvpts</vt:lpstr>
      <vt:lpstr>hirotsupnwxvtries</vt:lpstr>
      <vt:lpstr>Hogan_Rochestercanp4pts</vt:lpstr>
      <vt:lpstr>Hogan_Rochestercanp4tries</vt:lpstr>
      <vt:lpstr>Hoganire6npts</vt:lpstr>
      <vt:lpstr>Hoganire6ntries</vt:lpstr>
      <vt:lpstr>hoganrochestercanwxvpts</vt:lpstr>
      <vt:lpstr>hoganrochestercanwxvtries</vt:lpstr>
      <vt:lpstr>HohalanzlP4pts</vt:lpstr>
      <vt:lpstr>HohalanzlP4tries</vt:lpstr>
      <vt:lpstr>holmesnzlP4att</vt:lpstr>
      <vt:lpstr>HolmesnzlP4gls</vt:lpstr>
      <vt:lpstr>HolmesnzlP4pts</vt:lpstr>
      <vt:lpstr>HolmesnzlP4tries</vt:lpstr>
      <vt:lpstr>Holmesnzlwxvatt</vt:lpstr>
      <vt:lpstr>Holmesnzlwxvgls</vt:lpstr>
      <vt:lpstr>holmesnzlwxvpts</vt:lpstr>
      <vt:lpstr>holmesnzlwxvtries</vt:lpstr>
      <vt:lpstr>Holmesnzlyratt</vt:lpstr>
      <vt:lpstr>Holmesnzlyrgls</vt:lpstr>
      <vt:lpstr>Hopkinswal6npts</vt:lpstr>
      <vt:lpstr>Hopkinswal6ntries</vt:lpstr>
      <vt:lpstr>Huntcanp4pts</vt:lpstr>
      <vt:lpstr>Huntcanp4tries</vt:lpstr>
      <vt:lpstr>huntcanwxvpts</vt:lpstr>
      <vt:lpstr>huntcanwxvtries</vt:lpstr>
      <vt:lpstr>Huntereng6npts</vt:lpstr>
      <vt:lpstr>Huntereng6ntries</vt:lpstr>
      <vt:lpstr>imakugijpnwxvpts</vt:lpstr>
      <vt:lpstr>imakugijpnwxvtries</vt:lpstr>
      <vt:lpstr>Infanteengpts</vt:lpstr>
      <vt:lpstr>Infanteengtries</vt:lpstr>
      <vt:lpstr>jacobsrsawxvpts</vt:lpstr>
      <vt:lpstr>jacobsrsawxvtries</vt:lpstr>
      <vt:lpstr>jacobyusawxvpts</vt:lpstr>
      <vt:lpstr>jacobyusawxvtries</vt:lpstr>
      <vt:lpstr>Jacquetfra6npts</vt:lpstr>
      <vt:lpstr>Jacquetfra6ntries</vt:lpstr>
      <vt:lpstr>Jaminetfra6npts</vt:lpstr>
      <vt:lpstr>Janse_v_Rensburgrsawxvatt</vt:lpstr>
      <vt:lpstr>Janse_v_Rensburgrsawxvgls</vt:lpstr>
      <vt:lpstr>jansevanrensburgrsawxvpts</vt:lpstr>
      <vt:lpstr>jansevanrensburgrsawxvtries</vt:lpstr>
      <vt:lpstr>jarrellsearcyusawxvpts</vt:lpstr>
      <vt:lpstr>jarrellsearcyusawxvtries</vt:lpstr>
      <vt:lpstr>Jelonchfra6npts</vt:lpstr>
      <vt:lpstr>Jelonchfra6ntries</vt:lpstr>
      <vt:lpstr>jenkinsnzlwxvpts</vt:lpstr>
      <vt:lpstr>jenkinsnzlwxvtries</vt:lpstr>
      <vt:lpstr>Johnson_Rusap4pts</vt:lpstr>
      <vt:lpstr>Johnson_Rusap4tries</vt:lpstr>
      <vt:lpstr>johnsonrusawxvpts</vt:lpstr>
      <vt:lpstr>johnsonrusawxvtries</vt:lpstr>
      <vt:lpstr>Johnsonsco6npts</vt:lpstr>
      <vt:lpstr>JohnsonSCO6NTRIES</vt:lpstr>
      <vt:lpstr>Jones_Kwal6npts</vt:lpstr>
      <vt:lpstr>Jones_Kwal6ntries</vt:lpstr>
      <vt:lpstr>joneseng6natt</vt:lpstr>
      <vt:lpstr>Joneseng6ngls</vt:lpstr>
      <vt:lpstr>Joneseng6npts</vt:lpstr>
      <vt:lpstr>Joneseng6ntries</vt:lpstr>
      <vt:lpstr>jonesengwxvpts</vt:lpstr>
      <vt:lpstr>jonesengwxvtries</vt:lpstr>
      <vt:lpstr>jonesirewxvpts</vt:lpstr>
      <vt:lpstr>jonesirewxvtries</vt:lpstr>
      <vt:lpstr>joneskwalwxvpts</vt:lpstr>
      <vt:lpstr>joneskwalwxvtries</vt:lpstr>
      <vt:lpstr>Jonesmengatt</vt:lpstr>
      <vt:lpstr>Jonesmenggls</vt:lpstr>
      <vt:lpstr>josephnzlwxvpts</vt:lpstr>
      <vt:lpstr>josephnzlwxvtries</vt:lpstr>
      <vt:lpstr>Joyeuxfra6npts</vt:lpstr>
      <vt:lpstr>Joyeuxfra6ntries</vt:lpstr>
      <vt:lpstr>Kabeyaeng6npts</vt:lpstr>
      <vt:lpstr>Kabeyaeng6ntries</vt:lpstr>
      <vt:lpstr>kabeyaengwxvpts</vt:lpstr>
      <vt:lpstr>kabeyaengWXVtries</vt:lpstr>
      <vt:lpstr>kalouivalenzlwxvpts</vt:lpstr>
      <vt:lpstr>kalouivalenzlwxvtries</vt:lpstr>
      <vt:lpstr>KalounivalenzlP4pts</vt:lpstr>
      <vt:lpstr>KalounivalenzlP4tries</vt:lpstr>
      <vt:lpstr>KarpaniausP4pts</vt:lpstr>
      <vt:lpstr>KarpaniausP4tries</vt:lpstr>
      <vt:lpstr>karpaniauswxvpts</vt:lpstr>
      <vt:lpstr>karpaniauswxvtries</vt:lpstr>
      <vt:lpstr>kassilcanwxvpts</vt:lpstr>
      <vt:lpstr>kassilcanwxvtries</vt:lpstr>
      <vt:lpstr>kawamurajpnwxvpts</vt:lpstr>
      <vt:lpstr>kawamurajpnwxvtries</vt:lpstr>
      <vt:lpstr>Keenanire6npts</vt:lpstr>
      <vt:lpstr>Keenanire6ntries</vt:lpstr>
      <vt:lpstr>Kelterusap4pts</vt:lpstr>
      <vt:lpstr>Kelterusap4tries</vt:lpstr>
      <vt:lpstr>Khalfaouifra6npts</vt:lpstr>
      <vt:lpstr>Khalfaouifra6ntries</vt:lpstr>
      <vt:lpstr>khalfaouifrawxvpts</vt:lpstr>
      <vt:lpstr>khalfaouifrawxvtries</vt:lpstr>
      <vt:lpstr>Kildunneeng6npts</vt:lpstr>
      <vt:lpstr>Kildunneeng6ntries</vt:lpstr>
      <vt:lpstr>kildunneengwxvpts</vt:lpstr>
      <vt:lpstr>kildunneengwxvtries</vt:lpstr>
      <vt:lpstr>Kingire6ngls</vt:lpstr>
      <vt:lpstr>Kingire6npts</vt:lpstr>
      <vt:lpstr>kingire6ntries</vt:lpstr>
      <vt:lpstr>kingnzlp4att</vt:lpstr>
      <vt:lpstr>Kingnzlp4gls</vt:lpstr>
      <vt:lpstr>Kingnzlp4pts</vt:lpstr>
      <vt:lpstr>Kingnzlp4tries</vt:lpstr>
      <vt:lpstr>Kingnzlwxvatt</vt:lpstr>
      <vt:lpstr>Kingnzlwxvgls</vt:lpstr>
      <vt:lpstr>kitanojpnwxvpts</vt:lpstr>
      <vt:lpstr>kitanojpnwxvtries</vt:lpstr>
      <vt:lpstr>Kochhannbrawxvpts</vt:lpstr>
      <vt:lpstr>Kochhannbrawxvtries</vt:lpstr>
      <vt:lpstr>komaitaifijwxvpts</vt:lpstr>
      <vt:lpstr>komaitaifijwxvtries</vt:lpstr>
      <vt:lpstr>Kondefra6npts</vt:lpstr>
      <vt:lpstr>Kondefra6ntries</vt:lpstr>
      <vt:lpstr>kondefrawxvpts</vt:lpstr>
      <vt:lpstr>kondefrawxvtries</vt:lpstr>
      <vt:lpstr>konkelintries</vt:lpstr>
      <vt:lpstr>Konkelscopts</vt:lpstr>
      <vt:lpstr>Konkelscotries</vt:lpstr>
      <vt:lpstr>koraijpnwxvpts</vt:lpstr>
      <vt:lpstr>koraijpnwxvtries</vt:lpstr>
      <vt:lpstr>Lachancecanp4pts</vt:lpstr>
      <vt:lpstr>Lachancecanp4tries</vt:lpstr>
      <vt:lpstr>lachancecanwxvpts</vt:lpstr>
      <vt:lpstr>lachancecanwxvtries</vt:lpstr>
      <vt:lpstr>Lakewal6npts</vt:lpstr>
      <vt:lpstr>Lakewal6ntries</vt:lpstr>
      <vt:lpstr>Laneire6npts</vt:lpstr>
      <vt:lpstr>Laneire6ntries</vt:lpstr>
      <vt:lpstr>LATSHARSAWXVPTS</vt:lpstr>
      <vt:lpstr>LATSHARSAWXVTRIES</vt:lpstr>
      <vt:lpstr>lawscointpts</vt:lpstr>
      <vt:lpstr>ledingtonausintpts</vt:lpstr>
      <vt:lpstr>ledingtonausinttries</vt:lpstr>
      <vt:lpstr>Leti_l_iganzlp4pts</vt:lpstr>
      <vt:lpstr>Leti_l_iganzlp4tries</vt:lpstr>
      <vt:lpstr>letiiiganzlwxvpts</vt:lpstr>
      <vt:lpstr>letiiiganzlwxvtries</vt:lpstr>
      <vt:lpstr>Lewis_Bwal6npts</vt:lpstr>
      <vt:lpstr>Lewis_Bwal6ntries</vt:lpstr>
      <vt:lpstr>Lewis_Fwal6npts</vt:lpstr>
      <vt:lpstr>Lewis_Fwal6ntries</vt:lpstr>
      <vt:lpstr>Llorensfra6npts</vt:lpstr>
      <vt:lpstr>Llorensfra6ntries</vt:lpstr>
      <vt:lpstr>Lloydsco6npts</vt:lpstr>
      <vt:lpstr>Lloydscointpts</vt:lpstr>
      <vt:lpstr>lloydscointptscorrect</vt:lpstr>
      <vt:lpstr>lloydscointtries</vt:lpstr>
      <vt:lpstr>lloydscowxvpts</vt:lpstr>
      <vt:lpstr>lloydscowxvtries</vt:lpstr>
      <vt:lpstr>Lloydscpo6ntries</vt:lpstr>
      <vt:lpstr>lomanifijwvpts</vt:lpstr>
      <vt:lpstr>lomanifijwvtries</vt:lpstr>
      <vt:lpstr>Lovenzlp4pts</vt:lpstr>
      <vt:lpstr>Lovenzlp4tries</vt:lpstr>
      <vt:lpstr>Loweire6npts</vt:lpstr>
      <vt:lpstr>Loweire6ntries</vt:lpstr>
      <vt:lpstr>Lowryire6npts</vt:lpstr>
      <vt:lpstr>Lowryire6ntries</vt:lpstr>
      <vt:lpstr>Lutuieng6npts</vt:lpstr>
      <vt:lpstr>Lutuieng6ntries</vt:lpstr>
      <vt:lpstr>MacDonaldeng6npts</vt:lpstr>
      <vt:lpstr>MacDonaldeng6ntries</vt:lpstr>
      <vt:lpstr>macdonaldengwxvpts</vt:lpstr>
      <vt:lpstr>macdonaldengwxvtries</vt:lpstr>
      <vt:lpstr>Madiaita6npts</vt:lpstr>
      <vt:lpstr>Madiaita6ntries</vt:lpstr>
      <vt:lpstr>makuarsawxvpts</vt:lpstr>
      <vt:lpstr>makuarsawxvtries</vt:lpstr>
      <vt:lpstr>Malcolmsco6npts</vt:lpstr>
      <vt:lpstr>Malcolmsco6ntries</vt:lpstr>
      <vt:lpstr>Malieponzlp4pts</vt:lpstr>
      <vt:lpstr>Malieponzlp4tries</vt:lpstr>
      <vt:lpstr>malingarsawxvpts</vt:lpstr>
      <vt:lpstr>malingarsawxvtries</vt:lpstr>
      <vt:lpstr>mannianiitawxvpts</vt:lpstr>
      <vt:lpstr>mannianiitawxvtries</vt:lpstr>
      <vt:lpstr>Marino_Tauhinunzlp4pts</vt:lpstr>
      <vt:lpstr>Marino_Tauhinunzlp4tries</vt:lpstr>
      <vt:lpstr>Marstersausp4pts</vt:lpstr>
      <vt:lpstr>Marstersausp4tries</vt:lpstr>
      <vt:lpstr>marstersauswxvpts</vt:lpstr>
      <vt:lpstr>marstersauswxvtries</vt:lpstr>
      <vt:lpstr>Martinsco6npts</vt:lpstr>
      <vt:lpstr>Martinsco6ntries</vt:lpstr>
      <vt:lpstr>matsumurajpnwxvpts</vt:lpstr>
      <vt:lpstr>matsumurajpnwxvtries</vt:lpstr>
      <vt:lpstr>matthewsengwxvpts</vt:lpstr>
      <vt:lpstr>matthewsengwxvtries</vt:lpstr>
      <vt:lpstr>mcatshulwarsawxvpts</vt:lpstr>
      <vt:lpstr>mcatshulwarsawxvtries</vt:lpstr>
      <vt:lpstr>McGannire6npts</vt:lpstr>
      <vt:lpstr>McGannire6ntries</vt:lpstr>
      <vt:lpstr>mcgannirewxpts</vt:lpstr>
      <vt:lpstr>mcgannirewxtries</vt:lpstr>
      <vt:lpstr>McGhiesco6npts</vt:lpstr>
      <vt:lpstr>McGhiesco6ntries</vt:lpstr>
      <vt:lpstr>mcghiescowxvpts</vt:lpstr>
      <vt:lpstr>mcghiescowxvtries</vt:lpstr>
      <vt:lpstr>McKennaeng6npts</vt:lpstr>
      <vt:lpstr>McKennaeng6ntries</vt:lpstr>
      <vt:lpstr>mckenzieausP4att</vt:lpstr>
      <vt:lpstr>McKenzieausP4gls</vt:lpstr>
      <vt:lpstr>McKenzieausP4pts</vt:lpstr>
      <vt:lpstr>McKenzieausp4tries</vt:lpstr>
      <vt:lpstr>McKenzieauswxvatt</vt:lpstr>
      <vt:lpstr>McKenzieauswxvgls</vt:lpstr>
      <vt:lpstr>mckenzieauswxvpts</vt:lpstr>
      <vt:lpstr>mckenzieauswxvtries</vt:lpstr>
      <vt:lpstr>McLachlansco6npts</vt:lpstr>
      <vt:lpstr>McLachlansco6ntries</vt:lpstr>
      <vt:lpstr>Menager_Mfra6npts</vt:lpstr>
      <vt:lpstr>Menager_Mfra6ntries</vt:lpstr>
      <vt:lpstr>menagerfrawxvpts</vt:lpstr>
      <vt:lpstr>menagerfrawxvtries</vt:lpstr>
      <vt:lpstr>Menincanp4pts</vt:lpstr>
      <vt:lpstr>Menincanp4tries</vt:lpstr>
      <vt:lpstr>Menoncelloita6npts</vt:lpstr>
      <vt:lpstr>Menoncelloita6ntries</vt:lpstr>
      <vt:lpstr>Mikaele_Tu_unzlp4pts</vt:lpstr>
      <vt:lpstr>Mikaele_Tu_unzlp4tries</vt:lpstr>
      <vt:lpstr>MikaeleTuunzlwxvpts</vt:lpstr>
      <vt:lpstr>MikaeleTuunzlwxvtries</vt:lpstr>
      <vt:lpstr>millerasusintpts</vt:lpstr>
      <vt:lpstr>millerasusinttries</vt:lpstr>
      <vt:lpstr>Millerausp4pts</vt:lpstr>
      <vt:lpstr>Millerausp4tries</vt:lpstr>
      <vt:lpstr>millerauswxvpts</vt:lpstr>
      <vt:lpstr>millerauswxvtries</vt:lpstr>
      <vt:lpstr>millerausyratt</vt:lpstr>
      <vt:lpstr>millerausyrgls</vt:lpstr>
      <vt:lpstr>millernzlwxvpts</vt:lpstr>
      <vt:lpstr>millernzlwxvtries</vt:lpstr>
      <vt:lpstr>Minuzziita6npts</vt:lpstr>
      <vt:lpstr>Minuzziita6ntries</vt:lpstr>
      <vt:lpstr>minuzziitawxvpts</vt:lpstr>
      <vt:lpstr>minuzziitawxvtries</vt:lpstr>
      <vt:lpstr>Moefana6npts</vt:lpstr>
      <vt:lpstr>Moefanafra6ntries</vt:lpstr>
      <vt:lpstr>Molekaausp4att</vt:lpstr>
      <vt:lpstr>Molekaausp4gls</vt:lpstr>
      <vt:lpstr>Molekaausp4pts</vt:lpstr>
      <vt:lpstr>Molekaausp4tries</vt:lpstr>
      <vt:lpstr>Moloneyire6npts</vt:lpstr>
      <vt:lpstr>Moloneyire6ntries</vt:lpstr>
      <vt:lpstr>mooreirewxvpts</vt:lpstr>
      <vt:lpstr>mooreirewxvtries</vt:lpstr>
      <vt:lpstr>morlandfrawxvpts</vt:lpstr>
      <vt:lpstr>morlandfrawxvtries</vt:lpstr>
      <vt:lpstr>Muireng6npts</vt:lpstr>
      <vt:lpstr>Muireng6ntries</vt:lpstr>
      <vt:lpstr>muirengwxvpts</vt:lpstr>
      <vt:lpstr>muirengwxvtries</vt:lpstr>
      <vt:lpstr>Muzzoita6npts</vt:lpstr>
      <vt:lpstr>Muzzoita6ntries</vt:lpstr>
      <vt:lpstr>muzzoitawxvpts</vt:lpstr>
      <vt:lpstr>muzzoitawxvtries</vt:lpstr>
      <vt:lpstr>Nadenausp4pts</vt:lpstr>
      <vt:lpstr>Nadenausp4tries</vt:lpstr>
      <vt:lpstr>nagataijpnwxvpts</vt:lpstr>
      <vt:lpstr>nagataijpnwxvtries</vt:lpstr>
      <vt:lpstr>naisewafijwxvpts</vt:lpstr>
      <vt:lpstr>naisewafijwxvtries</vt:lpstr>
      <vt:lpstr>ndukajpnwxvpts</vt:lpstr>
      <vt:lpstr>ndukajpnwxvptscorrect</vt:lpstr>
      <vt:lpstr>ndukajpnwxvtries</vt:lpstr>
      <vt:lpstr>ndukajpnwxvtriescorrect</vt:lpstr>
      <vt:lpstr>neihamufijwxots</vt:lpstr>
      <vt:lpstr>neihamufijwxvtries</vt:lpstr>
      <vt:lpstr>nelsonsco6nAtt</vt:lpstr>
      <vt:lpstr>Nelsonsco6ngls</vt:lpstr>
      <vt:lpstr>Nelsonsco6npts</vt:lpstr>
      <vt:lpstr>Nelsonsco6ntries</vt:lpstr>
      <vt:lpstr>nelsonscointpts</vt:lpstr>
      <vt:lpstr>nelsonscointtries</vt:lpstr>
      <vt:lpstr>Nelsonscowxvatt</vt:lpstr>
      <vt:lpstr>Nelsonscowxvgls</vt:lpstr>
      <vt:lpstr>nelsonscowxvpts</vt:lpstr>
      <vt:lpstr>nelsonscowxvtries</vt:lpstr>
      <vt:lpstr>nelsonscoyratt</vt:lpstr>
      <vt:lpstr>Nelsonscoyrgls</vt:lpstr>
      <vt:lpstr>neumannwalwxvpts</vt:lpstr>
      <vt:lpstr>neumannwalwxvtries</vt:lpstr>
      <vt:lpstr>ngwevursawxvpts</vt:lpstr>
      <vt:lpstr>ngwevursawxvtries</vt:lpstr>
      <vt:lpstr>nishimurajpnwxvpts</vt:lpstr>
      <vt:lpstr>nishimurajpnwxvtries</vt:lpstr>
      <vt:lpstr>Ntamackfra6npts</vt:lpstr>
      <vt:lpstr>O_Brienire6natt</vt:lpstr>
      <vt:lpstr>O_Brienire6ngls</vt:lpstr>
      <vt:lpstr>O_Brienire6npts</vt:lpstr>
      <vt:lpstr>O_Brienire6ntries</vt:lpstr>
      <vt:lpstr>O_Brieniregls</vt:lpstr>
      <vt:lpstr>O_Brienireyratt</vt:lpstr>
      <vt:lpstr>O_Brienireyrgls</vt:lpstr>
      <vt:lpstr>O_Connorire6natt</vt:lpstr>
      <vt:lpstr>O_Connorire6ngls</vt:lpstr>
      <vt:lpstr>O_Donnellcanp4pts</vt:lpstr>
      <vt:lpstr>O_Donnellcanp4triees</vt:lpstr>
      <vt:lpstr>O_Mahonyire6npts</vt:lpstr>
      <vt:lpstr>O_Mahonyire6ntries</vt:lpstr>
      <vt:lpstr>O’Connorire6npts</vt:lpstr>
      <vt:lpstr>O’Connorire6ntries</vt:lpstr>
      <vt:lpstr>obrienire6natt</vt:lpstr>
      <vt:lpstr>obrienirewxvpts</vt:lpstr>
      <vt:lpstr>obrienirewxvtries</vt:lpstr>
      <vt:lpstr>ogormanausintpts</vt:lpstr>
      <vt:lpstr>ogormanausinttries</vt:lpstr>
      <vt:lpstr>Okembafra6Npts</vt:lpstr>
      <vt:lpstr>OkembaFra6Ntries</vt:lpstr>
      <vt:lpstr>okembafrawxvpts</vt:lpstr>
      <vt:lpstr>okembafrawxvtries</vt:lpstr>
      <vt:lpstr>Olsen_Bakernzlp4tries</vt:lpstr>
      <vt:lpstr>Olsen_Bakerp4pts</vt:lpstr>
      <vt:lpstr>olsenbakernzlwxvpts</vt:lpstr>
      <vt:lpstr>olsenbakernzlwxvtries</vt:lpstr>
      <vt:lpstr>Omokhualecanp4pts</vt:lpstr>
      <vt:lpstr>Omokhualecanp4tries</vt:lpstr>
      <vt:lpstr>Orrsco6npts</vt:lpstr>
      <vt:lpstr>Orrsco6ntries</vt:lpstr>
      <vt:lpstr>orrscowxvpts</vt:lpstr>
      <vt:lpstr>orrscowxvtries</vt:lpstr>
      <vt:lpstr>ortizusawxvpts</vt:lpstr>
      <vt:lpstr>ortizusawxvtries</vt:lpstr>
      <vt:lpstr>Otsukajpnwxvatt</vt:lpstr>
      <vt:lpstr>Otsukajpnwxvgls</vt:lpstr>
      <vt:lpstr>otsukajpnwxvtries</vt:lpstr>
      <vt:lpstr>otsukapnwxvpts</vt:lpstr>
      <vt:lpstr>otsukapnwxvtries</vt:lpstr>
      <vt:lpstr>Packer_Mengpts</vt:lpstr>
      <vt:lpstr>Packer_Mengtries</vt:lpstr>
      <vt:lpstr>packerlengwxvpts</vt:lpstr>
      <vt:lpstr>packerlengwxvtries</vt:lpstr>
      <vt:lpstr>packermengwxvpts</vt:lpstr>
      <vt:lpstr>packermengwxvtries</vt:lpstr>
      <vt:lpstr>PadovaniITA6NPTS</vt:lpstr>
      <vt:lpstr>PadovaniITA6NTRIES</vt:lpstr>
      <vt:lpstr>paluausintpts</vt:lpstr>
      <vt:lpstr>paluausinttries</vt:lpstr>
      <vt:lpstr>Paluausp4pts</vt:lpstr>
      <vt:lpstr>Paluausp4tries</vt:lpstr>
      <vt:lpstr>Paquincanp4pts</vt:lpstr>
      <vt:lpstr>Paquincanp4tries</vt:lpstr>
      <vt:lpstr>paqyuincanwxvpts</vt:lpstr>
      <vt:lpstr>paqyuincanwxvtries</vt:lpstr>
      <vt:lpstr>Parsonsire6npts</vt:lpstr>
      <vt:lpstr>Parsonsire6ntries</vt:lpstr>
      <vt:lpstr>parsonsirewxvpts</vt:lpstr>
      <vt:lpstr>parsonsirewxvtries</vt:lpstr>
      <vt:lpstr>PaulnzlP4pts</vt:lpstr>
      <vt:lpstr>PaulnzlP4tries</vt:lpstr>
      <vt:lpstr>paulnzlwxvpts</vt:lpstr>
      <vt:lpstr>paulnzlwxvtries</vt:lpstr>
      <vt:lpstr>Pelletiercanp4pts</vt:lpstr>
      <vt:lpstr>pelletiercanwxvpts</vt:lpstr>
      <vt:lpstr>pelletiercanwxvtries</vt:lpstr>
      <vt:lpstr>Pelletiercsanp4tries</vt:lpstr>
      <vt:lpstr>penaespwxvpts</vt:lpstr>
      <vt:lpstr>penaespwxvtries</vt:lpstr>
      <vt:lpstr>Penalty_Triesausp4pts</vt:lpstr>
      <vt:lpstr>Penalty_Triesausp4tries</vt:lpstr>
      <vt:lpstr>Penalty_Triescanpts</vt:lpstr>
      <vt:lpstr>Penalty_Triescantries</vt:lpstr>
      <vt:lpstr>Penalty_Trieseng6npts</vt:lpstr>
      <vt:lpstr>Penalty_Trieseng6ntries</vt:lpstr>
      <vt:lpstr>Penalty_Triesfra6npts</vt:lpstr>
      <vt:lpstr>Penalty_Triesfra6ntries</vt:lpstr>
      <vt:lpstr>Penalty_Triesire6npts</vt:lpstr>
      <vt:lpstr>Penalty_Triesire6ntries</vt:lpstr>
      <vt:lpstr>Penalty_Triessco6npts</vt:lpstr>
      <vt:lpstr>Penalty_Triessco6ntries</vt:lpstr>
      <vt:lpstr>Penalty_Triesusap4pts</vt:lpstr>
      <vt:lpstr>Penalty_Triesusap4tries</vt:lpstr>
      <vt:lpstr>penaltytriescanwxvpts</vt:lpstr>
      <vt:lpstr>penaltytriescanwxvtries</vt:lpstr>
      <vt:lpstr>penaltytriesjpnwxpts</vt:lpstr>
      <vt:lpstr>penaltytriesjpnwxtries</vt:lpstr>
      <vt:lpstr>penaltytrieswal6nptscorrect</vt:lpstr>
      <vt:lpstr>Penaltytrieswal6ntriescorrect</vt:lpstr>
      <vt:lpstr>Penaudfra6npts</vt:lpstr>
      <vt:lpstr>Penaudfra6ntries</vt:lpstr>
      <vt:lpstr>pentriesscowxscopts</vt:lpstr>
      <vt:lpstr>pentriesscowxvtries</vt:lpstr>
      <vt:lpstr>pentrieswalwxvpts</vt:lpstr>
      <vt:lpstr>pentrieswalwxvtries</vt:lpstr>
      <vt:lpstr>perezcespwxvpts</vt:lpstr>
      <vt:lpstr>perezcespwxvtries</vt:lpstr>
      <vt:lpstr>Perris_Reddingusap4pts</vt:lpstr>
      <vt:lpstr>Perris_Reddingusap4tries</vt:lpstr>
      <vt:lpstr>perrycanwxvpts</vt:lpstr>
      <vt:lpstr>perrycanwxvtries</vt:lpstr>
      <vt:lpstr>Phillipswal6npts</vt:lpstr>
      <vt:lpstr>Phillipswal6ntries</vt:lpstr>
      <vt:lpstr>phillipswalwxvpts</vt:lpstr>
      <vt:lpstr>phillipswalwxvtries</vt:lpstr>
      <vt:lpstr>Ponsonbynzlp4pts</vt:lpstr>
      <vt:lpstr>Ponsonbynzlp4tries</vt:lpstr>
      <vt:lpstr>ponsonbynzlwxvpts</vt:lpstr>
      <vt:lpstr>ponsonbynzlwxvtries</vt:lpstr>
      <vt:lpstr>Poulincanp4pts</vt:lpstr>
      <vt:lpstr>Poulincanp4tries</vt:lpstr>
      <vt:lpstr>pourilanenzlwxvpts</vt:lpstr>
      <vt:lpstr>pourilanenzlwxvtries</vt:lpstr>
      <vt:lpstr>Powell</vt:lpstr>
      <vt:lpstr>Powellengpts</vt:lpstr>
      <vt:lpstr>Powellengtries</vt:lpstr>
      <vt:lpstr>Powellwal6natt</vt:lpstr>
      <vt:lpstr>powellwal6nattcorrect</vt:lpstr>
      <vt:lpstr>Powellwal6ngls</vt:lpstr>
      <vt:lpstr>powellwal6nglscorrect</vt:lpstr>
      <vt:lpstr>Powellwal6ntries</vt:lpstr>
      <vt:lpstr>powellwalwxvpts</vt:lpstr>
      <vt:lpstr>powellwalwxvtries</vt:lpstr>
      <vt:lpstr>powellwalyratt</vt:lpstr>
      <vt:lpstr>powellwalyrgls</vt:lpstr>
      <vt:lpstr>Pyrswal6npts</vt:lpstr>
      <vt:lpstr>Pyrswal6ntries</vt:lpstr>
      <vt:lpstr>Queyroifra6natt</vt:lpstr>
      <vt:lpstr>Queyroifra6ngls</vt:lpstr>
      <vt:lpstr>Queyroifra6npts</vt:lpstr>
      <vt:lpstr>Queyroifra6ntries</vt:lpstr>
      <vt:lpstr>queyroifrawxvpts</vt:lpstr>
      <vt:lpstr>queyroifrawxvtries</vt:lpstr>
      <vt:lpstr>Queyroifrayratt</vt:lpstr>
      <vt:lpstr>Queyroifrayrgls</vt:lpstr>
      <vt:lpstr>railumufijwxvpts</vt:lpstr>
      <vt:lpstr>railumufijwxvtries</vt:lpstr>
      <vt:lpstr>ranucciniitawxvpts</vt:lpstr>
      <vt:lpstr>ranucciniitawxvtries</vt:lpstr>
      <vt:lpstr>riffoneaufrawxvpts</vt:lpstr>
      <vt:lpstr>riffoneaufrawxvtries</vt:lpstr>
      <vt:lpstr>rigoniia6natt</vt:lpstr>
      <vt:lpstr>Rigoniita6ngls</vt:lpstr>
      <vt:lpstr>Rigoniita6npts</vt:lpstr>
      <vt:lpstr>Rigoniita6ntries</vt:lpstr>
      <vt:lpstr>Rigoniitawxvatt</vt:lpstr>
      <vt:lpstr>Rigoniitawxvgls</vt:lpstr>
      <vt:lpstr>rigoniitawxvpts</vt:lpstr>
      <vt:lpstr>rigoniitawxvtries</vt:lpstr>
      <vt:lpstr>Ringroseire6npts</vt:lpstr>
      <vt:lpstr>Ringroseire6ntries</vt:lpstr>
      <vt:lpstr>RogersUSAP4pts</vt:lpstr>
      <vt:lpstr>RogersUSAp4tries</vt:lpstr>
      <vt:lpstr>rogersusawxvpts</vt:lpstr>
      <vt:lpstr>rogersusawxvtries</vt:lpstr>
      <vt:lpstr>Rolliesco6npts</vt:lpstr>
      <vt:lpstr>Rolliesco6nptscorrect</vt:lpstr>
      <vt:lpstr>Rolliesco6nptsthisone</vt:lpstr>
      <vt:lpstr>Rolliesco6ntries</vt:lpstr>
      <vt:lpstr>Rolliesco6ntriescorrect</vt:lpstr>
      <vt:lpstr>Rolliesco6ntriesthisone</vt:lpstr>
      <vt:lpstr>rolliescointpts</vt:lpstr>
      <vt:lpstr>rolliescointtries</vt:lpstr>
      <vt:lpstr>rolliescowxvpts</vt:lpstr>
      <vt:lpstr>rolliescowxvtries</vt:lpstr>
      <vt:lpstr>romanespwxvpts</vt:lpstr>
      <vt:lpstr>romanespwxvtries</vt:lpstr>
      <vt:lpstr>roosrsawxvpts</vt:lpstr>
      <vt:lpstr>roosrsawxvtries</vt:lpstr>
      <vt:lpstr>Rose6nwaltries</vt:lpstr>
      <vt:lpstr>rosellespwxvpts</vt:lpstr>
      <vt:lpstr>rosellespwxvtries</vt:lpstr>
      <vt:lpstr>Rosewal6npts</vt:lpstr>
      <vt:lpstr>rowlandeng6natt</vt:lpstr>
      <vt:lpstr>Rowlandeng6ngls</vt:lpstr>
      <vt:lpstr>Rowlandengpts</vt:lpstr>
      <vt:lpstr>Rowlandengtries</vt:lpstr>
      <vt:lpstr>Rowlandengwxvatt</vt:lpstr>
      <vt:lpstr>Rowlandengwxvgls</vt:lpstr>
      <vt:lpstr>rowlandengwxvpts</vt:lpstr>
      <vt:lpstr>rowlandengwxvtries</vt:lpstr>
      <vt:lpstr>Rowlandengyratt</vt:lpstr>
      <vt:lpstr>Rowlandengyrgls</vt:lpstr>
      <vt:lpstr>Royercanp4pts</vt:lpstr>
      <vt:lpstr>Royercanp4tries</vt:lpstr>
      <vt:lpstr>Russellsco6npts</vt:lpstr>
      <vt:lpstr>Saenzlp4pts</vt:lpstr>
      <vt:lpstr>Saenzlp4tries</vt:lpstr>
      <vt:lpstr>sagapoluusawxvpts</vt:lpstr>
      <vt:lpstr>sagapoluusawxvtries</vt:lpstr>
      <vt:lpstr>Sansusfra6npts</vt:lpstr>
      <vt:lpstr>Sansusfra6ntries</vt:lpstr>
      <vt:lpstr>scarratteng6natt</vt:lpstr>
      <vt:lpstr>Scarratteng6ngls</vt:lpstr>
      <vt:lpstr>Scarrattengpts</vt:lpstr>
      <vt:lpstr>Scarrattengtries</vt:lpstr>
      <vt:lpstr>schellcanp4att</vt:lpstr>
      <vt:lpstr>Schellcanp4gls</vt:lpstr>
      <vt:lpstr>Schellcanp4pts</vt:lpstr>
      <vt:lpstr>Schellcanp4tries</vt:lpstr>
      <vt:lpstr>schellcanwxvpts</vt:lpstr>
      <vt:lpstr>schellcanwxvtries</vt:lpstr>
      <vt:lpstr>Scoblewal6npts</vt:lpstr>
      <vt:lpstr>Scoblewal6ntries</vt:lpstr>
      <vt:lpstr>Scottsco6npts</vt:lpstr>
      <vt:lpstr>Scottsco6ntries</vt:lpstr>
      <vt:lpstr>Scurfieldcanp4pts</vt:lpstr>
      <vt:lpstr>Scurfieldcanp4tries</vt:lpstr>
      <vt:lpstr>scurfieldcanwxvpts</vt:lpstr>
      <vt:lpstr>scurfieldcanwxvtries</vt:lpstr>
      <vt:lpstr>senivutufijwxvpts</vt:lpstr>
      <vt:lpstr>senivutufijwxvtries</vt:lpstr>
      <vt:lpstr>setefanonzlwxvpts</vt:lpstr>
      <vt:lpstr>setefanonzlwxvtries</vt:lpstr>
      <vt:lpstr>Seumanutafacanp4pts</vt:lpstr>
      <vt:lpstr>Seumanutafacanp4tries</vt:lpstr>
      <vt:lpstr>Sextonire6natt</vt:lpstr>
      <vt:lpstr>Sextonire6ngoals</vt:lpstr>
      <vt:lpstr>seyeitawxvpts</vt:lpstr>
      <vt:lpstr>seyeitawxvtries</vt:lpstr>
      <vt:lpstr>Sgorbiniita6ntries</vt:lpstr>
      <vt:lpstr>sgorbiniitawxvpts</vt:lpstr>
      <vt:lpstr>sgorbiniitawxvtries</vt:lpstr>
      <vt:lpstr>Sgorbiniits6npts</vt:lpstr>
      <vt:lpstr>Sheedywal6npts</vt:lpstr>
      <vt:lpstr>Sillariita6ngls</vt:lpstr>
      <vt:lpstr>Sillariita6npts</vt:lpstr>
      <vt:lpstr>Sillariita6ntries</vt:lpstr>
      <vt:lpstr>sillariitawxvatt</vt:lpstr>
      <vt:lpstr>Sillariitawxvgls</vt:lpstr>
      <vt:lpstr>sillariitawxvpts</vt:lpstr>
      <vt:lpstr>sillariitawxvtries</vt:lpstr>
      <vt:lpstr>Sillariitayratt</vt:lpstr>
      <vt:lpstr>Sillariitayrgls</vt:lpstr>
      <vt:lpstr>sillarita6natt</vt:lpstr>
      <vt:lpstr>Silvabrawxvpts</vt:lpstr>
      <vt:lpstr>Silvabrawxvtries</vt:lpstr>
      <vt:lpstr>Simonnzlp4pts</vt:lpstr>
      <vt:lpstr>Simonnzlp4tries</vt:lpstr>
      <vt:lpstr>simonnzlwxvpts</vt:lpstr>
      <vt:lpstr>simonnzlwxvtries</vt:lpstr>
      <vt:lpstr>Sincklereng6npts</vt:lpstr>
      <vt:lpstr>Sincklereng6ntries</vt:lpstr>
      <vt:lpstr>singeng6natt</vt:lpstr>
      <vt:lpstr>Singeng6ngls</vt:lpstr>
      <vt:lpstr>Singeng6npts</vt:lpstr>
      <vt:lpstr>Singeng6ntries</vt:lpstr>
      <vt:lpstr>singengwxvpts</vt:lpstr>
      <vt:lpstr>singengwxvtries</vt:lpstr>
      <vt:lpstr>skeldonscointpts</vt:lpstr>
      <vt:lpstr>skeldonscointtries</vt:lpstr>
      <vt:lpstr>Skeldonscopts</vt:lpstr>
      <vt:lpstr>Skeldonscotries</vt:lpstr>
      <vt:lpstr>skeldonscowxvpts</vt:lpstr>
      <vt:lpstr>skeldonscowxvtries</vt:lpstr>
      <vt:lpstr>Smith_Msco6npts</vt:lpstr>
      <vt:lpstr>Smith_Msco6ntries</vt:lpstr>
      <vt:lpstr>Smith_Mscowxvatt</vt:lpstr>
      <vt:lpstr>Smith_Mscowxvgls</vt:lpstr>
      <vt:lpstr>smithausP4att</vt:lpstr>
      <vt:lpstr>smithausp4attcorrect</vt:lpstr>
      <vt:lpstr>SmithausP4gls</vt:lpstr>
      <vt:lpstr>smithausp4glscorrect</vt:lpstr>
      <vt:lpstr>SmithausP4pts</vt:lpstr>
      <vt:lpstr>Smithausp4tries</vt:lpstr>
      <vt:lpstr>smithauswxvpts</vt:lpstr>
      <vt:lpstr>smithauswxvtries</vt:lpstr>
      <vt:lpstr>Smitheng6npts</vt:lpstr>
      <vt:lpstr>Smitheng6ntries</vt:lpstr>
      <vt:lpstr>smithmscowxvpts</vt:lpstr>
      <vt:lpstr>smithmscowxvtries</vt:lpstr>
      <vt:lpstr>Snowsillwal6npts</vt:lpstr>
      <vt:lpstr>solontsirsawxvpts</vt:lpstr>
      <vt:lpstr>solontsirsawxvtries</vt:lpstr>
      <vt:lpstr>Sorensen_McGeenzlp4pts</vt:lpstr>
      <vt:lpstr>Sorensen_McGeenzlp4tries</vt:lpstr>
      <vt:lpstr>sorensenmcgeenzlwxvpts</vt:lpstr>
      <vt:lpstr>sorensenmcgeenzlwxvtries</vt:lpstr>
      <vt:lpstr>Stathopoulosusawxvpts</vt:lpstr>
      <vt:lpstr>Stathopoulosusawxvtries</vt:lpstr>
      <vt:lpstr>Stefanita6npts</vt:lpstr>
      <vt:lpstr>Stefanita6ntries</vt:lpstr>
      <vt:lpstr>stefanutawxvpts</vt:lpstr>
      <vt:lpstr>stefanutawxvtries</vt:lpstr>
      <vt:lpstr>Stevaninita6npts</vt:lpstr>
      <vt:lpstr>Stevaninita6ntries</vt:lpstr>
      <vt:lpstr>stewartausintpts</vt:lpstr>
      <vt:lpstr>stewartausinttries</vt:lpstr>
      <vt:lpstr>StewartausP4pts</vt:lpstr>
      <vt:lpstr>StewartausP4tries</vt:lpstr>
      <vt:lpstr>stewartauswxvpts</vt:lpstr>
      <vt:lpstr>stewartauswxvtries</vt:lpstr>
      <vt:lpstr>svobodacanwxvpts</vt:lpstr>
      <vt:lpstr>svobodacanwxvtries</vt:lpstr>
      <vt:lpstr>symondscanwxvpts</vt:lpstr>
      <vt:lpstr>symondscanwxvtries</vt:lpstr>
      <vt:lpstr>Tafunausap4pts</vt:lpstr>
      <vt:lpstr>Tafunausap4tries</vt:lpstr>
      <vt:lpstr>tafunausawxvpts</vt:lpstr>
      <vt:lpstr>tafunausawxvtries</vt:lpstr>
      <vt:lpstr>TalakaiausP4pts</vt:lpstr>
      <vt:lpstr>TalakaiausP4tries</vt:lpstr>
      <vt:lpstr>talakaiauswxvpts</vt:lpstr>
      <vt:lpstr>talakaiauswxvtries</vt:lpstr>
      <vt:lpstr>Tallingeng6npts</vt:lpstr>
      <vt:lpstr>Tallingeng6ntries</vt:lpstr>
      <vt:lpstr>tallingengwxvpts</vt:lpstr>
      <vt:lpstr>tallingengwxvtries</vt:lpstr>
      <vt:lpstr>Taufoouusap4pts</vt:lpstr>
      <vt:lpstr>Taufoouusap4tries</vt:lpstr>
      <vt:lpstr>taufoouusawxvpts</vt:lpstr>
      <vt:lpstr>taufoouusawxvtries</vt:lpstr>
      <vt:lpstr>Taylorcanp4pts</vt:lpstr>
      <vt:lpstr>Taylorcanp4tries</vt:lpstr>
      <vt:lpstr>TenetinzlP4pts</vt:lpstr>
      <vt:lpstr>TenetinzlP4tries</vt:lpstr>
      <vt:lpstr>Tessiercanp4att</vt:lpstr>
      <vt:lpstr>Tessiercanp4gls</vt:lpstr>
      <vt:lpstr>Tessiercanp4pts</vt:lpstr>
      <vt:lpstr>Tessiercanp4tries</vt:lpstr>
      <vt:lpstr>tessiercanwxvpts</vt:lpstr>
      <vt:lpstr>tessiercanwxvtries</vt:lpstr>
      <vt:lpstr>Thompsoneng6npts</vt:lpstr>
      <vt:lpstr>Thompsoneng6ntries</vt:lpstr>
      <vt:lpstr>Thomsonsco6npts</vt:lpstr>
      <vt:lpstr>Thomsonsco6ntries</vt:lpstr>
      <vt:lpstr>Thomsonscointpts</vt:lpstr>
      <vt:lpstr>Thomsonscointtries</vt:lpstr>
      <vt:lpstr>thomsonscowxvpts</vt:lpstr>
      <vt:lpstr>thomsonscowxvtries</vt:lpstr>
      <vt:lpstr>TompkinsWAL6NPTS</vt:lpstr>
      <vt:lpstr>TompkinsWAL6NTRIES</vt:lpstr>
      <vt:lpstr>tovefijwxvpts</vt:lpstr>
      <vt:lpstr>tovefijwxvtries</vt:lpstr>
      <vt:lpstr>Trederusap4pts</vt:lpstr>
      <vt:lpstr>Trederusap4tries</vt:lpstr>
      <vt:lpstr>Tremoulierefra6npts</vt:lpstr>
      <vt:lpstr>Tremoulierefra6ntries</vt:lpstr>
      <vt:lpstr>tsukuijpnwxvpts</vt:lpstr>
      <vt:lpstr>tsukuijpnwxvtries</vt:lpstr>
      <vt:lpstr>Tuinzlp4pts</vt:lpstr>
      <vt:lpstr>Tuinzlp4tries</vt:lpstr>
      <vt:lpstr>tuinzlwxvpts</vt:lpstr>
      <vt:lpstr>tuinzlwxvtries</vt:lpstr>
      <vt:lpstr>Tuipulotuwal6npts</vt:lpstr>
      <vt:lpstr>Tuipulotuwal6ntries</vt:lpstr>
      <vt:lpstr>tuipulotuwalwxvpts</vt:lpstr>
      <vt:lpstr>tuipulotuwalwxvtries</vt:lpstr>
      <vt:lpstr>tuiteirewxvpts</vt:lpstr>
      <vt:lpstr>tuiteirewxvtries</vt:lpstr>
      <vt:lpstr>Tukuafunzlp4pts</vt:lpstr>
      <vt:lpstr>Tukuafunzlp4tries</vt:lpstr>
      <vt:lpstr>tukuafunzlwxvpts</vt:lpstr>
      <vt:lpstr>tukuafunzlwxvtries</vt:lpstr>
      <vt:lpstr>Turaniita6npts</vt:lpstr>
      <vt:lpstr>Turaniita6ntries</vt:lpstr>
      <vt:lpstr>turaniitawxvpts</vt:lpstr>
      <vt:lpstr>turaniitawxvtries</vt:lpstr>
      <vt:lpstr>Tuttosicanp4pts</vt:lpstr>
      <vt:lpstr>Tuttosicanp4tries</vt:lpstr>
      <vt:lpstr>tuttosicanwxvpts</vt:lpstr>
      <vt:lpstr>tuttosicanwxvtries</vt:lpstr>
      <vt:lpstr>tuyfrawxvpts</vt:lpstr>
      <vt:lpstr>tuyfrawxvtries</vt:lpstr>
      <vt:lpstr>Vaha_akolonzlp4pts</vt:lpstr>
      <vt:lpstr>Vaha_akolonzlp4tries</vt:lpstr>
      <vt:lpstr>Vahaakolonzlwxvpts</vt:lpstr>
      <vt:lpstr>Vahaakolonzlwxvtries</vt:lpstr>
      <vt:lpstr>Vaipulunzlp4pts</vt:lpstr>
      <vt:lpstr>Vaipulunzlp4tries</vt:lpstr>
      <vt:lpstr>van_der_Merwe6nscopts</vt:lpstr>
      <vt:lpstr>van_der_Merwesco6ntries</vt:lpstr>
      <vt:lpstr>vatausamwxvpts</vt:lpstr>
      <vt:lpstr>vatausamwxvtries</vt:lpstr>
      <vt:lpstr>Vecchiniita6npts</vt:lpstr>
      <vt:lpstr>Vecchiniita6ntries</vt:lpstr>
      <vt:lpstr>vecchiniitawxvpts</vt:lpstr>
      <vt:lpstr>vecchiniitawxvtries</vt:lpstr>
      <vt:lpstr>Vennereng6npts</vt:lpstr>
      <vt:lpstr>Vennereng6ntries</vt:lpstr>
      <vt:lpstr>VernierFRA6NPTS</vt:lpstr>
      <vt:lpstr>VernierFRA6NTRIES</vt:lpstr>
      <vt:lpstr>vernierfrawxvpts</vt:lpstr>
      <vt:lpstr>vernierfrawxvtries</vt:lpstr>
      <vt:lpstr>Vilikonzlp4pts</vt:lpstr>
      <vt:lpstr>Vilikonzlp4tries</vt:lpstr>
      <vt:lpstr>vilikonzlwxvpts</vt:lpstr>
      <vt:lpstr>vilikonzlwxvtries</vt:lpstr>
      <vt:lpstr>Villierefra6npts</vt:lpstr>
      <vt:lpstr>Villierefra6ntries</vt:lpstr>
      <vt:lpstr>Vogelusap4att</vt:lpstr>
      <vt:lpstr>Vogelusap4gls</vt:lpstr>
      <vt:lpstr>Vogelusap4pts</vt:lpstr>
      <vt:lpstr>Vogelusap4tries</vt:lpstr>
      <vt:lpstr>Vogelusayratt</vt:lpstr>
      <vt:lpstr>Vogelusayrgls</vt:lpstr>
      <vt:lpstr>vuetifijwvpts</vt:lpstr>
      <vt:lpstr>vuetifijwvtries</vt:lpstr>
      <vt:lpstr>Waakanzlp4pts</vt:lpstr>
      <vt:lpstr>Waakanzlp4tries</vt:lpstr>
      <vt:lpstr>waakanzlwxvpts</vt:lpstr>
      <vt:lpstr>waakanzlwxvtries</vt:lpstr>
      <vt:lpstr>Waferire6npts</vt:lpstr>
      <vt:lpstr>Waferire6ntries</vt:lpstr>
      <vt:lpstr>Wallire6npts</vt:lpstr>
      <vt:lpstr>Wallire6ntries</vt:lpstr>
      <vt:lpstr>Wardeng6npts</vt:lpstr>
      <vt:lpstr>Wardeng6ntries</vt:lpstr>
      <vt:lpstr>wardrngwxvpts</vt:lpstr>
      <vt:lpstr>wardrngwxvtries</vt:lpstr>
      <vt:lpstr>Wassellsco6npts</vt:lpstr>
      <vt:lpstr>Wassellsco6ntries</vt:lpstr>
      <vt:lpstr>wassellscowxvpts</vt:lpstr>
      <vt:lpstr>wassellscowxvtries</vt:lpstr>
      <vt:lpstr>westcombeevansengpts</vt:lpstr>
      <vt:lpstr>westcombeevansengtries</vt:lpstr>
      <vt:lpstr>wilinswalwxvpts</vt:lpstr>
      <vt:lpstr>wilinswalwxvtries</vt:lpstr>
      <vt:lpstr>wilkinswal6natt</vt:lpstr>
      <vt:lpstr>Wilkinswal6ngls</vt:lpstr>
      <vt:lpstr>Wilkinswal6npts</vt:lpstr>
      <vt:lpstr>Wilkinswal6ntries</vt:lpstr>
      <vt:lpstr>wilkinswalwxvatt</vt:lpstr>
      <vt:lpstr>Wilkinswalwxvgls</vt:lpstr>
      <vt:lpstr>Willemsefra6npts</vt:lpstr>
      <vt:lpstr>Willemsefra6ntries</vt:lpstr>
      <vt:lpstr>Williamswal6npts</vt:lpstr>
      <vt:lpstr>Williamswal6ntries</vt:lpstr>
      <vt:lpstr>WillisonnzlP4att</vt:lpstr>
      <vt:lpstr>WillisonnzlP4gls</vt:lpstr>
      <vt:lpstr>WillisonnzlP4pts</vt:lpstr>
      <vt:lpstr>WongausP4pts</vt:lpstr>
      <vt:lpstr>WongausP4tries</vt:lpstr>
      <vt:lpstr>wongauswxvpts</vt:lpstr>
      <vt:lpstr>wongauswxvtries</vt:lpstr>
      <vt:lpstr>woodausintpts</vt:lpstr>
      <vt:lpstr>woodausinttries</vt:lpstr>
      <vt:lpstr>Woodausp4att</vt:lpstr>
      <vt:lpstr>Woodausp4gls</vt:lpstr>
      <vt:lpstr>Woodausyratt</vt:lpstr>
      <vt:lpstr>Woodausyrgls</vt:lpstr>
      <vt:lpstr>Woodman_Wickliffenzlp4pts</vt:lpstr>
      <vt:lpstr>Woodman_Wickliffenzlp4tries</vt:lpstr>
      <vt:lpstr>woodmanwickliffenzlwxvpts</vt:lpstr>
      <vt:lpstr>woodmanwickliffenzlwxvtries</vt:lpstr>
      <vt:lpstr>Wrightsco6npts</vt:lpstr>
      <vt:lpstr>Wrightsco6ntries</vt:lpstr>
      <vt:lpstr>wrightscointpts</vt:lpstr>
      <vt:lpstr>wrightscointrtries</vt:lpstr>
      <vt:lpstr>wyrwasengwxvpts</vt:lpstr>
      <vt:lpstr>wyrwasengwxvtries</vt:lpstr>
      <vt:lpstr>RSA!wywwasengwxvtries</vt:lpstr>
      <vt:lpstr>yamamotoajpnwxvpts</vt:lpstr>
      <vt:lpstr>yamamotoajpnwxvtries</vt:lpstr>
      <vt:lpstr>yamamotojpnwxvatt</vt:lpstr>
      <vt:lpstr>yamamotojpnwxvgls</vt:lpstr>
      <vt:lpstr>Zackaryusap4pts</vt:lpstr>
      <vt:lpstr>Zackaryusap4tries</vt:lpstr>
      <vt:lpstr>zackaryusawxvpts</vt:lpstr>
      <vt:lpstr>zackaryusawxvtries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2026-04-22T09:32:49Z</dcterms:modified>
</cp:coreProperties>
</file>