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MEN'S RUGBY/2026/"/>
    </mc:Choice>
  </mc:AlternateContent>
  <xr:revisionPtr revIDLastSave="3765" documentId="8_{0EED009C-5EA6-4907-84A3-695967FC1F11}" xr6:coauthVersionLast="47" xr6:coauthVersionMax="47" xr10:uidLastSave="{D0C58B83-A7DF-4BF8-86E8-C793E1FBBA88}"/>
  <bookViews>
    <workbookView xWindow="-109" yWindow="-109" windowWidth="26301" windowHeight="14169" tabRatio="1000" activeTab="1" xr2:uid="{00000000-000D-0000-FFFF-FFFF00000000}"/>
  </bookViews>
  <sheets>
    <sheet name="Sum" sheetId="41" r:id="rId1"/>
    <sheet name="Res" sheetId="34" r:id="rId2"/>
    <sheet name="6N Stats" sheetId="31" r:id="rId3"/>
    <sheet name="6N Cds" sheetId="32" r:id="rId4"/>
    <sheet name="NC Res &amp; Tabs" sheetId="54" r:id="rId5"/>
    <sheet name="NC Stats" sheetId="45" r:id="rId6"/>
    <sheet name="NC Cds" sheetId="50" r:id="rId7"/>
    <sheet name="ARG" sheetId="9" r:id="rId8"/>
    <sheet name="AUS" sheetId="10" r:id="rId9"/>
    <sheet name="CAN" sheetId="14" r:id="rId10"/>
    <sheet name="CHI" sheetId="49" r:id="rId11"/>
    <sheet name="ENG" sheetId="11" r:id="rId12"/>
    <sheet name="FIJ" sheetId="12" r:id="rId13"/>
    <sheet name="FRA" sheetId="13" r:id="rId14"/>
    <sheet name="GEO" sheetId="20" r:id="rId15"/>
    <sheet name="IRE" sheetId="16" r:id="rId16"/>
    <sheet name="ITA" sheetId="17" r:id="rId17"/>
    <sheet name="JPN" sheetId="18" r:id="rId18"/>
    <sheet name="NAM" sheetId="35" r:id="rId19"/>
    <sheet name="NZL" sheetId="15" r:id="rId20"/>
    <sheet name="POR" sheetId="44" r:id="rId21"/>
    <sheet name="ROM" sheetId="23" r:id="rId22"/>
    <sheet name="SAM" sheetId="24" r:id="rId23"/>
    <sheet name="SCO" sheetId="25" r:id="rId24"/>
    <sheet name="RSA" sheetId="26" r:id="rId25"/>
    <sheet name="ESP" sheetId="51" r:id="rId26"/>
    <sheet name="TGA" sheetId="27" r:id="rId27"/>
    <sheet name="USA" sheetId="28" r:id="rId28"/>
    <sheet name="URU" sheetId="29" r:id="rId29"/>
    <sheet name="WAL" sheetId="30" r:id="rId30"/>
    <sheet name="RC Cds" sheetId="42" r:id="rId31"/>
    <sheet name="PN Cds" sheetId="53" r:id="rId32"/>
    <sheet name="PN Stats" sheetId="52" r:id="rId33"/>
  </sheets>
  <externalReferences>
    <externalReference r:id="rId34"/>
  </externalReferences>
  <definedNames>
    <definedName name="alltestshistlost">Sum!$D$14</definedName>
    <definedName name="alltestshistwon">Sum!$C$14</definedName>
    <definedName name="arg2019dg">ARG!$L$18</definedName>
    <definedName name="arg2019drawn">ARG!$AB$18</definedName>
    <definedName name="arg2019lost">ARG!$AC$18</definedName>
    <definedName name="arg2019played">ARG!$Z$18</definedName>
    <definedName name="arg2019ptsconc">ARG!$G$18</definedName>
    <definedName name="arg2019ptsscored">ARG!$F$18</definedName>
    <definedName name="arg2019rwcdrawn">ARG!#REF!</definedName>
    <definedName name="arg2019rwclost">ARG!#REF!</definedName>
    <definedName name="arg2019rwcplayed">ARG!#REF!</definedName>
    <definedName name="arg2019rwcptsconc">ARG!#REF!</definedName>
    <definedName name="arg2019rwcptsscored">ARG!#REF!</definedName>
    <definedName name="arg2019rwcrc">ARG!#REF!</definedName>
    <definedName name="arg2019rwctriesconc">ARG!#REF!</definedName>
    <definedName name="arg2019rwctriesscored">ARG!#REF!</definedName>
    <definedName name="arg2019rwcwon">ARG!#REF!</definedName>
    <definedName name="arg2019rwcyc">ARG!#REF!</definedName>
    <definedName name="arg2019triesconc">ARG!$R$18</definedName>
    <definedName name="arg2019triesscored">ARG!$J$18</definedName>
    <definedName name="arg2019won">ARG!$AA$18</definedName>
    <definedName name="arg2023wcoveralldg">ARG!#REF!</definedName>
    <definedName name="arg2023wcoveralldrawn">ARG!#REF!</definedName>
    <definedName name="arg2023wcoveralllost">ARG!#REF!</definedName>
    <definedName name="arg2023wcoverallplayed">ARG!#REF!</definedName>
    <definedName name="arg2023wcoverallptsconc">ARG!#REF!</definedName>
    <definedName name="arg2023wcoverallptsscored">ARG!#REF!</definedName>
    <definedName name="arg2023wcoverallrc">ARG!#REF!</definedName>
    <definedName name="arg2023wcoveralltriesconc">ARG!#REF!</definedName>
    <definedName name="arg2023wcoveralltriescored">ARG!#REF!</definedName>
    <definedName name="arg2023wcoverallwon">ARG!#REF!</definedName>
    <definedName name="arg2023wcoverallyc">ARG!#REF!</definedName>
    <definedName name="arg2023wcpooldrawn">ARG!$AB$16</definedName>
    <definedName name="arg2023wcpoollb">ARG!$I$16</definedName>
    <definedName name="arg2023wcpoollost">ARG!$AC$16</definedName>
    <definedName name="arg2023wcpoolplayed">ARG!$Z$16</definedName>
    <definedName name="arg2023wcpoolptsconc">ARG!$G$16</definedName>
    <definedName name="arg2023wcpoolptsscored">ARG!$F$16</definedName>
    <definedName name="arg2023wcpooltb">ARG!$H$16</definedName>
    <definedName name="arg2023wcpooltbconc">ARG!$P$16</definedName>
    <definedName name="arg2023wcpooltriesconc">ARG!$R$16</definedName>
    <definedName name="arg2023wcpooltriesscored">ARG!$J$16</definedName>
    <definedName name="arg2023wcpoolwon">ARG!$AA$16</definedName>
    <definedName name="Argentinaalltestsdrawn">Sum!$E$3</definedName>
    <definedName name="Argentinaalltestslost">Sum!$D$3</definedName>
    <definedName name="Argentinaalltestsplayed">Sum!$B$3</definedName>
    <definedName name="Argentinaalltestsptsagainst">Sum!$H$3</definedName>
    <definedName name="Argentinaalltestsptsscored">Sum!$G$3</definedName>
    <definedName name="Argentinaallteststriesscored">Sum!$I$3</definedName>
    <definedName name="Argentinaalltestswon">Sum!$C$3</definedName>
    <definedName name="ArgentinaWChistdrawn">Sum!$E$30</definedName>
    <definedName name="ArgentinaWChistlost">Sum!$D$30</definedName>
    <definedName name="ArgentinaWChistplayed">Sum!$B$30</definedName>
    <definedName name="ArgentinaWChistptsagainst">Sum!$H$30</definedName>
    <definedName name="ArgentinaWChistptsscored">Sum!$G$30</definedName>
    <definedName name="ArgentinaWChisttriesscored">Sum!$I$30</definedName>
    <definedName name="ArgentinaWChistwon">Sum!$C$30</definedName>
    <definedName name="argoveralllb">ARG!#REF!</definedName>
    <definedName name="argoverallptsag">ARG!#REF!</definedName>
    <definedName name="argoverallptsfor">ARG!#REF!</definedName>
    <definedName name="argoverallreds">ARG!#REF!</definedName>
    <definedName name="argoveralltb">ARG!#REF!</definedName>
    <definedName name="argoveralltbcon">ARG!#REF!</definedName>
    <definedName name="argoveralltries">ARG!#REF!</definedName>
    <definedName name="argoveralltriescon">ARG!#REF!</definedName>
    <definedName name="argoverallyellows">ARG!#REF!</definedName>
    <definedName name="ArgPool2019drawn">ARG!#REF!</definedName>
    <definedName name="ArgPool2019lost">ARG!#REF!</definedName>
    <definedName name="ArgPool2019won">ARG!#REF!</definedName>
    <definedName name="ArgPoolagainst">ARG!#REF!</definedName>
    <definedName name="Argpooldrawn">ARG!#REF!</definedName>
    <definedName name="ArgPoolfor">ARG!#REF!</definedName>
    <definedName name="Argpoollb">ARG!#REF!</definedName>
    <definedName name="ArgPoollbfor">ARG!#REF!</definedName>
    <definedName name="argpoollbscored">ARG!#REF!</definedName>
    <definedName name="Argpoollost">ARG!#REF!</definedName>
    <definedName name="ArgPoolplayed">ARG!#REF!</definedName>
    <definedName name="Argpoolpld">ARG!#REF!</definedName>
    <definedName name="Argpoolptsag">ARG!#REF!</definedName>
    <definedName name="Argpoolreds">ARG!#REF!</definedName>
    <definedName name="Argpooltb">ARG!#REF!</definedName>
    <definedName name="ArgPooltbagainst">ARG!#REF!</definedName>
    <definedName name="Argpooltbcon">ARG!#REF!</definedName>
    <definedName name="ArgPooltbfor">ARG!#REF!</definedName>
    <definedName name="argpooltbscored">ARG!#REF!</definedName>
    <definedName name="ArgPooltriesagainst">ARG!#REF!</definedName>
    <definedName name="Argpooltriescon">ARG!#REF!</definedName>
    <definedName name="argpooltriesconcorrect">ARG!#REF!</definedName>
    <definedName name="Argpooltriesfor">ARG!#REF!</definedName>
    <definedName name="ArgPooltriesscored">ARG!#REF!</definedName>
    <definedName name="argpooltriesscoredcorrect">ARG!#REF!</definedName>
    <definedName name="Argpoolwon">ARG!#REF!</definedName>
    <definedName name="Argpoolyellows">ARG!#REF!</definedName>
    <definedName name="Argptsfor">ARG!#REF!</definedName>
    <definedName name="argrc">ARG!$O$15</definedName>
    <definedName name="argtrcdrawn">ARG!#REF!</definedName>
    <definedName name="argtrcdrawncorrect">ARG!$AB$15</definedName>
    <definedName name="argtrclb">ARG!#REF!</definedName>
    <definedName name="argtrclbcorrect">ARG!$I$15</definedName>
    <definedName name="argtrclost">ARG!#REF!</definedName>
    <definedName name="argtrclostcorrect">ARG!$AC$15</definedName>
    <definedName name="argtrcplayed">ARG!#REF!</definedName>
    <definedName name="argtrcplayedcorrect">ARG!$Z$15</definedName>
    <definedName name="argtrcptsconc">ARG!#REF!</definedName>
    <definedName name="argtrcptsconccorrect">ARG!$G$15</definedName>
    <definedName name="argtrcptsscored">ARG!#REF!</definedName>
    <definedName name="argtrcptsscoredcorrect">ARG!$F$15</definedName>
    <definedName name="argtrctb">ARG!#REF!</definedName>
    <definedName name="argtrctbcorrect">ARG!$H$15</definedName>
    <definedName name="argtrctriesconc">ARG!#REF!</definedName>
    <definedName name="argtrctriesconccorrect">ARG!$R$15</definedName>
    <definedName name="argtrctriesscored">ARG!#REF!</definedName>
    <definedName name="argtrctriesscoredcorrect">ARG!$J$15</definedName>
    <definedName name="argtrcwon">ARG!#REF!</definedName>
    <definedName name="argtrcwoncorrect">ARG!$AA$15</definedName>
    <definedName name="argyc">ARG!$N$15</definedName>
    <definedName name="Aus2019pooldrawn">AUS!#REF!</definedName>
    <definedName name="Aus2019poollbcon">AUS!#REF!</definedName>
    <definedName name="Aus2019poollbscored">AUS!#REF!</definedName>
    <definedName name="Aus2019poollost">AUS!#REF!</definedName>
    <definedName name="Aus2019poolplayed">AUS!#REF!</definedName>
    <definedName name="Aus2019poolptsagainst">AUS!#REF!</definedName>
    <definedName name="Aus2019poolptsscored">AUS!#REF!</definedName>
    <definedName name="Aus2019pooltbcon">AUS!#REF!</definedName>
    <definedName name="Aus2019pooltbscored">AUS!#REF!</definedName>
    <definedName name="Aus2019pooltriesconc">AUS!#REF!</definedName>
    <definedName name="Aus2019pooltriesscored">AUS!#REF!</definedName>
    <definedName name="Aus2019poolwon">AUS!#REF!</definedName>
    <definedName name="Aus2019rwcdrawn">AUS!#REF!</definedName>
    <definedName name="Aus2019rwclost">AUS!#REF!</definedName>
    <definedName name="Aus2019rwclostcorrect">AUS!#REF!</definedName>
    <definedName name="Aus2019rwcplayed">AUS!#REF!</definedName>
    <definedName name="Aus2019rwcptsagainst">AUS!#REF!</definedName>
    <definedName name="Aus2019rwcptsscored">AUS!#REF!</definedName>
    <definedName name="Aus2019rwcrc">AUS!#REF!</definedName>
    <definedName name="Aus2019rwctriesconc">AUS!#REF!</definedName>
    <definedName name="Aus2019rwctriesscored">AUS!#REF!</definedName>
    <definedName name="Aus2019rwcwon">AUS!#REF!</definedName>
    <definedName name="Aus2019rwcyc">AUS!#REF!</definedName>
    <definedName name="aus2023wcoveralldg">AUS!#REF!</definedName>
    <definedName name="aus2023wcoveralldrawn">AUS!#REF!</definedName>
    <definedName name="aus2023wcoveralllost">AUS!#REF!</definedName>
    <definedName name="aus2023wcoverallplayed">AUS!#REF!</definedName>
    <definedName name="aus2023wcoverallptsconc">AUS!#REF!</definedName>
    <definedName name="aus2023wcoverallptsscored">AUS!#REF!</definedName>
    <definedName name="aus2023wcoverallrc">AUS!#REF!</definedName>
    <definedName name="aus2023wcoveralltriesconc">AUS!#REF!</definedName>
    <definedName name="aus2023wcoveralltriesscored">AUS!#REF!</definedName>
    <definedName name="aus2023wcoverallwon">AUS!#REF!</definedName>
    <definedName name="aus2023wcoverallyc">AUS!#REF!</definedName>
    <definedName name="aus2023wcpoolsdg">AUS!#REF!</definedName>
    <definedName name="aus2023wcpoolsdrawn">AUS!#REF!</definedName>
    <definedName name="aus2023wcpoolslb">AUS!#REF!</definedName>
    <definedName name="aus2023wcpoolslbconc">AUS!#REF!</definedName>
    <definedName name="aus2023wcpoolslbcorrect">AUS!#REF!</definedName>
    <definedName name="aus2023wcpoolslost">AUS!#REF!</definedName>
    <definedName name="aus2023wcpoolsplayed">AUS!#REF!</definedName>
    <definedName name="aus2023wcpoolsptsconc">AUS!#REF!</definedName>
    <definedName name="aus2023wcpoolsptsscored">AUS!#REF!</definedName>
    <definedName name="aus2023wcpoolstb">AUS!#REF!</definedName>
    <definedName name="aus2023wcpoolstbconc">AUS!#REF!</definedName>
    <definedName name="aus2023wcpoolstriesconc">AUS!#REF!</definedName>
    <definedName name="aus2023wcpoolstriesscored">AUS!#REF!</definedName>
    <definedName name="aus2023wcpoolstriesscoredcorrect">AUS!#REF!</definedName>
    <definedName name="aus2023wcpoolswon">AUS!#REF!</definedName>
    <definedName name="ausbp">AUS!#REF!</definedName>
    <definedName name="ausd">AUS!#REF!</definedName>
    <definedName name="ausl">AUS!#REF!</definedName>
    <definedName name="auslb">AUS!#REF!</definedName>
    <definedName name="auslbcon">AUS!#REF!</definedName>
    <definedName name="ausoveralldrawn">AUS!#REF!</definedName>
    <definedName name="ausoveralllost">AUS!#REF!</definedName>
    <definedName name="ausoverallpld">AUS!#REF!</definedName>
    <definedName name="ausoverallptsaga">AUS!#REF!</definedName>
    <definedName name="ausoverallptsfor">AUS!#REF!</definedName>
    <definedName name="ausoveralltriescon">AUS!#REF!</definedName>
    <definedName name="ausoveralltriesscored">AUS!#REF!</definedName>
    <definedName name="ausoverallwon">AUS!#REF!</definedName>
    <definedName name="auspl">AUS!#REF!</definedName>
    <definedName name="auspooldrawn">AUS!#REF!</definedName>
    <definedName name="auspoollb">AUS!#REF!</definedName>
    <definedName name="auspoollost">AUS!#REF!</definedName>
    <definedName name="auspoolpld">AUS!#REF!</definedName>
    <definedName name="auspoolptsag">AUS!#REF!</definedName>
    <definedName name="auspoolptsfor">AUS!#REF!</definedName>
    <definedName name="auspooltb">AUS!#REF!</definedName>
    <definedName name="auspooltriescon">AUS!#REF!</definedName>
    <definedName name="auspooltriesscored">AUS!#REF!</definedName>
    <definedName name="auspoolwon">AUS!#REF!</definedName>
    <definedName name="ausptsa">AUS!#REF!</definedName>
    <definedName name="ausptsf">AUS!#REF!</definedName>
    <definedName name="ausrc">AUS!$O$18</definedName>
    <definedName name="ausred">AUS!#REF!</definedName>
    <definedName name="austb">AUS!#REF!</definedName>
    <definedName name="austbcon">AUS!#REF!</definedName>
    <definedName name="austra">AUS!#REF!</definedName>
    <definedName name="australiaalltests2019drawn">AUS!$AB$21</definedName>
    <definedName name="australiaalltests2019lost">AUS!$AC$21</definedName>
    <definedName name="australiaalltests2019played">AUS!$F$21</definedName>
    <definedName name="australiaalltests2019playedcorrect">AUS!$Z$21</definedName>
    <definedName name="australiaalltests2019ptsagainst">AUS!$G$21</definedName>
    <definedName name="australiaalltests2019ptsscored">AUS!$F$21</definedName>
    <definedName name="australiaalltests2019triesconc">AUS!$R$21</definedName>
    <definedName name="australiaalltests2019triesscored">AUS!$J$21</definedName>
    <definedName name="australiaalltests2019won">AUS!$AA$21</definedName>
    <definedName name="Australiaalltestshistdrawn">Sum!$E$4</definedName>
    <definedName name="Australiaalltestshistlost">Sum!$D$4</definedName>
    <definedName name="Australiaalltestshistplayed">Sum!$B$4</definedName>
    <definedName name="Australiaalltestshistptsagainst">Sum!$H$4</definedName>
    <definedName name="Australiaalltestshistptsscored">Sum!$G$4</definedName>
    <definedName name="Australiaalltestshisttriesscored">Sum!$I$4</definedName>
    <definedName name="Australiaalltestshistwon">Sum!$C$4</definedName>
    <definedName name="AustraliaWChistdrawn">Sum!$E$31</definedName>
    <definedName name="AustraliaWChistlost">Sum!$D$31</definedName>
    <definedName name="AustraliaWChistplayed">Sum!$B$31</definedName>
    <definedName name="AustraliaWChistptsagainst">Sum!$H$31</definedName>
    <definedName name="AustraliaWChistptsscored">Sum!$G$31</definedName>
    <definedName name="AustraliaWChisttriesscored">Sum!$I$31</definedName>
    <definedName name="AustraliaWChistwon">Sum!$C$31</definedName>
    <definedName name="austrcdrawn">AUS!$AB$18</definedName>
    <definedName name="austrclb">AUS!$I$18</definedName>
    <definedName name="austrclost">AUS!$AC$18</definedName>
    <definedName name="austrcplayed">AUS!$Z$18</definedName>
    <definedName name="austrcptsconc">AUS!$G$18</definedName>
    <definedName name="austrcptsscored">AUS!$F$18</definedName>
    <definedName name="austrctb">AUS!$H$18</definedName>
    <definedName name="austrctriesconc">AUS!$R$18</definedName>
    <definedName name="austrctriesscored">AUS!$J$18</definedName>
    <definedName name="austrcwon">AUS!$AA$18</definedName>
    <definedName name="austrf">AUS!#REF!</definedName>
    <definedName name="auswon">AUS!#REF!</definedName>
    <definedName name="ausyc">AUS!$N$18</definedName>
    <definedName name="ausyellow">AUS!#REF!</definedName>
    <definedName name="bathbonus">ARG!#REF!</definedName>
    <definedName name="bathbonusccorrect">ARG!#REF!</definedName>
    <definedName name="bathconceded">ARG!#REF!</definedName>
    <definedName name="bathdrawn">ARG!#REF!</definedName>
    <definedName name="bathdropgoals">ARG!#REF!</definedName>
    <definedName name="bathlost">ARG!#REF!</definedName>
    <definedName name="bathpld">ARG!#REF!</definedName>
    <definedName name="bathpodrawn">ARG!#REF!</definedName>
    <definedName name="bathpolost">ARG!#REF!</definedName>
    <definedName name="bathpopld">ARG!#REF!</definedName>
    <definedName name="bathpoptsconceded">ARG!#REF!</definedName>
    <definedName name="bathpoptsscored">ARG!#REF!</definedName>
    <definedName name="bathpored">ARG!#REF!</definedName>
    <definedName name="bathpotriesconceded">ARG!#REF!</definedName>
    <definedName name="bathpotriesscored">ARG!#REF!</definedName>
    <definedName name="bathpowon">ARG!#REF!</definedName>
    <definedName name="bathpoyellow">ARG!#REF!</definedName>
    <definedName name="bathred">ARG!#REF!</definedName>
    <definedName name="bathscored">ARG!#REF!</definedName>
    <definedName name="bathtriesconceded">ARG!#REF!</definedName>
    <definedName name="bathtriesscored">ARG!#REF!</definedName>
    <definedName name="bathtrybonus">ARG!#REF!</definedName>
    <definedName name="bathtrybonusconceded">ARG!#REF!</definedName>
    <definedName name="bathwon">ARG!#REF!</definedName>
    <definedName name="bathyellow">ARG!#REF!</definedName>
    <definedName name="biggarwalatt">#REF!</definedName>
    <definedName name="Biggarwalgls">#REF!</definedName>
    <definedName name="boffelliargyratt">#REF!</definedName>
    <definedName name="Boffelliargyrgls">#REF!</definedName>
    <definedName name="bripremrugbycupseasontbconc">[1]BRI!$P$47</definedName>
    <definedName name="bripremrugbycupseasontbscored">[1]BRI!$H$47</definedName>
    <definedName name="bripremrugbycupseasontriesconc">[1]BRI!$R$47</definedName>
    <definedName name="bripremrugbycupseasontriesscored">[1]BRI!$J$47</definedName>
    <definedName name="Bristolpremseasontotalsdgs">#REF!</definedName>
    <definedName name="Bristolpremseasontotalsdrawn">#REF!</definedName>
    <definedName name="Bristolpremseasontotalslost">#REF!</definedName>
    <definedName name="Bristolpremseasontotalsplayed">#REF!</definedName>
    <definedName name="Bristolpremseasontotalsptsagainst">#REF!</definedName>
    <definedName name="Bristolpremseasontotalsptsscored">#REF!</definedName>
    <definedName name="BristolpremseasontotalsRC">#REF!</definedName>
    <definedName name="Bristolpremseasontotalstriesconceded">#REF!</definedName>
    <definedName name="Bristolpremseasontotalstriesscored">#REF!</definedName>
    <definedName name="Bristolpremseasontotalswon">#REF!</definedName>
    <definedName name="BristolpremseasontotalsYC">#REF!</definedName>
    <definedName name="bstred">#REF!</definedName>
    <definedName name="bsttrybonusconceded">#REF!</definedName>
    <definedName name="bsttrybonusscored">#REF!</definedName>
    <definedName name="bstyellow">#REF!</definedName>
    <definedName name="Bthhistagainst">#REF!</definedName>
    <definedName name="Bthhistdrawn">#REF!</definedName>
    <definedName name="Bthhistfor">#REF!</definedName>
    <definedName name="Bthhistlost">#REF!</definedName>
    <definedName name="Bthhistplayed">#REF!</definedName>
    <definedName name="Bthhisttriesscored">#REF!</definedName>
    <definedName name="Bthhistwon">#REF!</definedName>
    <definedName name="bthpremrugbycupseasontbconc">[1]BTH!$P$49</definedName>
    <definedName name="bthpremrugbycupseasontbscored">[1]BTH!$H$49</definedName>
    <definedName name="bthpremrugbycupseasontriesconc">[1]BTH!$R$49</definedName>
    <definedName name="bthpremrugbycupseasontriesscored">[1]BTH!$J$49</definedName>
    <definedName name="bthpremseasontotalsdgs">#REF!</definedName>
    <definedName name="bthpremseasontotalslost">#REF!</definedName>
    <definedName name="bthpremseasontotalsplayed">#REF!</definedName>
    <definedName name="bthpremseasontotalsptsagainst">#REF!</definedName>
    <definedName name="bthpremseasontotalsptsscored">#REF!</definedName>
    <definedName name="bthpremseasontotalsRC">#REF!</definedName>
    <definedName name="bthpremseasontotalstriesconceded">#REF!</definedName>
    <definedName name="bthpremseasontotalstriesscored">#REF!</definedName>
    <definedName name="bthpremseasontotalswon">#REF!</definedName>
    <definedName name="bthpremseasontotalsYC">#REF!</definedName>
    <definedName name="Byrne_Rireintgls">#REF!</definedName>
    <definedName name="byrnerireintatt">#REF!</definedName>
    <definedName name="can2019alltestsdrawn">CAN!$AB$15</definedName>
    <definedName name="can2019alltestslost">CAN!$AC$15</definedName>
    <definedName name="can2019alltestsplayed">CAN!$Z$15</definedName>
    <definedName name="can2019alltestsptsagainst">CAN!$G$15</definedName>
    <definedName name="can2019alltestsptsscored">CAN!$F$15</definedName>
    <definedName name="can2019allteststriescon">CAN!$R$15</definedName>
    <definedName name="can2019allteststriesscored">CAN!$J$15</definedName>
    <definedName name="can2019alltestswon">CAN!$AA$15</definedName>
    <definedName name="can2019pooldrawn">CAN!#REF!</definedName>
    <definedName name="can2019poollbcon">CAN!#REF!</definedName>
    <definedName name="can2019poollbscored">CAN!#REF!</definedName>
    <definedName name="can2019poollost">CAN!#REF!</definedName>
    <definedName name="can2019poolplayed">CAN!#REF!</definedName>
    <definedName name="can2019poolptsagainst">CAN!#REF!</definedName>
    <definedName name="can2019poolptsscored">CAN!#REF!</definedName>
    <definedName name="can2019pooltbcon">CAN!#REF!</definedName>
    <definedName name="can2019pooltbscored">CAN!#REF!</definedName>
    <definedName name="can2019pooltriescon">CAN!#REF!</definedName>
    <definedName name="can2019pooltriesscored">CAN!#REF!</definedName>
    <definedName name="can2019pooltriesscoredcorrect">CAN!#REF!</definedName>
    <definedName name="can2019poolwon">CAN!#REF!</definedName>
    <definedName name="can2019rwcdrawn">CAN!#REF!</definedName>
    <definedName name="can2019rwclost">CAN!#REF!</definedName>
    <definedName name="can2019rwcplayed">CAN!#REF!</definedName>
    <definedName name="can2019rwcptsagainst">CAN!#REF!</definedName>
    <definedName name="can2019rwcptsscored">CAN!#REF!</definedName>
    <definedName name="can2019rwcrc">CAN!#REF!</definedName>
    <definedName name="can2019rwctriescon">CAN!#REF!</definedName>
    <definedName name="can2019rwctriesscored">CAN!#REF!</definedName>
    <definedName name="can2019rwcwon">CAN!#REF!</definedName>
    <definedName name="can2019rwcyc">CAN!#REF!</definedName>
    <definedName name="Canadaalltestshistdrawn">Sum!$E$5</definedName>
    <definedName name="Canadaalltestshistlost">Sum!$D$5</definedName>
    <definedName name="Canadaalltestshistplayed">Sum!$B$5</definedName>
    <definedName name="Canadaalltestshistptsagainst">Sum!$H$5</definedName>
    <definedName name="Canadaalltestshistptsscored">Sum!$G$5</definedName>
    <definedName name="Canadaalltestshisttriesscored">Sum!$I$5</definedName>
    <definedName name="Canadaalltestshistwon">Sum!$C$5</definedName>
    <definedName name="CanadaRWChistdrawn">Sum!$E$32</definedName>
    <definedName name="CanadaRWChistlost">Sum!$D$32</definedName>
    <definedName name="CanadaRWChistplayed">Sum!$B$32</definedName>
    <definedName name="CanadaRWChistptsagainst">Sum!$H$32</definedName>
    <definedName name="CanadaRWChistptsscored">Sum!$G$32</definedName>
    <definedName name="CanadaRWChisttriesscored">Sum!$I$32</definedName>
    <definedName name="CanadaRWChistwon">Sum!$C$32</definedName>
    <definedName name="canlb">CAN!#REF!</definedName>
    <definedName name="canlbcon">CAN!#REF!</definedName>
    <definedName name="canoveralldrwn">CAN!#REF!</definedName>
    <definedName name="canoveralllost">CAN!#REF!</definedName>
    <definedName name="canoverallpld">CAN!#REF!</definedName>
    <definedName name="canoverallptsag">CAN!#REF!</definedName>
    <definedName name="canoverallptsscored">CAN!#REF!</definedName>
    <definedName name="canoveralltriescon">CAN!#REF!</definedName>
    <definedName name="canoveralltriesscored">CAN!#REF!</definedName>
    <definedName name="canoverallwon">CAN!#REF!</definedName>
    <definedName name="canpooldrawn">CAN!#REF!</definedName>
    <definedName name="canpoollost">CAN!#REF!</definedName>
    <definedName name="canpoolpld">CAN!#REF!</definedName>
    <definedName name="canpoolptsag">CAN!#REF!</definedName>
    <definedName name="canpoolptsscored">CAN!#REF!</definedName>
    <definedName name="canpooltriescon">CAN!#REF!</definedName>
    <definedName name="canpooltriesscored">CAN!#REF!</definedName>
    <definedName name="canpoolwoin">CAN!#REF!</definedName>
    <definedName name="canred">CAN!#REF!</definedName>
    <definedName name="cantb">CAN!#REF!</definedName>
    <definedName name="cantbcon">CAN!#REF!</definedName>
    <definedName name="canyellow">CAN!#REF!</definedName>
    <definedName name="Chilealltesthistdrawn">Sum!$E$6</definedName>
    <definedName name="Chilealltesthistlost">Sum!$D$6</definedName>
    <definedName name="Chilealltesthistplayed">Sum!$B$6</definedName>
    <definedName name="Chilealltesthistptsconc">Sum!$H$6</definedName>
    <definedName name="Chilealltesthistptsscored">Sum!$G$6</definedName>
    <definedName name="Chilealltesthistwon">Sum!$C$6</definedName>
    <definedName name="ChileRWChistdrawn">Sum!$E$33</definedName>
    <definedName name="ChileRWChistlost">Sum!$D$33</definedName>
    <definedName name="ChileRWChistplayed">Sum!$B$33</definedName>
    <definedName name="ChileRWChistptsconc">Sum!$H$33</definedName>
    <definedName name="ChileRWChistptsscored">Sum!$G$33</definedName>
    <definedName name="ChileRWChisttriesscored">Sum!$I$33</definedName>
    <definedName name="ChileRWChistwon">Sum!$C$33</definedName>
    <definedName name="chl2023wcoveralldg">CHI!#REF!</definedName>
    <definedName name="chl2023wcoveralldrawn">CHI!#REF!</definedName>
    <definedName name="chl2023wcoveralllost">CHI!#REF!</definedName>
    <definedName name="chl2023wcoverallplayed">CHI!#REF!</definedName>
    <definedName name="chl2023wcoverallptsconc">CHI!#REF!</definedName>
    <definedName name="chl2023wcoverallptsscored">CHI!#REF!</definedName>
    <definedName name="chl2023wcoverallrc">CHI!#REF!</definedName>
    <definedName name="chl2023wcoveralltriesconc">CHI!#REF!</definedName>
    <definedName name="chl2023wcoveralltriesscored">CHI!#REF!</definedName>
    <definedName name="chl2023wcoverallwon">CHI!#REF!</definedName>
    <definedName name="chl2023wcoverallyc">CHI!#REF!</definedName>
    <definedName name="chl2023wcpoolsdrawn">CHI!$AB$12</definedName>
    <definedName name="chl2023wcpoolslb">CHI!$I$12</definedName>
    <definedName name="chl2023wcpoolslbcon">CHI!$Q$12</definedName>
    <definedName name="chl2023wcpoolslost">CHI!$AC$12</definedName>
    <definedName name="chl2023wcpoolsplayed">CHI!$Z$12</definedName>
    <definedName name="chl2023wcpoolsptsconc">CHI!$G$12</definedName>
    <definedName name="chl2023wcpoolsptsscored">CHI!$F$12</definedName>
    <definedName name="chl2023wcpoolstb">CHI!$H$12</definedName>
    <definedName name="chl2023wcpoolstbcon">CHI!$P$12</definedName>
    <definedName name="chl2023wcpoolstriesconc">CHI!$R$12</definedName>
    <definedName name="chl2023wcpoolstriesscored">CHI!$J$12</definedName>
    <definedName name="chl2023wcpoolswon">CHI!$AA$12</definedName>
    <definedName name="chlyrdg">CHI!$L$14</definedName>
    <definedName name="chlyrdrawn">CHI!$AB$14</definedName>
    <definedName name="chlyrlost">CHI!$AC$14</definedName>
    <definedName name="chlyrplayed">CHI!$Z$14</definedName>
    <definedName name="chlyrptsconc">CHI!$G$14</definedName>
    <definedName name="chlyrptsscored">CHI!$F$14</definedName>
    <definedName name="chlyrtriesconc">CHI!$R$14</definedName>
    <definedName name="chlyrtriesscored">CHI!$J$14</definedName>
    <definedName name="chlyrwon">CHI!$AA$14</definedName>
    <definedName name="Costelowwalyratt">#REF!</definedName>
    <definedName name="Costelowwalyrgls">#REF!</definedName>
    <definedName name="crowleyireyratt">#REF!</definedName>
    <definedName name="Crowleyireyrgls">#REF!</definedName>
    <definedName name="donaldsonausyratt">#REF!</definedName>
    <definedName name="Donaldsonausyrgls">#REF!</definedName>
    <definedName name="drawn">NZL!$AB$19</definedName>
    <definedName name="Eng2019alltestsdrawn">ENG!$AB$17</definedName>
    <definedName name="Eng2019alltestslost">ENG!$AC$17</definedName>
    <definedName name="Eng2019alltestsplayed">ENG!$Z$17</definedName>
    <definedName name="Eng2019alltestsptsagainst">ENG!$G$17</definedName>
    <definedName name="Eng2019alltestsptsscored">ENG!$F$17</definedName>
    <definedName name="Eng2019allteststriescon">ENG!$R$17</definedName>
    <definedName name="Eng2019allteststriesscored">ENG!$J$17</definedName>
    <definedName name="Eng2019alltestswon">ENG!$AA$17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6ntriesconc">ENG!$R$15</definedName>
    <definedName name="Engchampionshipdrawn">Sum!$E$61</definedName>
    <definedName name="Engchampionshiplost">Sum!$D$61</definedName>
    <definedName name="Engchampionshippld">Sum!$B$61</definedName>
    <definedName name="Engchampionshipptsagainst">Sum!$H$61</definedName>
    <definedName name="Engchampionshipptsscored">Sum!$G$61</definedName>
    <definedName name="Engchampionshiptriesscored">Sum!$I$61</definedName>
    <definedName name="Engchampionshipwon">Sum!$C$61</definedName>
    <definedName name="England6nationsdrawn">Sum!$E$71</definedName>
    <definedName name="England6nationslost">Sum!$D$71</definedName>
    <definedName name="England6nationsplayed">Sum!$B$71</definedName>
    <definedName name="England6nationsptsagainst">Sum!$H$71</definedName>
    <definedName name="England6nationsptsscored">Sum!$G$71</definedName>
    <definedName name="England6nationstriesconceded">Sum!$J$71</definedName>
    <definedName name="England6nationstriesscored">Sum!$I$71</definedName>
    <definedName name="England6nationswon">Sum!$C$71</definedName>
    <definedName name="Englandalltestshistdrawn">Sum!$E$7</definedName>
    <definedName name="Englandalltestshistlost">Sum!$D$7</definedName>
    <definedName name="Englandalltestshistplayed">Sum!$B$7</definedName>
    <definedName name="Englandalltestshistptsagainst">Sum!$H$7</definedName>
    <definedName name="Englandalltestshistptsscored">Sum!$G$7</definedName>
    <definedName name="Englandalltestshisttriesscored">Sum!$I$7</definedName>
    <definedName name="Englandalltestshistwon">Sum!$C$7</definedName>
    <definedName name="EnglandChampionshipdrawn">#REF!</definedName>
    <definedName name="EnglandChampionshiplost">#REF!</definedName>
    <definedName name="EnglandChampionshipplayed">#REF!</definedName>
    <definedName name="EnglandChampionshipptsconceded">#REF!</definedName>
    <definedName name="EnglandChampionshipptsscored">#REF!</definedName>
    <definedName name="EnglandChampionshiptriesscored">#REF!</definedName>
    <definedName name="EnglandChampionshipwon">#REF!</definedName>
    <definedName name="Englanddrawn">ENG!$AB$15</definedName>
    <definedName name="Englandlosingbonus">ENG!$I$15</definedName>
    <definedName name="Englandlost">ENG!$AC$15</definedName>
    <definedName name="Englandplayed">ENG!$Z$15</definedName>
    <definedName name="Englandptsagainst">ENG!$G$15</definedName>
    <definedName name="Englandptsscored">ENG!$F$15</definedName>
    <definedName name="Englandred">ENG!$O$15</definedName>
    <definedName name="englandrwc2023overalldg">ENG!#REF!</definedName>
    <definedName name="englandrwc2023overalldrawn">ENG!#REF!</definedName>
    <definedName name="englandrwc2023overalllost">ENG!#REF!</definedName>
    <definedName name="englandrwc2023overallplayed">ENG!#REF!</definedName>
    <definedName name="englandrwc2023overallptscon">ENG!#REF!</definedName>
    <definedName name="englandrwc2023overallptsscored">ENG!#REF!</definedName>
    <definedName name="englandrwc2023overallrc">ENG!#REF!</definedName>
    <definedName name="englandrwc2023overalltriesconc">ENG!#REF!</definedName>
    <definedName name="englandrwc2023overalltriesscored">ENG!#REF!</definedName>
    <definedName name="englandrwc2023overallwon">ENG!#REF!</definedName>
    <definedName name="englandrwc2023overallyc">ENG!#REF!</definedName>
    <definedName name="englandrwc2023poolsdrawn">ENG!#REF!</definedName>
    <definedName name="englandrwc2023poolslb">ENG!#REF!</definedName>
    <definedName name="englandrwc2023poolslbcon">ENG!#REF!</definedName>
    <definedName name="englandrwc2023poolslost">ENG!#REF!</definedName>
    <definedName name="englandrwc2023poolsplayed">ENG!#REF!</definedName>
    <definedName name="englandrwc2023poolsptsconc">ENG!#REF!</definedName>
    <definedName name="englandrwc2023poolsptsscored">ENG!#REF!</definedName>
    <definedName name="englandrwc2023poolstb">ENG!#REF!</definedName>
    <definedName name="englandrwc2023poolstbcon">ENG!#REF!</definedName>
    <definedName name="englandrwc2023poolstriescon">ENG!#REF!</definedName>
    <definedName name="englandrwc2023poolstriesscored">ENG!#REF!</definedName>
    <definedName name="englandrwc2023poolswon">ENG!#REF!</definedName>
    <definedName name="EnglandRWChistdrawn">Sum!$E$34</definedName>
    <definedName name="EnglandRWChistlost">Sum!$D$34</definedName>
    <definedName name="EnglandRWChistplayed">Sum!$B$34</definedName>
    <definedName name="EnglandRWChistptsagainst">Sum!$H$34</definedName>
    <definedName name="EnglandRWChistptsscored">Sum!$G$34</definedName>
    <definedName name="EnglandRWChisttriesscored">Sum!$I$34</definedName>
    <definedName name="EnglandRWChistwon">Sum!$C$34</definedName>
    <definedName name="Englandsixnationsdrawn">#REF!</definedName>
    <definedName name="Englandsixnationslost">#REF!</definedName>
    <definedName name="Englandsixnationsplayed">#REF!</definedName>
    <definedName name="Englandsixnationsptsconceded">#REF!</definedName>
    <definedName name="Englandsixnationsptsscored">#REF!</definedName>
    <definedName name="Englandsixnationstriesscored">#REF!</definedName>
    <definedName name="Englandsixnationswon">#REF!</definedName>
    <definedName name="Englandtriesagainst">ENG!$R$15</definedName>
    <definedName name="Englandtriesscored">ENG!$J$15</definedName>
    <definedName name="Englandtrybonus">ENG!$H$15</definedName>
    <definedName name="Englandwon">ENG!$AA$15</definedName>
    <definedName name="Englandyellow">ENG!$N$15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rugbycupseasontbconc">[1]EXE!$P$49</definedName>
    <definedName name="exepremrugbycupseasontbscored">[1]EXE!$H$49</definedName>
    <definedName name="exepremrugbycupseasontriesconc">[1]EXE!$R$49</definedName>
    <definedName name="exepremrugbycupseasontriesscored">[1]EXE!$J$49</definedName>
    <definedName name="Exepremtotalsdgs">#REF!</definedName>
    <definedName name="Exepremtotalslost">#REF!</definedName>
    <definedName name="Exepremtotalsplayed">#REF!</definedName>
    <definedName name="Exepremtotalsptsagainst">#REF!</definedName>
    <definedName name="Exepremtotalsptsscored">#REF!</definedName>
    <definedName name="Exepremtotalsrc">#REF!</definedName>
    <definedName name="Exepremtotalstriesconceded">#REF!</definedName>
    <definedName name="Exepremtotalstriesscored">#REF!</definedName>
    <definedName name="Exepremtotalswon">#REF!</definedName>
    <definedName name="Exepremtotalsyc">#REF!</definedName>
    <definedName name="exeterbonus">AUS!#REF!</definedName>
    <definedName name="exeterconceded">AUS!#REF!</definedName>
    <definedName name="exeterdrawn">AUS!#REF!</definedName>
    <definedName name="exeterlosingbonus">AUS!#REF!</definedName>
    <definedName name="exeterlosingbonusconceded">AUS!#REF!</definedName>
    <definedName name="exeterlost">AUS!#REF!</definedName>
    <definedName name="exeterpld">AUS!#REF!</definedName>
    <definedName name="exeterpremdrawn">#REF!</definedName>
    <definedName name="exeterpremred">#REF!</definedName>
    <definedName name="exeterpremtrybonusconc">#REF!</definedName>
    <definedName name="exeterpremtrybonusscored">#REF!</definedName>
    <definedName name="exeterpremyellow">#REF!</definedName>
    <definedName name="exeterred">AUS!#REF!</definedName>
    <definedName name="exeterscored">AUS!#REF!</definedName>
    <definedName name="exetertriesconceded">AUS!#REF!</definedName>
    <definedName name="exetertriesscored">AUS!#REF!</definedName>
    <definedName name="exetertrybonusconceded">AUS!#REF!</definedName>
    <definedName name="exetertrybonusscored">AUS!#REF!</definedName>
    <definedName name="exeterwon">AUS!#REF!</definedName>
    <definedName name="exeteryellow">AUS!#REF!</definedName>
    <definedName name="farrellengyratt">#REF!</definedName>
    <definedName name="Farrellengyrgls">#REF!</definedName>
    <definedName name="feapoolptsag">FRA!#REF!</definedName>
    <definedName name="Fij2019alltestsdrawn">FIJ!$AB$15</definedName>
    <definedName name="Fij2019alltestslost">FIJ!$AC$15</definedName>
    <definedName name="Fij2019alltestsplayed">FIJ!$Z$15</definedName>
    <definedName name="Fij2019alltestsptsagainst">FIJ!$G$15</definedName>
    <definedName name="Fij2019alltestsptsscored">FIJ!$F$15</definedName>
    <definedName name="Fij2019allteststriescon">FIJ!$R$15</definedName>
    <definedName name="Fij2019allteststriesscored">FIJ!$J$15</definedName>
    <definedName name="Fij2019alltestswon">FIJ!$AA$15</definedName>
    <definedName name="Fij2019pooldrawn">FIJ!#REF!</definedName>
    <definedName name="Fij2019poollbcon">FIJ!#REF!</definedName>
    <definedName name="Fij2019poollbscored">FIJ!#REF!</definedName>
    <definedName name="Fij2019poollost">FIJ!#REF!</definedName>
    <definedName name="Fij2019poolplayed">FIJ!#REF!</definedName>
    <definedName name="Fij2019poolptsagainst">FIJ!#REF!</definedName>
    <definedName name="Fij2019poolptsscored">FIJ!#REF!</definedName>
    <definedName name="Fij2019pooltbcon">FIJ!#REF!</definedName>
    <definedName name="Fij2019pooltbscored">FIJ!#REF!</definedName>
    <definedName name="Fij2019pooltriescon">FIJ!#REF!</definedName>
    <definedName name="Fij2019pooltriesscored">FIJ!#REF!</definedName>
    <definedName name="Fij2019poolwon">FIJ!#REF!</definedName>
    <definedName name="Fij2019RWCdrawn">FIJ!#REF!</definedName>
    <definedName name="Fij2019RWClost">FIJ!#REF!</definedName>
    <definedName name="Fij2019RWCplayed">FIJ!#REF!</definedName>
    <definedName name="Fij2019RWCptsagainst">FIJ!#REF!</definedName>
    <definedName name="Fij2019RWCptsscored">FIJ!#REF!</definedName>
    <definedName name="Fij2019RWCrc">FIJ!#REF!</definedName>
    <definedName name="Fij2019RWCtriescon">FIJ!#REF!</definedName>
    <definedName name="Fij2019RWCtriesscored">FIJ!#REF!</definedName>
    <definedName name="Fij2019RWCwonj">FIJ!#REF!</definedName>
    <definedName name="Fij2019RWCyc">FIJ!#REF!</definedName>
    <definedName name="Fijialltestshistdrawn">Sum!$E$8</definedName>
    <definedName name="Fijialltestshistlost">Sum!$D$8</definedName>
    <definedName name="Fijialltestshistplayed">Sum!$B$8</definedName>
    <definedName name="Fijialltestshistptsagainst">Sum!$H$8</definedName>
    <definedName name="Fijialltestshistptsscored">Sum!$G$8</definedName>
    <definedName name="Fijialltestshisttriesscored">Sum!$I$8</definedName>
    <definedName name="Fijialltestshistwon">Sum!$C$8</definedName>
    <definedName name="FijiRWChistdrawn">Sum!$E$35</definedName>
    <definedName name="FijiRWChistlost">Sum!$D$35</definedName>
    <definedName name="FijiRWChistplayed">Sum!$B$35</definedName>
    <definedName name="FijiRWChistptsagainst">Sum!$H$35</definedName>
    <definedName name="FijiRWChistptsscored">Sum!$G$35</definedName>
    <definedName name="FijiRWChisttriesscored">Sum!$I$35</definedName>
    <definedName name="FijiRWChistwon">Sum!$C$35</definedName>
    <definedName name="fijlb">FIJ!#REF!</definedName>
    <definedName name="fijlbcon">FIJ!#REF!</definedName>
    <definedName name="fijoveralldrawn">FIJ!#REF!</definedName>
    <definedName name="fijoveralllost">FIJ!#REF!</definedName>
    <definedName name="fijoverallpld">FIJ!#REF!</definedName>
    <definedName name="fijoverallptsaga">FIJ!#REF!</definedName>
    <definedName name="fijoverallptsscored">FIJ!#REF!</definedName>
    <definedName name="fijoveralltriescon">FIJ!#REF!</definedName>
    <definedName name="fijoveralltriesscored">FIJ!#REF!</definedName>
    <definedName name="fijoverallwon">FIJ!#REF!</definedName>
    <definedName name="Fijpooldrawn">FIJ!#REF!</definedName>
    <definedName name="Fijpoollost">FIJ!#REF!</definedName>
    <definedName name="Fijpoolpld">FIJ!#REF!</definedName>
    <definedName name="Fijpoolptsag">FIJ!#REF!</definedName>
    <definedName name="Fijpoolptsscored">FIJ!#REF!</definedName>
    <definedName name="Fijpooltriescon">FIJ!#REF!</definedName>
    <definedName name="Fijpooltriesscored">FIJ!#REF!</definedName>
    <definedName name="Fijpoolwon">FIJ!#REF!</definedName>
    <definedName name="fijred">FIJ!#REF!</definedName>
    <definedName name="fijrwc2023overalldg">FIJ!#REF!</definedName>
    <definedName name="fijrwc2023overalldrawn">FIJ!#REF!</definedName>
    <definedName name="fijrwc2023overalllost">FIJ!#REF!</definedName>
    <definedName name="fijrwc2023overallplayed">FIJ!#REF!</definedName>
    <definedName name="fijrwc2023overallptsconc">FIJ!#REF!</definedName>
    <definedName name="fijrwc2023overallptsscored">FIJ!#REF!</definedName>
    <definedName name="fijrwc2023overallrc">FIJ!#REF!</definedName>
    <definedName name="fijrwc2023overalltriesconc">FIJ!#REF!</definedName>
    <definedName name="fijrwc2023overalltriesscored">FIJ!#REF!</definedName>
    <definedName name="fijrwc2023overallwon">FIJ!#REF!</definedName>
    <definedName name="fijrwc2023overallyc">FIJ!#REF!</definedName>
    <definedName name="fijrwc2023poolsdrawn">FIJ!$AB$14</definedName>
    <definedName name="fijrwc2023poolslb">FIJ!$I$14</definedName>
    <definedName name="fijrwc2023poolslbconc">FIJ!$Q$14</definedName>
    <definedName name="fijrwc2023poolslost">FIJ!$AC$14</definedName>
    <definedName name="fijrwc2023poolsplayed">FIJ!$Z$14</definedName>
    <definedName name="fijrwc2023poolsptsconc">FIJ!$G$14</definedName>
    <definedName name="fijrwc2023poolsptsscored">FIJ!$F$14</definedName>
    <definedName name="fijrwc2023poolstb">FIJ!$H$14</definedName>
    <definedName name="fijrwc2023poolstbconc">FIJ!$P$14</definedName>
    <definedName name="fijrwc2023poolstriesconc">FIJ!$R$14</definedName>
    <definedName name="fijrwc2023poolstriesscored">FIJ!$J$14</definedName>
    <definedName name="fijrwc2023poolswon">FIJ!$AA$14</definedName>
    <definedName name="fijtb">FIJ!#REF!</definedName>
    <definedName name="fijtbcon">FIJ!#REF!</definedName>
    <definedName name="fijyellow">FIJ!#REF!</definedName>
    <definedName name="fordengyratt">#REF!</definedName>
    <definedName name="Fordengyrgls">#REF!</definedName>
    <definedName name="Fra2019alltestsdrawn">FRA!$AB$17</definedName>
    <definedName name="Fra2019alltestslost">FRA!$AC$17</definedName>
    <definedName name="Fra2019alltestsplayed">FRA!$Z$17</definedName>
    <definedName name="Fra2019alltestsptsagainst">FRA!$G$17</definedName>
    <definedName name="Fra2019alltestsptsscored">FRA!$F$17</definedName>
    <definedName name="Fra2019allteststriescon">FRA!$R$17</definedName>
    <definedName name="Fra2019allteststriesscored">FRA!$J$17</definedName>
    <definedName name="Fra2019alltestswon">FRA!$AA$17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6ntriesconc">FRA!$R$15</definedName>
    <definedName name="fralb">FRA!#REF!</definedName>
    <definedName name="fralbcon">FRA!#REF!</definedName>
    <definedName name="france6nationsdrawn">Sum!$E$72</definedName>
    <definedName name="france6nationslost">Sum!$D$72</definedName>
    <definedName name="france6nationsplayed">Sum!$B$72</definedName>
    <definedName name="france6nationsptsconceded">Sum!$H$72</definedName>
    <definedName name="france6nationsptsscored">Sum!$G$72</definedName>
    <definedName name="france6nationstriesscored">Sum!$I$72</definedName>
    <definedName name="france6nationswon">Sum!$C$72</definedName>
    <definedName name="Francealltestshistdrawn">Sum!$E$9</definedName>
    <definedName name="Francealltestshistlost">Sum!$D$9</definedName>
    <definedName name="Francealltestshistplayed">Sum!$B$9</definedName>
    <definedName name="Francealltestshistptscon">Sum!$H$9</definedName>
    <definedName name="Francealltestshistptsscored">Sum!$G$9</definedName>
    <definedName name="Francealltestshisttriesscored">Sum!$I$9</definedName>
    <definedName name="Francealltestshistwon">Sum!$C$9</definedName>
    <definedName name="francechampionshipdrawn">Sum!$E$62</definedName>
    <definedName name="francechampionshiplost">Sum!$D$62</definedName>
    <definedName name="francechampionshipplayed">Sum!$B$62</definedName>
    <definedName name="francechampionshipptsconceded">Sum!$H$62</definedName>
    <definedName name="francechampionshipptsscored">Sum!$G$62</definedName>
    <definedName name="francechampionshiptriesscored">Sum!$I$62</definedName>
    <definedName name="francechampionshipwon">Sum!$C$62</definedName>
    <definedName name="Francedrawn">FRA!$AB$15</definedName>
    <definedName name="Francelosingbonus">FRA!$I$15</definedName>
    <definedName name="Francelost">FRA!$AC$15</definedName>
    <definedName name="Franceplayed">FRA!$Z$15</definedName>
    <definedName name="Franceptsagainst">FRA!$G$15</definedName>
    <definedName name="Franceptsscored">FRA!$F$15</definedName>
    <definedName name="Francered">FRA!$O$15</definedName>
    <definedName name="FranceRWChistdrawn">Sum!$E$36</definedName>
    <definedName name="FranceRWChistlost">Sum!$D$36</definedName>
    <definedName name="FranceRWChistplayed">Sum!$B$36</definedName>
    <definedName name="FranceRWChistptsagainst">Sum!$H$36</definedName>
    <definedName name="FranceRWChistptsscored">Sum!$G$36</definedName>
    <definedName name="FranceRWChisttriesscored">Sum!$I$36</definedName>
    <definedName name="FranceRWChistwon">Sum!$C$36</definedName>
    <definedName name="Francetriesagainst">FRA!$R$15</definedName>
    <definedName name="Francetriesscored">FRA!$J$15</definedName>
    <definedName name="Francetrybonus">FRA!$H$15</definedName>
    <definedName name="Francewon">FRA!$AA$15</definedName>
    <definedName name="FRanceyellow">FRA!$N$15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rwc2023overalldg">FRA!#REF!</definedName>
    <definedName name="frarwc2023overalldrawn">FRA!#REF!</definedName>
    <definedName name="frarwc2023overalllost">FRA!#REF!</definedName>
    <definedName name="frarwc2023overallplayed">FRA!#REF!</definedName>
    <definedName name="frarwc2023overallptsconc">FRA!#REF!</definedName>
    <definedName name="frarwc2023overallptsscored">FRA!#REF!</definedName>
    <definedName name="frarwc2023overallrc">FRA!#REF!</definedName>
    <definedName name="frarwc2023overalltriesconc">FRA!#REF!</definedName>
    <definedName name="frarwc2023overalltriesscored">FRA!#REF!</definedName>
    <definedName name="frarwc2023overallwon">FRA!#REF!</definedName>
    <definedName name="frarwc2023overallyc">FRA!#REF!</definedName>
    <definedName name="frarwc2023poolsdrawn">FRA!#REF!</definedName>
    <definedName name="frarwc2023poolslb">FRA!#REF!</definedName>
    <definedName name="frarwc2023poolslbcon">FRA!#REF!</definedName>
    <definedName name="frarwc2023poolslost">FRA!#REF!</definedName>
    <definedName name="frarwc2023poolsplayed">FRA!#REF!</definedName>
    <definedName name="frarwc2023poolsptsconc">FRA!#REF!</definedName>
    <definedName name="frarwc2023poolsptsscored">FRA!#REF!</definedName>
    <definedName name="frarwc2023poolstb">FRA!#REF!</definedName>
    <definedName name="frarwc2023poolstbcon">FRA!#REF!</definedName>
    <definedName name="frarwc2023poolstriesconc">FRA!#REF!</definedName>
    <definedName name="frarwc2023poolstriesscored">FRA!#REF!</definedName>
    <definedName name="frarwc2023poolswon">FRA!#REF!</definedName>
    <definedName name="fratb">FRA!#REF!</definedName>
    <definedName name="fratbcon">FRA!#REF!</definedName>
    <definedName name="frayellow">FRA!#REF!</definedName>
    <definedName name="g">#REF!</definedName>
    <definedName name="garbisiitayearatt">#REF!</definedName>
    <definedName name="Garbisiitayeargls">#REF!</definedName>
    <definedName name="Geo2019alltestsdrawn">GEO!$AB$16</definedName>
    <definedName name="Geo2019alltestslost">GEO!$AC$16</definedName>
    <definedName name="Geo2019alltestsplayed">GEO!$Z$16</definedName>
    <definedName name="Geo2019alltestsptsagainst">GEO!$G$16</definedName>
    <definedName name="Geo2019alltestsptsscored">GEO!$F$16</definedName>
    <definedName name="Geo2019allteststriesconceded">GEO!$R$16</definedName>
    <definedName name="Geo2019allteststriesscored">GEO!$J$16</definedName>
    <definedName name="Geo2019alltestswon">GEO!$AA$16</definedName>
    <definedName name="Geo2019pooldrawn">GEO!#REF!</definedName>
    <definedName name="Geo2019poollbcon">GEO!#REF!</definedName>
    <definedName name="Geo2019poollbscored">GEO!#REF!</definedName>
    <definedName name="Geo2019poollost">GEO!#REF!</definedName>
    <definedName name="Geo2019poolplayed">GEO!#REF!</definedName>
    <definedName name="Geo2019poolptsagainst">GEO!#REF!</definedName>
    <definedName name="Geo2019poolptsscored">GEO!#REF!</definedName>
    <definedName name="Geo2019pooltbcon">GEO!#REF!</definedName>
    <definedName name="Geo2019pooltbscored">GEO!#REF!</definedName>
    <definedName name="Geo2019pooltriescon">GEO!#REF!</definedName>
    <definedName name="Geo2019pooltriesscored">GEO!#REF!</definedName>
    <definedName name="Geo2019poolwon">GEO!#REF!</definedName>
    <definedName name="Geo2019RWCdrawn">GEO!#REF!</definedName>
    <definedName name="Geo2019RWClost">GEO!#REF!</definedName>
    <definedName name="Geo2019RWCplayed">GEO!#REF!</definedName>
    <definedName name="Geo2019RWCptsagainst">GEO!#REF!</definedName>
    <definedName name="Geo2019RWCptsscored">GEO!#REF!</definedName>
    <definedName name="Geo2019RWCrc">GEO!#REF!</definedName>
    <definedName name="Geo2019RWCtriescon">GEO!#REF!</definedName>
    <definedName name="Geo2019RWCtriesscored">GEO!#REF!</definedName>
    <definedName name="Geo2019RWCwon">GEO!#REF!</definedName>
    <definedName name="Geo2019RWCyc">GEO!#REF!</definedName>
    <definedName name="geolb">GEO!#REF!</definedName>
    <definedName name="geolbcon">GEO!#REF!</definedName>
    <definedName name="geooveralldrawn">GEO!#REF!</definedName>
    <definedName name="geooveralllost">GEO!#REF!</definedName>
    <definedName name="geooverallpld">GEO!#REF!</definedName>
    <definedName name="geooverallptsag">GEO!#REF!</definedName>
    <definedName name="geooverallptsscored">GEO!#REF!</definedName>
    <definedName name="geooveralltriescon">GEO!#REF!</definedName>
    <definedName name="geooveralltriesscored">GEO!#REF!</definedName>
    <definedName name="geooverallwon">GEO!#REF!</definedName>
    <definedName name="geopooldrawn">GEO!#REF!</definedName>
    <definedName name="geopoollost">GEO!#REF!</definedName>
    <definedName name="geopoolpld">GEO!#REF!</definedName>
    <definedName name="geopoolptsag">GEO!#REF!</definedName>
    <definedName name="geopoolptsscored">GEO!#REF!</definedName>
    <definedName name="geopooltriescon">GEO!#REF!</definedName>
    <definedName name="geopooltriesscored">GEO!#REF!</definedName>
    <definedName name="geopoolwon">GEO!#REF!</definedName>
    <definedName name="geored">GEO!#REF!</definedName>
    <definedName name="Georgiaalltestshistdrawn">Sum!$E$10</definedName>
    <definedName name="Georgiaalltestshistlost">Sum!$D$10</definedName>
    <definedName name="Georgiaalltestshistplayed">Sum!$B$10</definedName>
    <definedName name="Georgiaalltestshistptsagainst">Sum!$H$10</definedName>
    <definedName name="Georgiaalltestshistptsscored">Sum!$G$10</definedName>
    <definedName name="Georgiaalltestshisttriesscored">Sum!$I$10</definedName>
    <definedName name="Georgiaalltestshistwon">Sum!$C$10</definedName>
    <definedName name="GeorgiaRWChistdrawn">Sum!$E$37</definedName>
    <definedName name="GeorgiaRWChistlost">Sum!$D$37</definedName>
    <definedName name="GeorgiaRWChistplayed">Sum!$B$37</definedName>
    <definedName name="GeorgiaRWChistptsagainst">Sum!$H$37</definedName>
    <definedName name="GeorgiaRWChistptsscored">Sum!$G$37</definedName>
    <definedName name="GeorgiaRWChisttriesscored">Sum!$I$37</definedName>
    <definedName name="GeorgiaRWChistwon">Sum!$C$37</definedName>
    <definedName name="georwc2023overalldg">GEO!#REF!</definedName>
    <definedName name="georwc2023overalldrawn">GEO!#REF!</definedName>
    <definedName name="georwc2023overalllost">GEO!#REF!</definedName>
    <definedName name="georwc2023overallplayed">GEO!#REF!</definedName>
    <definedName name="georwc2023overallptsconc">GEO!#REF!</definedName>
    <definedName name="georwc2023overallptsscored">GEO!#REF!</definedName>
    <definedName name="georwc2023overallrc">GEO!#REF!</definedName>
    <definedName name="georwc2023overalltriesconc">GEO!#REF!</definedName>
    <definedName name="georwc2023overalltriesscored">GEO!#REF!</definedName>
    <definedName name="georwc2023overallwon">GEO!#REF!</definedName>
    <definedName name="georwc2023overallyc">GEO!#REF!</definedName>
    <definedName name="georwc2023poolsdrawn">GEO!#REF!</definedName>
    <definedName name="georwc2023poolslb">GEO!#REF!</definedName>
    <definedName name="georwc2023poolslbcon">GEO!#REF!</definedName>
    <definedName name="georwc2023poolslost">GEO!#REF!</definedName>
    <definedName name="georwc2023poolsplayed">GEO!#REF!</definedName>
    <definedName name="georwc2023poolsptsconc">GEO!#REF!</definedName>
    <definedName name="georwc2023poolsptsscored">GEO!#REF!</definedName>
    <definedName name="georwc2023poolstb">GEO!#REF!</definedName>
    <definedName name="georwc2023poolstbcon">GEO!#REF!</definedName>
    <definedName name="georwc2023poolstriesconc">GEO!#REF!</definedName>
    <definedName name="georwc2023poolstriesscored">GEO!#REF!</definedName>
    <definedName name="georwc2023poolswon">GEO!#REF!</definedName>
    <definedName name="geotb">GEO!#REF!</definedName>
    <definedName name="geotbcon">GEO!#REF!</definedName>
    <definedName name="geoyellow">GEO!#REF!</definedName>
    <definedName name="glopremrugbycupseasontbconc">[1]GLO!$P$45</definedName>
    <definedName name="glopremrugbycupseasontbscored">[1]GLO!$H$45</definedName>
    <definedName name="glopremrugbycupseasontriesconc">[1]GLO!$R$45</definedName>
    <definedName name="glopremrugbycupseasontriesscored">[1]GLO!$J$45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#REF!</definedName>
    <definedName name="gloucesterpremseasontotalsdgs">#REF!</definedName>
    <definedName name="gloucesterpremseasontotalsdrawn">#REF!</definedName>
    <definedName name="gloucesterpremseasontotalslost">#REF!</definedName>
    <definedName name="gloucesterpremseasontotalsplayed">#REF!</definedName>
    <definedName name="gloucesterpremseasontotalsptsagainst">#REF!</definedName>
    <definedName name="gloucesterpremseasontotalsptsscored">#REF!</definedName>
    <definedName name="gloucesterpremseasontotalsRC">#REF!</definedName>
    <definedName name="gloucesterpremseasontotalstriesconceded">#REF!</definedName>
    <definedName name="gloucesterpremseasontotalstriesscored">#REF!</definedName>
    <definedName name="gloucesterpremseasontotalswon">#REF!</definedName>
    <definedName name="gloucesterpremseasontotalsYC">#REF!</definedName>
    <definedName name="gloucesterpremtrybonusconc">#REF!</definedName>
    <definedName name="gloucesterpremtrybonusscored">#REF!</definedName>
    <definedName name="gloucesterpremyellow">#REF!</definedName>
    <definedName name="Gordon_Causyrgls">#REF!</definedName>
    <definedName name="gordsoncausyratt">#REF!</definedName>
    <definedName name="halfpennywalyratts">#REF!</definedName>
    <definedName name="Halfpennywalyrgls">#REF!</definedName>
    <definedName name="harbonus">FIJ!#REF!</definedName>
    <definedName name="harconceded">FIJ!#REF!</definedName>
    <definedName name="hardrawn">FIJ!#REF!</definedName>
    <definedName name="harlequinspremred">#REF!</definedName>
    <definedName name="harlequinspremseasontotalsdgs">#REF!</definedName>
    <definedName name="harlequinspremseasontotalsdrawn">#REF!</definedName>
    <definedName name="harlequinspremseasontotalslost">#REF!</definedName>
    <definedName name="harlequinspremseasontotalsplayed">#REF!</definedName>
    <definedName name="harlequinspremseasontotalsptsagainst">#REF!</definedName>
    <definedName name="harlequinspremseasontotalsptsscored">#REF!</definedName>
    <definedName name="harlequinspremseasontotalsRC">#REF!</definedName>
    <definedName name="harlequinspremseasontotalstriesconceded">#REF!</definedName>
    <definedName name="harlequinspremseasontotalstriesscored">#REF!</definedName>
    <definedName name="harlequinspremseasontotalswon">#REF!</definedName>
    <definedName name="harlequinspremseasontotalsYC">#REF!</definedName>
    <definedName name="harlequinspremtrybonuscon">#REF!</definedName>
    <definedName name="harlequinspremtrybonusscored">#REF!</definedName>
    <definedName name="harlequinspremyellow">#REF!</definedName>
    <definedName name="harlosingbonus">FIJ!#REF!</definedName>
    <definedName name="harlosingbonusconceded">FIJ!#REF!</definedName>
    <definedName name="harlost">FIJ!#REF!</definedName>
    <definedName name="harplayed">FIJ!#REF!</definedName>
    <definedName name="harpremrugbycupseasontbconc">[1]HAR!$P$47</definedName>
    <definedName name="harpremrugbycupseasontbscored">[1]HAR!$H$47</definedName>
    <definedName name="harpremrugbycupseasontriesconc">[1]HAR!$R$47</definedName>
    <definedName name="harpremrugbycupseasontriesscored">[1]HAR!$J$47</definedName>
    <definedName name="harred">FIJ!#REF!</definedName>
    <definedName name="harscored">FIJ!#REF!</definedName>
    <definedName name="hartriesconceded">FIJ!#REF!</definedName>
    <definedName name="hartriesscored">FIJ!#REF!</definedName>
    <definedName name="hartrybonus">FIJ!#REF!</definedName>
    <definedName name="hartrybonusconceded">FIJ!#REF!</definedName>
    <definedName name="harwon">FIJ!#REF!</definedName>
    <definedName name="haryellow">FIJ!#REF!</definedName>
    <definedName name="healyscoyratt">#REF!</definedName>
    <definedName name="Healyscoyrgls">#REF!</definedName>
    <definedName name="Ire2019alltestsdrawn">IRE!$AB$17</definedName>
    <definedName name="Ire2019alltestslost">IRE!$AC$17</definedName>
    <definedName name="Ire2019alltestsplayed">IRE!$Z$17</definedName>
    <definedName name="Ire2019alltestsptscon">IRE!$G$17</definedName>
    <definedName name="Ire2019alltestsptsscored">IRE!$F$17</definedName>
    <definedName name="Ire2019allteststriescon">IRE!$R$17</definedName>
    <definedName name="Ire2019allteststriesscored">IRE!$J$17</definedName>
    <definedName name="Ire2019alltestswon">IRE!$AA$17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6ntriesconc">IRE!$R$15</definedName>
    <definedName name="Ireland6nationsdrawn">Sum!$E$73</definedName>
    <definedName name="Ireland6nationslost">Sum!$D$73</definedName>
    <definedName name="Ireland6nationsplayed">Sum!$B$73</definedName>
    <definedName name="Ireland6nationsptsconceded">Sum!$H$73</definedName>
    <definedName name="Ireland6nationsptsscored">Sum!$G$73</definedName>
    <definedName name="Ireland6nationstriesscored">Sum!$I$73</definedName>
    <definedName name="Ireland6nationswon">Sum!$C$73</definedName>
    <definedName name="Irelandalltestshistdrawn">Sum!$E$11</definedName>
    <definedName name="Irelandalltestshistlost">Sum!$D$11</definedName>
    <definedName name="Irelandalltestshistplayed">Sum!$B$11</definedName>
    <definedName name="Irelandalltestshistptsagainst">Sum!$H$11</definedName>
    <definedName name="Irelandalltestshistptsscored">Sum!$G$11</definedName>
    <definedName name="Irelandalltestshisttriesscored">Sum!$I$11</definedName>
    <definedName name="Irelandalltestshistwon">Sum!$C$11</definedName>
    <definedName name="Irelandchampionshipdrawn">Sum!$E$63</definedName>
    <definedName name="Irelandchampionshiplost">Sum!$D$63</definedName>
    <definedName name="Irelandchampionshipplayed">Sum!$B$63</definedName>
    <definedName name="Irelandchampionshipptsconceded">Sum!$H$63</definedName>
    <definedName name="Irelandchampionshipptsscored">Sum!$G$63</definedName>
    <definedName name="Irelandchampionshiptriesscored">Sum!$I$63</definedName>
    <definedName name="Irelandchampionshipwon">Sum!$C$63</definedName>
    <definedName name="Irelanddrawn">IRE!$AB$15</definedName>
    <definedName name="Irelandlosingbonus">IRE!$I$15</definedName>
    <definedName name="Irelandlost">IRE!$AC$15</definedName>
    <definedName name="Irelandplayed">IRE!$Z$15</definedName>
    <definedName name="Irelandptsagainst">IRE!$G$15</definedName>
    <definedName name="Irelandptsscored">IRE!$F$15</definedName>
    <definedName name="Irelandred">IRE!$O$15</definedName>
    <definedName name="IrelandRWChistdrawn">Sum!$E$38</definedName>
    <definedName name="IrelandRWChistlost">Sum!$D$38</definedName>
    <definedName name="IrelandRWChistplayed">Sum!$B$38</definedName>
    <definedName name="IrelandRWChistptsagainst">Sum!$H$38</definedName>
    <definedName name="IrelandRWChistptsscored">Sum!$G$38</definedName>
    <definedName name="IrelandRWChisttriesscored">Sum!$I$38</definedName>
    <definedName name="IrelandRWChistwon">Sum!$C$38</definedName>
    <definedName name="Irelandtriesagainst">IRE!$R$15</definedName>
    <definedName name="Irelandtriesscored">IRE!$J$15</definedName>
    <definedName name="Irelandtrybonus">IRE!$H$15</definedName>
    <definedName name="Irelandwon">IRE!$AA$15</definedName>
    <definedName name="Irelandyellow">IRE!$N$15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rwc2023overalldg">IRE!#REF!</definedName>
    <definedName name="irerwc2023overalldrawn">IRE!#REF!</definedName>
    <definedName name="irerwc2023overalllost">IRE!#REF!</definedName>
    <definedName name="irerwc2023overallplayed">IRE!#REF!</definedName>
    <definedName name="irerwc2023overallptsconc">IRE!#REF!</definedName>
    <definedName name="irerwc2023overallptsscored">IRE!#REF!</definedName>
    <definedName name="irerwc2023overallrc">IRE!#REF!</definedName>
    <definedName name="irerwc2023overalltriesconc">IRE!#REF!</definedName>
    <definedName name="irerwc2023overalltriesscored">IRE!#REF!</definedName>
    <definedName name="irerwc2023overallwon">IRE!#REF!</definedName>
    <definedName name="irerwc2023overallyc">IRE!#REF!</definedName>
    <definedName name="irerwc2023poolsdrawn">IRE!#REF!</definedName>
    <definedName name="irerwc2023poolslb">IRE!#REF!</definedName>
    <definedName name="irerwc2023poolslbcon">IRE!#REF!</definedName>
    <definedName name="irerwc2023poolslost">IRE!#REF!</definedName>
    <definedName name="irerwc2023poolsplayed">IRE!#REF!</definedName>
    <definedName name="irerwc2023poolsptsconc">IRE!#REF!</definedName>
    <definedName name="irerwc2023poolsptsscored">IRE!#REF!</definedName>
    <definedName name="irerwc2023poolstb">IRE!#REF!</definedName>
    <definedName name="irerwc2023poolstbcon">IRE!#REF!</definedName>
    <definedName name="irerwc2023poolstriesconc">IRE!#REF!</definedName>
    <definedName name="irerwc2023poolstriesscored">IRE!#REF!</definedName>
    <definedName name="irerwc2023poolswon">IRE!#REF!</definedName>
    <definedName name="iretb">IRE!#REF!</definedName>
    <definedName name="iretbcon">IRE!#REF!</definedName>
    <definedName name="ireyellow">IRE!#REF!</definedName>
    <definedName name="ita2019alltestsdrawn">ITA!$AB$17</definedName>
    <definedName name="ita2019alltestslost">ITA!$AC$17</definedName>
    <definedName name="ita2019alltestsplayed">ITA!$Z$17</definedName>
    <definedName name="ita2019alltestsptscon">ITA!$G$17</definedName>
    <definedName name="ita2019alltestsptsscored">ITA!$F$17</definedName>
    <definedName name="ita2019allteststriescon">ITA!$R$17</definedName>
    <definedName name="ita2019allteststriesscored">ITA!$J$17</definedName>
    <definedName name="ita2019alltestswon">ITA!$AA$17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6ntriesconc">ITA!$R$15</definedName>
    <definedName name="italb">ITA!#REF!</definedName>
    <definedName name="italbcon">ITA!#REF!</definedName>
    <definedName name="Italyalltestshistdrawn">Sum!$E$12</definedName>
    <definedName name="Italyalltestshistlost">Sum!$D$12</definedName>
    <definedName name="Italyalltestshistplayed">Sum!$B$12</definedName>
    <definedName name="Italyalltestshistptsagainst">Sum!$H$12</definedName>
    <definedName name="Italyalltestshistptsscored">Sum!$G$12</definedName>
    <definedName name="Italyalltestshisttriesscored">Sum!$I$12</definedName>
    <definedName name="Italyalltestshistwon">Sum!$C$12</definedName>
    <definedName name="Italydrawn">ITA!$AB$15</definedName>
    <definedName name="Italylosingbonus">ITA!$I$15</definedName>
    <definedName name="Italylost">ITA!$AC$15</definedName>
    <definedName name="Italyplayed">ITA!$Z$15</definedName>
    <definedName name="Italyptsagainst">ITA!$G$15</definedName>
    <definedName name="Italyptsscored">ITA!$F$15</definedName>
    <definedName name="Italyred">ITA!$O$15</definedName>
    <definedName name="ItalyRWChistdrawn">Sum!$E$39</definedName>
    <definedName name="ItalyRWChistlost">Sum!$D$39</definedName>
    <definedName name="ItalyRWChistplayed">Sum!$B$39</definedName>
    <definedName name="ItalyRWChistptsagainst">Sum!$H$39</definedName>
    <definedName name="ItalyRWChistptsscored">Sum!$G$39</definedName>
    <definedName name="ItalyRWChisttriesscored">Sum!$I$39</definedName>
    <definedName name="ItalyRWChistwon">Sum!$C$39</definedName>
    <definedName name="Italysixnationsdrawn">Sum!$E$74</definedName>
    <definedName name="Italysixnationslost">Sum!$D$74</definedName>
    <definedName name="Italysixnationsplayed">Sum!$B$74</definedName>
    <definedName name="Italysixnationsptsconceded">Sum!$H$74</definedName>
    <definedName name="Italysixnationsptsscored">Sum!$G$74</definedName>
    <definedName name="Italysixnationstriesscored">Sum!$I$74</definedName>
    <definedName name="Italysixnationswon">Sum!$C$74</definedName>
    <definedName name="Italytriesagainst">ITA!$R$15</definedName>
    <definedName name="Italytriesscored">ITA!$J$15</definedName>
    <definedName name="Italytrybonus">ITA!$H$15</definedName>
    <definedName name="Italywon">ITA!$AA$15</definedName>
    <definedName name="Italyyellow">ITA!$N$15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rwc2023overalldg">ITA!#REF!</definedName>
    <definedName name="itarwc2023overalldrawn">ITA!#REF!</definedName>
    <definedName name="itarwc2023overalllost">ITA!#REF!</definedName>
    <definedName name="itarwc2023overallplayed">ITA!#REF!</definedName>
    <definedName name="itarwc2023overallptsconc">ITA!#REF!</definedName>
    <definedName name="itarwc2023overallptsscored">ITA!#REF!</definedName>
    <definedName name="itarwc2023overallrc">ITA!#REF!</definedName>
    <definedName name="itarwc2023overalltriesconc">ITA!#REF!</definedName>
    <definedName name="itarwc2023overalltriesscored">ITA!#REF!</definedName>
    <definedName name="itarwc2023overallwon">ITA!#REF!</definedName>
    <definedName name="itarwc2023overallyc">ITA!#REF!</definedName>
    <definedName name="itarwc2023pools">ITA!#REF!</definedName>
    <definedName name="itarwc2023poolsdrawn">ITA!#REF!</definedName>
    <definedName name="itarwc2023poolslb">ITA!#REF!</definedName>
    <definedName name="itarwc2023poolslbcon">ITA!#REF!</definedName>
    <definedName name="itarwc2023poolslost">ITA!#REF!</definedName>
    <definedName name="itarwc2023poolsplayed">ITA!#REF!</definedName>
    <definedName name="itarwc2023poolsptsconc">ITA!#REF!</definedName>
    <definedName name="itarwc2023poolsptsscored">ITA!#REF!</definedName>
    <definedName name="itarwc2023poolstb">ITA!#REF!</definedName>
    <definedName name="itarwc2023poolstbcon">ITA!#REF!</definedName>
    <definedName name="itarwc2023poolstriescon">ITA!#REF!</definedName>
    <definedName name="itarwc2023poolstriesscored">ITA!#REF!</definedName>
    <definedName name="itarwc2023poolswon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minetfrayearatt">#REF!</definedName>
    <definedName name="Jaminetfrayeargls">#REF!</definedName>
    <definedName name="Japanalltestshistdrawn">Sum!$E$13</definedName>
    <definedName name="Japanalltestshistlost">Sum!$D$13</definedName>
    <definedName name="Japanalltestshistplayed">Sum!$B$13</definedName>
    <definedName name="Japanalltestshistptscon">Sum!$H$13</definedName>
    <definedName name="Japanalltestshistptsscored">Sum!$G$13</definedName>
    <definedName name="Japanalltestshisttriesscored">Sum!$G$13</definedName>
    <definedName name="Japanalltestshisttriesscoredcorrect">Sum!$I$13</definedName>
    <definedName name="Japanalltestshistwon">Sum!$C$13</definedName>
    <definedName name="JapanRWChistdrawn">Sum!$E$41</definedName>
    <definedName name="JapanRWChistlost">Sum!$D$41</definedName>
    <definedName name="JapanRWChistplayed">Sum!$B$41</definedName>
    <definedName name="JapanRWChistptsagainst">Sum!$H$41</definedName>
    <definedName name="JapanRWChistptsscored">Sum!$G$41</definedName>
    <definedName name="JapanRWChisttriesscored">Sum!$I$41</definedName>
    <definedName name="JapanRWChistwon">Sum!$C$41</definedName>
    <definedName name="jpn2019alltestsdrawn">JPN!$AB$17</definedName>
    <definedName name="jpn2019alltestslost">JPN!$AC$17</definedName>
    <definedName name="jpn2019alltestsplayed">JPN!$Z$17</definedName>
    <definedName name="jpn2019alltestsptsagainst">JPN!$G$17</definedName>
    <definedName name="jpn2019alltestsptsscored">JPN!$F$17</definedName>
    <definedName name="jpn2019allteststriescon">JPN!$R$17</definedName>
    <definedName name="jpn2019allteststriesscored">JPN!$J$17</definedName>
    <definedName name="jpn2019alltestswon">JPN!$AA$17</definedName>
    <definedName name="jpn2019pooldrawn">JPN!#REF!</definedName>
    <definedName name="jpn2019poollbcon">JPN!#REF!</definedName>
    <definedName name="jpn2019poollbscored">JPN!#REF!</definedName>
    <definedName name="jpn2019poollost">JPN!#REF!</definedName>
    <definedName name="jpn2019poolplayed">JPN!#REF!</definedName>
    <definedName name="jpn2019poolptscon">JPN!#REF!</definedName>
    <definedName name="jpn2019poolptsscored">JPN!#REF!</definedName>
    <definedName name="jpn2019pooltbcon">JPN!#REF!</definedName>
    <definedName name="jpn2019pooltbscored">JPN!#REF!</definedName>
    <definedName name="jpn2019pooltriescon">JPN!#REF!</definedName>
    <definedName name="jpn2019pooltriesscored">JPN!#REF!</definedName>
    <definedName name="jpn2019poolwon">JPN!#REF!</definedName>
    <definedName name="jpn2019rwcdrawn">JPN!#REF!</definedName>
    <definedName name="jpn2019rwclost">JPN!#REF!</definedName>
    <definedName name="jpn2019rwcplayed">JPN!#REF!</definedName>
    <definedName name="jpn2019rwcptsagainst">JPN!#REF!</definedName>
    <definedName name="jpn2019rwcptsscored">JPN!#REF!</definedName>
    <definedName name="jpn2019rwcrc">JPN!#REF!</definedName>
    <definedName name="jpn2019rwctriescon">JPN!#REF!</definedName>
    <definedName name="jpn2019rwctriesscored">JPN!#REF!</definedName>
    <definedName name="jpn2019rwcwon">JPN!#REF!</definedName>
    <definedName name="jpn2019rwcyc">JPN!#REF!</definedName>
    <definedName name="jpnlb">JPN!#REF!</definedName>
    <definedName name="jpnlbcon">JPN!#REF!</definedName>
    <definedName name="jpnoveralldrawn">JPN!#REF!</definedName>
    <definedName name="jpnoveralllost">JPN!#REF!</definedName>
    <definedName name="jpnoverallpld">JPN!#REF!</definedName>
    <definedName name="jpnoverallptsag">JPN!#REF!</definedName>
    <definedName name="jpnoverallptsscored">JPN!#REF!</definedName>
    <definedName name="jpnoveralltriescon">JPN!#REF!</definedName>
    <definedName name="jpnoveralltriesscored">JPN!#REF!</definedName>
    <definedName name="jpnoverallwon">JPN!#REF!</definedName>
    <definedName name="jpnpooldrawn">JPN!#REF!</definedName>
    <definedName name="jpnpoollost">JPN!#REF!</definedName>
    <definedName name="jpnpoolpld">JPN!#REF!</definedName>
    <definedName name="jpnpoolptsag">JPN!#REF!</definedName>
    <definedName name="jpnpoolptsscored">JPN!#REF!</definedName>
    <definedName name="jpnpooltriescon">JPN!#REF!</definedName>
    <definedName name="jpnpooltriesscored">JPN!#REF!</definedName>
    <definedName name="jpnpoolwon">JPN!#REF!</definedName>
    <definedName name="jpnred">JPN!#REF!</definedName>
    <definedName name="jpnrwc2023overalldg">JPN!#REF!</definedName>
    <definedName name="jpnrwc2023overalldrawn">JPN!#REF!</definedName>
    <definedName name="jpnrwc2023overalllost">JPN!#REF!</definedName>
    <definedName name="jpnrwc2023overallplayed">JPN!#REF!</definedName>
    <definedName name="jpnrwc2023overallptsconc">JPN!#REF!</definedName>
    <definedName name="jpnrwc2023overallptsscored">JPN!#REF!</definedName>
    <definedName name="jpnrwc2023overallrc">JPN!#REF!</definedName>
    <definedName name="jpnrwc2023overalltriesconc">JPN!#REF!</definedName>
    <definedName name="jpnrwc2023overalltriesscored">JPN!#REF!</definedName>
    <definedName name="jpnrwc2023overallwon">JPN!#REF!</definedName>
    <definedName name="jpnrwc2023overallyc">JPN!#REF!</definedName>
    <definedName name="jpnrwc2023poolsdrawn">JPN!$AB$16</definedName>
    <definedName name="jpnrwc2023poolslb">JPN!$I$16</definedName>
    <definedName name="jpnrwc2023poolslbcon">JPN!$Q$16</definedName>
    <definedName name="jpnrwc2023poolslost">JPN!$AC$16</definedName>
    <definedName name="jpnrwc2023poolsplayed">JPN!$Z$16</definedName>
    <definedName name="jpnrwc2023poolsptsconc">JPN!$G$16</definedName>
    <definedName name="jpnrwc2023poolsptsscored">JPN!$F$16</definedName>
    <definedName name="jpnrwc2023poolstb">JPN!$H$16</definedName>
    <definedName name="jpnrwc2023poolstbcon">JPN!$P$16</definedName>
    <definedName name="jpnrwc2023poolstriesconc">JPN!$R$16</definedName>
    <definedName name="jpnrwc2023poolstriesscored">JPN!$J$16</definedName>
    <definedName name="jpnrwc2023poolswon">JPN!$AA$16</definedName>
    <definedName name="jpntb">JPN!#REF!</definedName>
    <definedName name="jpntbcon">JPN!#REF!</definedName>
    <definedName name="jpnyellow">JPN!#REF!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#REF!</definedName>
    <definedName name="leicesterpremseasontotalsdgs">#REF!</definedName>
    <definedName name="leicesterpremseasontotalsdrawn">#REF!</definedName>
    <definedName name="leicesterpremseasontotalslost">#REF!</definedName>
    <definedName name="leicesterpremseasontotalsplayed">#REF!</definedName>
    <definedName name="leicesterpremseasontotalsptsagainst">#REF!</definedName>
    <definedName name="leicesterpremseasontotalsptsscored">#REF!</definedName>
    <definedName name="leicesterpremseasontotalsRC">#REF!</definedName>
    <definedName name="leicesterpremseasontotalstriesconceded">#REF!</definedName>
    <definedName name="leicesterpremseasontotalstriesscored">#REF!</definedName>
    <definedName name="leicesterpremseasontotalswon">#REF!</definedName>
    <definedName name="leicesterpremseasontotalsYC">#REF!</definedName>
    <definedName name="leicesterpremtrybonusconccorrect">#REF!</definedName>
    <definedName name="leicesterpremtrybonusscored">#REF!</definedName>
    <definedName name="leicesterpremyellow">#REF!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eipremrugbycupseasontbconc">[1]LEI!$P$49</definedName>
    <definedName name="leipremrugbycupseasontbscored">[1]LEI!$H$49</definedName>
    <definedName name="leipremrugbycupseasontriesconc">[1]LEI!$R$49</definedName>
    <definedName name="leipremrugbycupseasontriesscored">[1]LEI!$J$49</definedName>
    <definedName name="Libbok_Mrsayrgls">#REF!</definedName>
    <definedName name="libbokjrsayratt">#REF!</definedName>
    <definedName name="libonus">CAN!#REF!</definedName>
    <definedName name="liconceded">CAN!#REF!</definedName>
    <definedName name="lidrawn">CAN!#REF!</definedName>
    <definedName name="lilosingbonus">CAN!#REF!</definedName>
    <definedName name="lilosingbonusconceded">CAN!#REF!</definedName>
    <definedName name="lilost">CAN!#REF!</definedName>
    <definedName name="liplayed">CAN!#REF!</definedName>
    <definedName name="lirdgsscored">#REF!</definedName>
    <definedName name="lired">CAN!#REF!</definedName>
    <definedName name="liscored">CAN!#REF!</definedName>
    <definedName name="litries">CAN!#REF!</definedName>
    <definedName name="litriesconceded">CAN!#REF!</definedName>
    <definedName name="litrybonus">CAN!#REF!</definedName>
    <definedName name="litrybonusconceded">CAN!#REF!</definedName>
    <definedName name="liwon">CAN!#REF!</definedName>
    <definedName name="liyellow">CAN!#REF!</definedName>
    <definedName name="lost">ROM!#REF!</definedName>
    <definedName name="lweagainst">GEO!#REF!</definedName>
    <definedName name="lwedrawn">GEO!#REF!</definedName>
    <definedName name="lwelosingbonus">GEO!#REF!</definedName>
    <definedName name="lwelosingbonusonceded">GEO!#REF!</definedName>
    <definedName name="lwelost">GEO!#REF!</definedName>
    <definedName name="lweplayed">GEO!#REF!</definedName>
    <definedName name="lwered">GEO!#REF!</definedName>
    <definedName name="lwescored">GEO!#REF!</definedName>
    <definedName name="lwetriesconceded">GEO!#REF!</definedName>
    <definedName name="lwetriesscored">GEO!#REF!</definedName>
    <definedName name="lwetrybonus">GEO!#REF!</definedName>
    <definedName name="lwetrybonusconceded">GEO!#REF!</definedName>
    <definedName name="lwewon">GEO!#REF!</definedName>
    <definedName name="lweyellow">GEO!#REF!</definedName>
    <definedName name="McKenzie_Dnzlyrgls">#REF!</definedName>
    <definedName name="mckenzienzlyratt">#REF!</definedName>
    <definedName name="Mo_ungaNZLYRGLS">#REF!</definedName>
    <definedName name="MOUNGANZLYRATT">#REF!</definedName>
    <definedName name="Nam2019alltestsdrawn">NAM!$AA$14</definedName>
    <definedName name="Nam2019alltestslost">NAM!$AB$14</definedName>
    <definedName name="Nam2019alltestsplayed">NAM!$Y$14</definedName>
    <definedName name="Nam2019alltestsptscon">NAM!$G$14</definedName>
    <definedName name="Nam2019alltestsptsscored">NAM!$F$14</definedName>
    <definedName name="Nam2019allteststriescon">NAM!$R$14</definedName>
    <definedName name="Nam2019allteststriesscored">NAM!$J$14</definedName>
    <definedName name="Nam2019alltestswon">NAM!$Z$14</definedName>
    <definedName name="Nam2019pooldrawn">NAM!#REF!</definedName>
    <definedName name="Nam2019poollbcon">NAM!#REF!</definedName>
    <definedName name="Nam2019poollbscored">NAM!#REF!</definedName>
    <definedName name="Nam2019poollost">NAM!#REF!</definedName>
    <definedName name="Nam2019poolplayed">NAM!#REF!</definedName>
    <definedName name="Nam2019poolptscon">NAM!#REF!</definedName>
    <definedName name="Nam2019poolptsscored">NAM!#REF!</definedName>
    <definedName name="Nam2019pooltbcon">NAM!#REF!</definedName>
    <definedName name="Nam2019pooltbscored">NAM!#REF!</definedName>
    <definedName name="Nam2019pooltriescon">NAM!#REF!</definedName>
    <definedName name="Nam2019pooltriesscored">NAM!#REF!</definedName>
    <definedName name="Nam2019poolwon">NAM!#REF!</definedName>
    <definedName name="Nam2019RWCdrawn">NAM!#REF!</definedName>
    <definedName name="Nam2019RWClost">NAM!#REF!</definedName>
    <definedName name="Nam2019RWCplayed">NAM!#REF!</definedName>
    <definedName name="Nam2019RWCptsagainst">NAM!#REF!</definedName>
    <definedName name="Nam2019RWCptsscored">NAM!#REF!</definedName>
    <definedName name="Nam2019RWCrc">NAM!#REF!</definedName>
    <definedName name="Nam2019RWCtriescon">NAM!#REF!</definedName>
    <definedName name="Nam2019RWCtriesscored">NAM!#REF!</definedName>
    <definedName name="Nam2019RWCwon">NAM!#REF!</definedName>
    <definedName name="Nam2019RWCyc">NAM!#REF!</definedName>
    <definedName name="Namibiaalltestshistdrawn">Sum!$E$14</definedName>
    <definedName name="Namibiaalltestshistlost">Sum!$D$14</definedName>
    <definedName name="Namibiaalltestshistplayed">Sum!$B$14</definedName>
    <definedName name="Namibiaalltestshistptscon">Sum!$H$14</definedName>
    <definedName name="Namibiaalltestshistptsscored">Sum!$G$14</definedName>
    <definedName name="Namibiaalltestshisttriesscored">Sum!$I$14</definedName>
    <definedName name="Namibiaalltestshistwon">Sum!$C$14</definedName>
    <definedName name="NamibiaRWChistdrawn">Sum!$E$42</definedName>
    <definedName name="NamibiaRWChistlost">Sum!$D$42</definedName>
    <definedName name="NamibiaRWChistplayed">Sum!$B$42</definedName>
    <definedName name="NamibiaRWChistptsagainst">Sum!$H$42</definedName>
    <definedName name="NamibiaRWChistptsscored">Sum!$G$42</definedName>
    <definedName name="NamibiaRWChisttriesscored">Sum!$I$42</definedName>
    <definedName name="NamibiaRWChistwon">Sum!$C$42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rwc2023overalldg">NAM!#REF!</definedName>
    <definedName name="namrwc2023overalldrawn">NAM!#REF!</definedName>
    <definedName name="namrwc2023overalllost">NAM!#REF!</definedName>
    <definedName name="namrwc2023overallplayed">NAM!#REF!</definedName>
    <definedName name="namrwc2023overallptsconc">NAM!#REF!</definedName>
    <definedName name="namrwc2023overallptsscored">NAM!#REF!</definedName>
    <definedName name="namrwc2023overallrc">NAM!#REF!</definedName>
    <definedName name="namrwc2023overalltriesconc">NAM!#REF!</definedName>
    <definedName name="namrwc2023overalltrioesscored">NAM!#REF!</definedName>
    <definedName name="namrwc2023overallwon">NAM!#REF!</definedName>
    <definedName name="namrwc2023overallyc">NAM!#REF!</definedName>
    <definedName name="namrwc2023poolsdrawn">NAM!$AA$12</definedName>
    <definedName name="namrwc2023poolslb">NAM!$I$12</definedName>
    <definedName name="namrwc2023poolslbcon">NAM!$Q$12</definedName>
    <definedName name="namrwc2023poolslost">NAM!$AB$12</definedName>
    <definedName name="namrwc2023poolsplayed">NAM!$Y$12</definedName>
    <definedName name="namrwc2023poolsptsconc">NAM!$G$12</definedName>
    <definedName name="namrwc2023poolsptsscored">NAM!$F$12</definedName>
    <definedName name="namrwc2023poolstb">NAM!$H$12</definedName>
    <definedName name="namrwc2023poolstbcon">NAM!$P$12</definedName>
    <definedName name="namrwc2023poolstriesconc">NAM!$R$12</definedName>
    <definedName name="namrwc2023poolstriesscored">NAM!$J$12</definedName>
    <definedName name="namrwc2023poolswon">NAM!$Z$12</definedName>
    <definedName name="namtb">#REF!</definedName>
    <definedName name="namtbcon">#REF!</definedName>
    <definedName name="namyellow">#REF!</definedName>
    <definedName name="New_ZealandRWChistdrawn">Sum!$E$43</definedName>
    <definedName name="New_ZealandRWChistlost">Sum!$D$43</definedName>
    <definedName name="New_ZealandRWChistplayed">Sum!$B$43</definedName>
    <definedName name="New_ZealandRWChistptscon">Sum!$G$43</definedName>
    <definedName name="New_ZealandRWChistptsconcorrect">Sum!$H$43</definedName>
    <definedName name="New_ZealandRWChistptsscored">Sum!$G$43</definedName>
    <definedName name="New_ZealandRWChisttriesscored">Sum!$I$43</definedName>
    <definedName name="New_ZealandRWChistwon">Sum!$C$43</definedName>
    <definedName name="newcastlepremred">#REF!</definedName>
    <definedName name="Newcastlepremtotalsdgs">#REF!</definedName>
    <definedName name="newcastlepremtotalsdrawn">#REF!</definedName>
    <definedName name="Newcastlepremtotalslost">#REF!</definedName>
    <definedName name="Newcastlepremtotalsplayed">#REF!</definedName>
    <definedName name="Newcastlepremtotalsptsagainst">#REF!</definedName>
    <definedName name="Newcastlepremtotalsptsscored">#REF!</definedName>
    <definedName name="Newcastlepremtotalsrc">#REF!</definedName>
    <definedName name="Newcastlepremtotalstriesconceded">#REF!</definedName>
    <definedName name="Newcastlepremtotalstriesscored">#REF!</definedName>
    <definedName name="Newcastlepremtotalswon">#REF!</definedName>
    <definedName name="Newcastlepremtotalsyc">#REF!</definedName>
    <definedName name="newcastlepremtrybonuscocn">#REF!</definedName>
    <definedName name="newcastlepremtrybonusscored">#REF!</definedName>
    <definedName name="newcastlepremyellow">#REF!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ewpremrugbycupseasontbconc">[1]NRB!$P$47</definedName>
    <definedName name="newpremrugbycupseasontbscored">[1]NRB!$H$47</definedName>
    <definedName name="newpremrugbycupseasontriesconc">[1]NRB!$R$47</definedName>
    <definedName name="newpremrugbycupseasontriesscored">[1]NRB!$J$47</definedName>
    <definedName name="norpremrugbycupseasontbconc">[1]NOR!$P$49</definedName>
    <definedName name="norpremrugbycupseasontbscored">[1]NOR!$H$49</definedName>
    <definedName name="norpremrugbycupseasontriesconc">[1]NOR!$R$49</definedName>
    <definedName name="norpremrugbycupseasontriesscored">[1]NOR!$J$49</definedName>
    <definedName name="Nortbscored">#REF!</definedName>
    <definedName name="northamptonpremred">#REF!</definedName>
    <definedName name="northamptonpremseasontotalsdgs">#REF!</definedName>
    <definedName name="northamptonpremseasontotalsdrawn">#REF!</definedName>
    <definedName name="northamptonpremseasontotalslost">#REF!</definedName>
    <definedName name="northamptonpremseasontotalsplayed">#REF!</definedName>
    <definedName name="northamptonpremseasontotalsptsagainst">#REF!</definedName>
    <definedName name="northamptonpremseasontotalsptsscored">#REF!</definedName>
    <definedName name="northamptonpremseasontotalstriesconceded">#REF!</definedName>
    <definedName name="northamptonpremseasontotalstriesscored">#REF!</definedName>
    <definedName name="northamptonpremseasontotalswon">#REF!</definedName>
    <definedName name="northamptonpremtrybonusconc">#REF!</definedName>
    <definedName name="northamptonpremtrybonusscored">#REF!</definedName>
    <definedName name="northamptonpremyellow">#REF!</definedName>
    <definedName name="Nzl2019alltestsdrawn">NZL!$AB$19</definedName>
    <definedName name="Nzl2019alltestshistdrawn">Sum!$E$15</definedName>
    <definedName name="Nzl2019alltestshistlost">Sum!$D$15</definedName>
    <definedName name="Nzl2019alltestshistplayed">Sum!$B$15</definedName>
    <definedName name="Nzl2019alltestshistptscon">Sum!$H$15</definedName>
    <definedName name="Nzl2019alltestshistptsscored">Sum!$G$15</definedName>
    <definedName name="Nzl2019alltestshisttriesscored">Sum!$I$15</definedName>
    <definedName name="Nzl2019alltestshistwon">Sum!$C$15</definedName>
    <definedName name="Nzl2019alltestslost">NZL!$AC$19</definedName>
    <definedName name="Nzl2019alltestsplayed">NZL!$Z$19</definedName>
    <definedName name="Nzl2019alltestsptscon">NZL!$G$19</definedName>
    <definedName name="Nzl2019alltestsptsscored">NZL!$F$19</definedName>
    <definedName name="Nzl2019allteststriescon">NZL!$R$19</definedName>
    <definedName name="Nzl2019allteststriesscored">NZL!$J$19</definedName>
    <definedName name="Nzl2019alltestswon">NZL!$AA$19</definedName>
    <definedName name="Nzl2019pooldrawn">NZL!#REF!</definedName>
    <definedName name="Nzl2019poollbcon">NZL!#REF!</definedName>
    <definedName name="Nzl2019poollbscored">NZL!#REF!</definedName>
    <definedName name="Nzl2019poollost">NZL!#REF!</definedName>
    <definedName name="Nzl2019poolplayed">NZL!#REF!</definedName>
    <definedName name="Nzl2019poolptscon">NZL!#REF!</definedName>
    <definedName name="Nzl2019poolptsscored">NZL!#REF!</definedName>
    <definedName name="Nzl2019pooltbcon">NZL!#REF!</definedName>
    <definedName name="Nzl2019pooltbscored">NZL!#REF!</definedName>
    <definedName name="Nzl2019pooltriescon">NZL!#REF!</definedName>
    <definedName name="Nzl2019pooltriesscored">NZL!#REF!</definedName>
    <definedName name="Nzl2019poolwon">NZL!#REF!</definedName>
    <definedName name="Nzl2019RWCdrawn">NZL!#REF!</definedName>
    <definedName name="Nzl2019RWClost">NZL!#REF!</definedName>
    <definedName name="Nzl2019RWCplayed">NZL!#REF!</definedName>
    <definedName name="Nzl2019RWCptsscon">NZL!#REF!</definedName>
    <definedName name="Nzl2019RWCptsscored">NZL!#REF!</definedName>
    <definedName name="Nzl2019RWCrc">NZL!#REF!</definedName>
    <definedName name="Nzl2019RWCtriescon">NZL!#REF!</definedName>
    <definedName name="Nzl2019RWCtriesscored">NZL!#REF!</definedName>
    <definedName name="Nzl2019RWCwon">NZL!#REF!</definedName>
    <definedName name="Nzl2019RWCyc">NZL!#REF!</definedName>
    <definedName name="nzllb">NZL!#REF!</definedName>
    <definedName name="nzllbcon">NZL!#REF!</definedName>
    <definedName name="nzloveralldrawn">NZL!#REF!</definedName>
    <definedName name="nzloveralllost">NZL!#REF!</definedName>
    <definedName name="nzloverallpld">NZL!#REF!</definedName>
    <definedName name="nzloverallptsag">NZL!#REF!</definedName>
    <definedName name="nzloverallptsscored">NZL!#REF!</definedName>
    <definedName name="nzloveralltriescon">NZL!#REF!</definedName>
    <definedName name="nzloveralltriesscored">NZL!#REF!</definedName>
    <definedName name="nzloverallwon">NZL!#REF!</definedName>
    <definedName name="nzlpooldrawn">NZL!#REF!</definedName>
    <definedName name="nzlpoollost">NZL!#REF!</definedName>
    <definedName name="nzlpoolpld">NZL!#REF!</definedName>
    <definedName name="nzlpoolptsag">NZL!#REF!</definedName>
    <definedName name="nzlpoolptsscored">NZL!#REF!</definedName>
    <definedName name="nzlpooltriescon">NZL!#REF!</definedName>
    <definedName name="nzlpooltriesscored">NZL!#REF!</definedName>
    <definedName name="nzlpoolwon">NZL!#REF!</definedName>
    <definedName name="nzlrc">NZL!$O$16</definedName>
    <definedName name="nzlred">NZL!#REF!</definedName>
    <definedName name="nzlrwc2023overalldg">NZL!#REF!</definedName>
    <definedName name="nzlrwc2023overalldrawn">NZL!#REF!</definedName>
    <definedName name="nzlrwc2023overalllost">NZL!#REF!</definedName>
    <definedName name="nzlrwc2023overallplayed">NZL!#REF!</definedName>
    <definedName name="nzlrwc2023overallptsconc">NZL!#REF!</definedName>
    <definedName name="nzlrwc2023overallptsscored">NZL!#REF!</definedName>
    <definedName name="nzlrwc2023overallrc">NZL!#REF!</definedName>
    <definedName name="nzlrwc2023overalltriesconc">NZL!#REF!</definedName>
    <definedName name="nzlrwc2023overalltriesscored">NZL!#REF!</definedName>
    <definedName name="nzlrwc2023overallwon">NZL!#REF!</definedName>
    <definedName name="nzlrwc2023overallyc">NZL!#REF!</definedName>
    <definedName name="nzlrwc2023poolsdrawn">NZL!$AB$17</definedName>
    <definedName name="nzlrwc2023poolslb">NZL!$I$17</definedName>
    <definedName name="nzlrwc2023poolslbcon">NZL!$Q$17</definedName>
    <definedName name="nzlrwc2023poolslost">NZL!$AC$17</definedName>
    <definedName name="nzlrwc2023poolsplasyed">NZL!$Z$17</definedName>
    <definedName name="nzlrwc2023poolsptsconc">NZL!$G$17</definedName>
    <definedName name="nzlrwc2023poolsptsscored">NZL!$F$17</definedName>
    <definedName name="nzlrwc2023poolstb">NZL!$H$17</definedName>
    <definedName name="nzlrwc2023poolstbcon">NZL!$P$17</definedName>
    <definedName name="nzlrwc2023poolstriesconc">NZL!$R$17</definedName>
    <definedName name="nzlrwc2023poolstriesscored">NZL!$J$17</definedName>
    <definedName name="nzlrwc2023poolswon">NZL!$AA$17</definedName>
    <definedName name="nzltb">NZL!#REF!</definedName>
    <definedName name="nzltbcon">NZL!#REF!</definedName>
    <definedName name="nzltrcdrawn">NZL!#REF!</definedName>
    <definedName name="nzltrcdrawncorrect">NZL!$AB$16</definedName>
    <definedName name="nzltrclb">NZL!#REF!</definedName>
    <definedName name="nzltrclbcorrect">NZL!$I$16</definedName>
    <definedName name="nzltrclost">NZL!#REF!</definedName>
    <definedName name="nzltrclostcorrect">NZL!$AC$16</definedName>
    <definedName name="nzltrcplayed">NZL!#REF!</definedName>
    <definedName name="nzltrcplayedcorrect">NZL!$Z$16</definedName>
    <definedName name="nzltrcptsconc">NZL!#REF!</definedName>
    <definedName name="nzltrcptsconccorrect">NZL!$G$16</definedName>
    <definedName name="nzltrcptsscored">NZL!#REF!</definedName>
    <definedName name="nzltrcptsscoredcorrect">NZL!$F$16</definedName>
    <definedName name="nzltrctb">NZL!#REF!</definedName>
    <definedName name="nzltrctbcorrect">NZL!$H$16</definedName>
    <definedName name="nzltrctriesconc">NZL!#REF!</definedName>
    <definedName name="nzltrctriesconccorrect">NZL!$R$16</definedName>
    <definedName name="nzltrctriesscored">NZL!#REF!</definedName>
    <definedName name="nzltrctriesscoredcorrect">NZL!$J$16</definedName>
    <definedName name="nzltrcwon">NZL!#REF!</definedName>
    <definedName name="nzltrcwoncorrect">NZL!$AA$16</definedName>
    <definedName name="nzlyc">NZL!$N$16</definedName>
    <definedName name="nzlyellow">NZL!#REF!</definedName>
    <definedName name="pollardrsayratt">#REF!</definedName>
    <definedName name="Pollardrsayrgls">#REF!</definedName>
    <definedName name="poralltestsdrawn">POR!$AA$14</definedName>
    <definedName name="Poralltestshistdrawn">Sum!$E$16</definedName>
    <definedName name="Poralltestshistlost">Sum!$D$16</definedName>
    <definedName name="Poralltestshistplayed">Sum!$B$16</definedName>
    <definedName name="Poralltestshistptsconc">Sum!$H$16</definedName>
    <definedName name="Poralltestshistptsscored">Sum!$G$16</definedName>
    <definedName name="Poralltestshisttriesscored">Sum!$I$16</definedName>
    <definedName name="Poralltestshistwon">Sum!$C$16</definedName>
    <definedName name="poralltestslost">POR!$AB$14</definedName>
    <definedName name="poralltestsplayed">POR!$Y$14</definedName>
    <definedName name="poralltestsptsconc">POR!$G$14</definedName>
    <definedName name="poralltestsptsscored">POR!$F$14</definedName>
    <definedName name="porallteststriesscored">POR!$J$14</definedName>
    <definedName name="poralltestswon">POR!$Z$14</definedName>
    <definedName name="Porrwchistdrawn">Sum!$E$44</definedName>
    <definedName name="Porrwchistlost">Sum!$D$44</definedName>
    <definedName name="Porrwchistpgtsagainst">Sum!$H$44</definedName>
    <definedName name="Porrwchistplayed">Sum!$B$44</definedName>
    <definedName name="Porrwchistptsscored">Sum!$G$44</definedName>
    <definedName name="Porrwchisttriesscored">Sum!$I$44</definedName>
    <definedName name="Porrwchistwon">Sum!$C$44</definedName>
    <definedName name="prtrwc2023overalldg">POR!#REF!</definedName>
    <definedName name="prtrwc2023overalldrawn">POR!#REF!</definedName>
    <definedName name="prtrwc2023overalllost">POR!#REF!</definedName>
    <definedName name="prtrwc2023overallplayed">POR!#REF!</definedName>
    <definedName name="prtrwc2023overallptsconc">POR!#REF!</definedName>
    <definedName name="prtrwc2023overallptsscored">POR!#REF!</definedName>
    <definedName name="prtrwc2023overallrc">POR!#REF!</definedName>
    <definedName name="prtrwc2023overalltriesconc">POR!#REF!</definedName>
    <definedName name="prtrwc2023overalltriesscored">POR!#REF!</definedName>
    <definedName name="prtrwc2023overallwon">POR!#REF!</definedName>
    <definedName name="prtrwc2023overallyc">POR!#REF!</definedName>
    <definedName name="prtrwc2023poolsdrawn">POR!#REF!</definedName>
    <definedName name="prtrwc2023poolslb">POR!#REF!</definedName>
    <definedName name="prtrwc2023poolslbcon">POR!#REF!</definedName>
    <definedName name="prtrwc2023poolslost">POR!#REF!</definedName>
    <definedName name="prtrwc2023poolsplayed">POR!#REF!</definedName>
    <definedName name="prtrwc2023poolsptsconc">POR!#REF!</definedName>
    <definedName name="prtrwc2023poolsptsscored">POR!#REF!</definedName>
    <definedName name="prtrwc2023poolstb">POR!#REF!</definedName>
    <definedName name="prtrwc2023poolstbcon">POR!#REF!</definedName>
    <definedName name="prtrwc2023poolstriesconc">POR!#REF!</definedName>
    <definedName name="prtrwc2023poolstriesscored">POR!#REF!</definedName>
    <definedName name="prtrwc2023poolswon">POR!#REF!</definedName>
    <definedName name="ptsconc">Sum!$H$6</definedName>
    <definedName name="quinspoconceded">FIJ!#REF!</definedName>
    <definedName name="quinspolost">FIJ!#REF!</definedName>
    <definedName name="quinspoplayed">FIJ!#REF!</definedName>
    <definedName name="quinspored">FIJ!#REF!</definedName>
    <definedName name="quinsposcored">FIJ!#REF!</definedName>
    <definedName name="quinspotriesconceded">FIJ!#REF!</definedName>
    <definedName name="quinspotriesscored">FIJ!#REF!</definedName>
    <definedName name="quinspowon">FIJ!#REF!</definedName>
    <definedName name="quinspoyellow">FIJ!#REF!</definedName>
    <definedName name="ramosfrayratt">#REF!</definedName>
    <definedName name="Ramosfrayrgls">#REF!</definedName>
    <definedName name="romaniaalltestsdrawn">ROM!$AA$15</definedName>
    <definedName name="Romaniaalltestshistdrawn">Sum!$E$17</definedName>
    <definedName name="Romaniaalltestshistlost">Sum!$D$17</definedName>
    <definedName name="Romaniaalltestshistplayed">Sum!$B$17</definedName>
    <definedName name="Romaniaalltestshistptscocn">Sum!$H$17</definedName>
    <definedName name="Romaniaalltestshistptsscored">Sum!$G$17</definedName>
    <definedName name="Romaniaalltestshisttriesscored">Sum!$I$17</definedName>
    <definedName name="Romaniaalltestshistwon">Sum!$C$17</definedName>
    <definedName name="romaniaalltestslost">ROM!$AB$15</definedName>
    <definedName name="romaniaalltestsplayed">ROM!$Y$15</definedName>
    <definedName name="romaniaalltestsptsagainst">ROM!$G$15</definedName>
    <definedName name="romaniaalltestsptsscored">ROM!$F$15</definedName>
    <definedName name="romaniaallteststriesagaiant">ROM!$R$15</definedName>
    <definedName name="romaniaallteststriesscored">ROM!$J$15</definedName>
    <definedName name="romaniaalltestswon">ROM!$Z$15</definedName>
    <definedName name="Romaniarwchistdrawn">Sum!$E$45</definedName>
    <definedName name="Romaniarwchistlost">Sum!$D$45</definedName>
    <definedName name="Romaniarwchistplayed">Sum!$B$45</definedName>
    <definedName name="Romaniarwchistptsconc">Sum!$H$45</definedName>
    <definedName name="Romaniarwchistptsscored">Sum!$G$45</definedName>
    <definedName name="Romaniarwchisttriesscored">Sum!$I$45</definedName>
    <definedName name="Romaniarwchistwon">Sum!$C$45</definedName>
    <definedName name="romlb">ROM!#REF!</definedName>
    <definedName name="romlbcon">ROM!#REF!</definedName>
    <definedName name="romoveralldrawn">ROM!#REF!</definedName>
    <definedName name="romoveralllost">ROM!#REF!</definedName>
    <definedName name="romoverallpld">ROM!#REF!</definedName>
    <definedName name="romoverallptsag">ROM!#REF!</definedName>
    <definedName name="romoverallptsscored">ROM!#REF!</definedName>
    <definedName name="romoveralltriescon">ROM!#REF!</definedName>
    <definedName name="romoveralltriesscored">ROM!#REF!</definedName>
    <definedName name="romoverallwon">ROM!#REF!</definedName>
    <definedName name="rompooldrawn">ROM!#REF!</definedName>
    <definedName name="rompoollost">ROM!#REF!</definedName>
    <definedName name="rompoolpld">ROM!#REF!</definedName>
    <definedName name="rompoolptsag">ROM!#REF!</definedName>
    <definedName name="rompoolptsscored">ROM!#REF!</definedName>
    <definedName name="rompooltriescon">ROM!#REF!</definedName>
    <definedName name="rompooltriesscored">ROM!#REF!</definedName>
    <definedName name="rompoolwon">ROM!#REF!</definedName>
    <definedName name="romred">ROM!#REF!</definedName>
    <definedName name="romrwc2023overalldg">ROM!#REF!</definedName>
    <definedName name="romrwc2023overalldrawn">ROM!#REF!</definedName>
    <definedName name="romrwc2023overalllost">ROM!#REF!</definedName>
    <definedName name="romrwc2023overallplayed">ROM!#REF!</definedName>
    <definedName name="romrwc2023overallptsconc">ROM!#REF!</definedName>
    <definedName name="romrwc2023overallptsscored">ROM!#REF!</definedName>
    <definedName name="romrwc2023overallrc">ROM!#REF!</definedName>
    <definedName name="romrwc2023overalltriesconc">ROM!#REF!</definedName>
    <definedName name="romrwc2023overalltriesscored">ROM!#REF!</definedName>
    <definedName name="romrwc2023overallwon">ROM!#REF!</definedName>
    <definedName name="romrwc2023overallyc">ROM!#REF!</definedName>
    <definedName name="romrwc2023poolsdrawn">ROM!#REF!</definedName>
    <definedName name="romrwc2023poolslb">ROM!#REF!</definedName>
    <definedName name="romrwc2023poolslbcon">ROM!#REF!</definedName>
    <definedName name="romrwc2023poolslost">ROM!#REF!</definedName>
    <definedName name="romrwc2023poolsplayed">ROM!#REF!</definedName>
    <definedName name="romrwc2023poolsptsconc">ROM!#REF!</definedName>
    <definedName name="romrwc2023poolsptsscored">ROM!#REF!</definedName>
    <definedName name="romrwc2023poolsptssxcored">ROM!#REF!</definedName>
    <definedName name="romrwc2023poolstb">ROM!#REF!</definedName>
    <definedName name="romrwc2023poolstbcon">ROM!#REF!</definedName>
    <definedName name="romrwc2023poolstriesconc">ROM!#REF!</definedName>
    <definedName name="romrwc2023poolstriesscored">ROM!#REF!</definedName>
    <definedName name="romrwc2023poolswon">ROM!#REF!</definedName>
    <definedName name="romtb">ROM!#REF!</definedName>
    <definedName name="romtbcon">ROM!#REF!</definedName>
    <definedName name="romyellow">ROM!#REF!</definedName>
    <definedName name="Rsa2019alltestsdrawn">RSA!$AB$20</definedName>
    <definedName name="Rsa2019alltestslost">RSA!$AC$20</definedName>
    <definedName name="Rsa2019alltestsplayed">RSA!$Z$20</definedName>
    <definedName name="Rsa2019alltestsptscon">RSA!$G$20</definedName>
    <definedName name="Rsa2019alltestsptsscored">RSA!$F$20</definedName>
    <definedName name="Rsa2019allteststriescon">RSA!$R$20</definedName>
    <definedName name="Rsa2019allteststriesscored">RSA!$J$20</definedName>
    <definedName name="Rsa2019alltestswon">RSA!$AA$20</definedName>
    <definedName name="Rsa2019pooldrawn">RSA!#REF!</definedName>
    <definedName name="Rsa2019poollbcon">RSA!#REF!</definedName>
    <definedName name="Rsa2019poollbscored">RSA!#REF!</definedName>
    <definedName name="Rsa2019poollost">RSA!#REF!</definedName>
    <definedName name="Rsa2019poolplayed">RSA!#REF!</definedName>
    <definedName name="Rsa2019poolptscon">RSA!#REF!</definedName>
    <definedName name="Rsa2019poolptsscored">RSA!#REF!</definedName>
    <definedName name="Rsa2019pooltbcon">RSA!#REF!</definedName>
    <definedName name="Rsa2019pooltbscored">RSA!#REF!</definedName>
    <definedName name="Rsa2019pooltriescon">RSA!#REF!</definedName>
    <definedName name="Rsa2019pooltriesscored">RSA!#REF!</definedName>
    <definedName name="Rsa2019poolwon">RSA!#REF!</definedName>
    <definedName name="Rsa2019RWCdrawn">RSA!#REF!</definedName>
    <definedName name="Rsa2019RWClost">RSA!#REF!</definedName>
    <definedName name="Rsa2019RWCplayed">RSA!#REF!</definedName>
    <definedName name="Rsa2019RWCptscon">RSA!#REF!</definedName>
    <definedName name="Rsa2019RWCptsscored">RSA!#REF!</definedName>
    <definedName name="Rsa2019RWCrc">RSA!#REF!</definedName>
    <definedName name="Rsa2019RWCtriescon">RSA!#REF!</definedName>
    <definedName name="Rsa2019RWCtriesscored">RSA!#REF!</definedName>
    <definedName name="Rsa2019RWCwon">RSA!#REF!</definedName>
    <definedName name="Rsa2019RWCyc">RSA!#REF!</definedName>
    <definedName name="Rsaalltestshistdrawn">Sum!$E$20</definedName>
    <definedName name="Rsaalltestshistlost">Sum!$D$20</definedName>
    <definedName name="Rsaalltestshistplayed">Sum!$B$20</definedName>
    <definedName name="Rsaalltestshistptscon">Sum!$H$20</definedName>
    <definedName name="Rsaalltestshistptsscored">Sum!$G$20</definedName>
    <definedName name="Rsaalltestshisttriesscored">Sum!$I$20</definedName>
    <definedName name="Rsaalltestshistwon">Sum!$C$20</definedName>
    <definedName name="rsalb">RSA!#REF!</definedName>
    <definedName name="rsalbcon">RSA!#REF!</definedName>
    <definedName name="rsaoveralldrawn">RSA!#REF!</definedName>
    <definedName name="rsaoveralllost">RSA!#REF!</definedName>
    <definedName name="rsaoverallpld">RSA!#REF!</definedName>
    <definedName name="rsaoverallptsag">RSA!#REF!</definedName>
    <definedName name="rsaoverallptsscored">RSA!#REF!</definedName>
    <definedName name="rsaoveralltriescon">RSA!#REF!</definedName>
    <definedName name="rsaoveralltriesscored">RSA!#REF!</definedName>
    <definedName name="rsaoverallwon">RSA!#REF!</definedName>
    <definedName name="rsapooldrawn">RSA!#REF!</definedName>
    <definedName name="rsapoollost">RSA!#REF!</definedName>
    <definedName name="rsapoolpld">RSA!#REF!</definedName>
    <definedName name="rsapoolptsag">RSA!#REF!</definedName>
    <definedName name="rsapoolptsscored">RSA!#REF!</definedName>
    <definedName name="rsapooltriescon">RSA!#REF!</definedName>
    <definedName name="rsapooltriesscored">RSA!#REF!</definedName>
    <definedName name="rsapoolwon">RSA!#REF!</definedName>
    <definedName name="rsarc">RSA!$O$17</definedName>
    <definedName name="rsared">RSA!#REF!</definedName>
    <definedName name="RSArwc2023overalldg">RSA!#REF!</definedName>
    <definedName name="RSArwc2023overalldrawn">RSA!#REF!</definedName>
    <definedName name="RSArwc2023overalllost">RSA!#REF!</definedName>
    <definedName name="RSArwc2023overallplayed">RSA!#REF!</definedName>
    <definedName name="RSArwc2023overallplayedcorrect">RSA!#REF!</definedName>
    <definedName name="RSArwc2023overallptsconc">RSA!#REF!</definedName>
    <definedName name="RSArwc2023overallptsscored">RSA!#REF!</definedName>
    <definedName name="RSArwc2023overallrc">RSA!#REF!</definedName>
    <definedName name="RSArwc2023overalltriesconc">RSA!#REF!</definedName>
    <definedName name="RSArwc2023overalltriesscored">RSA!#REF!</definedName>
    <definedName name="RSArwc2023overallwon">RSA!#REF!</definedName>
    <definedName name="RSArwc2023overallyc">RSA!#REF!</definedName>
    <definedName name="RSArwc2023poolsdrawn">RSA!$AB$18</definedName>
    <definedName name="RSArwc2023poolslb">RSA!$I$18</definedName>
    <definedName name="RSArwc2023poolslbcon">RSA!$Q$18</definedName>
    <definedName name="RSArwc2023poolslost">RSA!$AC$18</definedName>
    <definedName name="RSArwc2023poolsplayed">RSA!$Z$18</definedName>
    <definedName name="RSArwc2023poolsptsconc">RSA!$G$18</definedName>
    <definedName name="RSArwc2023poolsptsscored">RSA!$F$18</definedName>
    <definedName name="RSArwc2023poolstb">RSA!$H$18</definedName>
    <definedName name="RSArwc2023poolstbcon">RSA!$P$18</definedName>
    <definedName name="RSArwc2023poolstriesconc">RSA!$R$18</definedName>
    <definedName name="RSArwc2023poolstriescored">RSA!$J$18</definedName>
    <definedName name="RSArwc2023poolswon">RSA!$AA$18</definedName>
    <definedName name="RsaRWChistdrawn">Sum!$E$49</definedName>
    <definedName name="RsaRWChistlost">Sum!$D$49</definedName>
    <definedName name="RsaRWChistplayed">Sum!$B$49</definedName>
    <definedName name="RsaRWChistptscon">Sum!$H$49</definedName>
    <definedName name="RsaRWChistptsscored">Sum!$G$49</definedName>
    <definedName name="RsaRWChisttriesscored">Sum!$I$49</definedName>
    <definedName name="RsaRWChistwon">Sum!$C$49</definedName>
    <definedName name="rsatb">RSA!#REF!</definedName>
    <definedName name="rsatbcon">RSA!#REF!</definedName>
    <definedName name="rsatrcdrawn">RSA!$AB$17</definedName>
    <definedName name="rsatrclb">RSA!$I$17</definedName>
    <definedName name="rsatrclost">RSA!$AC$17</definedName>
    <definedName name="rsatrcplayed">RSA!$Z$17</definedName>
    <definedName name="rsatrcptsconc">RSA!$G$17</definedName>
    <definedName name="rsatrcptsscored">RSA!$F$17</definedName>
    <definedName name="rsatrctb">RSA!$H$17</definedName>
    <definedName name="rsatrctriesconc">RSA!$R$17</definedName>
    <definedName name="rsatrctriesscored">RSA!$J$17</definedName>
    <definedName name="rsatrcwon">RSA!$AA$17</definedName>
    <definedName name="rsayc">RSA!$N$17</definedName>
    <definedName name="rsayellow">RSA!#REF!</definedName>
    <definedName name="Rus2019alltestsdrawn">#REF!</definedName>
    <definedName name="Rus2019alltestslost">#REF!</definedName>
    <definedName name="Rus2019alltestsplayed">#REF!</definedName>
    <definedName name="Rus2019alltestsptscon">#REF!</definedName>
    <definedName name="Rus2019alltestsptsscored">#REF!</definedName>
    <definedName name="Rus2019allteststriescon">#REF!</definedName>
    <definedName name="Rus2019allteststriescored">#REF!</definedName>
    <definedName name="Rus2019alltestswon">#REF!</definedName>
    <definedName name="Rus2019pooldrawn">#REF!</definedName>
    <definedName name="Rus2019poollbcon">#REF!</definedName>
    <definedName name="Rus2019poollbscored">#REF!</definedName>
    <definedName name="Rus2019poollost">#REF!</definedName>
    <definedName name="Rus2019poolplayed">#REF!</definedName>
    <definedName name="Rus2019poolplayedcorrect">#REF!</definedName>
    <definedName name="Rus2019poolptscon">#REF!</definedName>
    <definedName name="Rus2019poolptsscored">#REF!</definedName>
    <definedName name="Rus2019pooltbcon">#REF!</definedName>
    <definedName name="Rus2019pooltbscored">#REF!</definedName>
    <definedName name="Rus2019pooltriescon">#REF!</definedName>
    <definedName name="Rus2019pooltriesscored">#REF!</definedName>
    <definedName name="Rus2019poolwon">#REF!</definedName>
    <definedName name="Rus2019poolwoncorrect">#REF!</definedName>
    <definedName name="Rus2019RWCdrawn">#REF!</definedName>
    <definedName name="Rus2019RWClost">#REF!</definedName>
    <definedName name="Rus2019RWCplayed">#REF!</definedName>
    <definedName name="Rus2019RWCptscon">#REF!</definedName>
    <definedName name="Rus2019RWCptsscored">#REF!</definedName>
    <definedName name="Rus2019RWCrc">#REF!</definedName>
    <definedName name="Rus2019RWCtriescon">#REF!</definedName>
    <definedName name="Rus2019RWCtriesscored">#REF!</definedName>
    <definedName name="Rus2019RWCwon">#REF!</definedName>
    <definedName name="Rus2019RWCyc">#REF!</definedName>
    <definedName name="russellscoyearattcorrect">#REF!</definedName>
    <definedName name="Russellscoyeargls">#REF!</definedName>
    <definedName name="Russiaalltestshistdrawn">Sum!#REF!</definedName>
    <definedName name="Russiaalltestshistlost">Sum!#REF!</definedName>
    <definedName name="Russiaalltestshistplayed">Sum!#REF!</definedName>
    <definedName name="Russiaalltestshistptsagainst">Sum!#REF!</definedName>
    <definedName name="Russiaalltestshistptsscored">Sum!#REF!</definedName>
    <definedName name="Russiaalltestshisttriesscored">Sum!#REF!</definedName>
    <definedName name="Russiaalltestshistwon">Sum!#REF!</definedName>
    <definedName name="RussiaRWChistdrawn">Sum!$E$46</definedName>
    <definedName name="RussiaRWChistlost">Sum!$D$46</definedName>
    <definedName name="RussiaRWChistplayed">Sum!$B$46</definedName>
    <definedName name="RussiaRWChistptscon">Sum!$H$46</definedName>
    <definedName name="RussiaRWChistptsscored">Sum!$G$46</definedName>
    <definedName name="RussiaRWChisttriesscored">Sum!$I$46</definedName>
    <definedName name="RussiaRWChistwon">Sum!$C$46</definedName>
    <definedName name="RWC2019startarg">ARG!#REF!</definedName>
    <definedName name="RWC2019startaus">AUS!$Z$8</definedName>
    <definedName name="RWC2019startcan">CAN!#REF!</definedName>
    <definedName name="RWC2019starteng">ENG!#REF!</definedName>
    <definedName name="RWC2019startfij">FIJ!#REF!</definedName>
    <definedName name="RWC2019startfra">FRA!#REF!</definedName>
    <definedName name="RWC2019startgeo">GEO!#REF!</definedName>
    <definedName name="RWC2019startire">IRE!#REF!</definedName>
    <definedName name="RWC2019startita">ITA!#REF!</definedName>
    <definedName name="RWC2019startjpn">JPN!#REF!</definedName>
    <definedName name="RWC2019startnam">NAM!#REF!</definedName>
    <definedName name="RWC2019startnzl">NZL!$Z$8</definedName>
    <definedName name="RWC2019startrsa">RSA!$Z$7</definedName>
    <definedName name="RWC2019startrus">#REF!</definedName>
    <definedName name="RWC2019startsam">SAM!#REF!</definedName>
    <definedName name="RWC2019startsco">SCO!#REF!</definedName>
    <definedName name="RWCstartton">TGA!#REF!</definedName>
    <definedName name="RWCstartUru">URU!#REF!</definedName>
    <definedName name="RWCstartUSA">USA!#REF!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JPN!#REF!</definedName>
    <definedName name="saleconceded">JPN!#REF!</definedName>
    <definedName name="saledrawn">JPN!#REF!</definedName>
    <definedName name="salelosingbonus">JPN!#REF!</definedName>
    <definedName name="salelosingbonusconceded">JPN!#REF!</definedName>
    <definedName name="salelost">JPN!#REF!</definedName>
    <definedName name="saleplayed">JPN!#REF!</definedName>
    <definedName name="salepremptsdagainst">#REF!</definedName>
    <definedName name="salepremptsscored">#REF!</definedName>
    <definedName name="salepremred">#REF!</definedName>
    <definedName name="salepremseasontotalsdgs">#REF!</definedName>
    <definedName name="salepremseasontotalsdrawn">#REF!</definedName>
    <definedName name="salepremseasontotalslost">#REF!</definedName>
    <definedName name="salepremseasontotalsplayed">#REF!</definedName>
    <definedName name="salepremseasontotalsRC">#REF!</definedName>
    <definedName name="salepremseasontotalstriesconceded">#REF!</definedName>
    <definedName name="salepremseasontotalstriesscored">#REF!</definedName>
    <definedName name="salepremseasontotalswon">#REF!</definedName>
    <definedName name="salepremseasontotalsYC">#REF!</definedName>
    <definedName name="salepremtrybonusconc">#REF!</definedName>
    <definedName name="salepremtrybonusscored">#REF!</definedName>
    <definedName name="salepremyellow">#REF!</definedName>
    <definedName name="salered">JPN!#REF!</definedName>
    <definedName name="salescored">JPN!#REF!</definedName>
    <definedName name="saletriesconceded">JPN!#REF!</definedName>
    <definedName name="saletriesscored">JPN!#REF!</definedName>
    <definedName name="saletrybonus">JPN!#REF!</definedName>
    <definedName name="saletrybonusconceded">JPN!#REF!</definedName>
    <definedName name="salewon">JPN!#REF!</definedName>
    <definedName name="saleyellow">JPN!#REF!</definedName>
    <definedName name="salpremrugbycupseasontbconc">[1]SAL!$P$47</definedName>
    <definedName name="salpremrugbycupseasontbscored">[1]SAL!$H$47</definedName>
    <definedName name="salpremrugbycupseasontriesconc">[1]SAL!$R$47</definedName>
    <definedName name="salpremrugbycupseasontriesscored">[1]SAL!$J$47</definedName>
    <definedName name="Sam2019alltestsdrawn">SAM!$AB$15</definedName>
    <definedName name="Sam2019alltestslost">SAM!$AC$15</definedName>
    <definedName name="Sam2019alltestsplayed">SAM!$Z$15</definedName>
    <definedName name="Sam2019alltestsptscon">SAM!$G$15</definedName>
    <definedName name="Sam2019alltestsptsscored">SAM!$F$15</definedName>
    <definedName name="Sam2019allteststriescon">SAM!$R$15</definedName>
    <definedName name="Sam2019allteststriescored">SAM!$J$15</definedName>
    <definedName name="Sam2019alltestswon">SAM!$AA$15</definedName>
    <definedName name="Sam2019pooldrawn">SAM!#REF!</definedName>
    <definedName name="Sam2019poollbcon">SAM!#REF!</definedName>
    <definedName name="Sam2019poollbscored">SAM!#REF!</definedName>
    <definedName name="Sam2019poollost">SAM!#REF!</definedName>
    <definedName name="Sam2019poolplayed">SAM!#REF!</definedName>
    <definedName name="Sam2019poolptscon">SAM!#REF!</definedName>
    <definedName name="Sam2019poolptsscored">SAM!#REF!</definedName>
    <definedName name="Sam2019pooltbcon">SAM!#REF!</definedName>
    <definedName name="Sam2019pooltbscored">SAM!#REF!</definedName>
    <definedName name="Sam2019pooltriescon">SAM!#REF!</definedName>
    <definedName name="Sam2019pooltriesscored">SAM!#REF!</definedName>
    <definedName name="Sam2019poolwon">SAM!#REF!</definedName>
    <definedName name="Sam2019RWCdrawn">SAM!#REF!</definedName>
    <definedName name="Sam2019RWClost">SAM!#REF!</definedName>
    <definedName name="Sam2019RWCplayed">SAM!#REF!</definedName>
    <definedName name="Sam2019RWCptscon">SAM!#REF!</definedName>
    <definedName name="Sam2019RWCptsscored">SAM!#REF!</definedName>
    <definedName name="SAM2019rwcRC">SAM!#REF!</definedName>
    <definedName name="Sam2019RWCtriescon">SAM!#REF!</definedName>
    <definedName name="Sam2019RWCtriescored">SAM!#REF!</definedName>
    <definedName name="Sam2019RWCwon">SAM!#REF!</definedName>
    <definedName name="Sam2019RWCyc">SAM!#REF!</definedName>
    <definedName name="Samalltestshistdrawn">Sum!$E$18</definedName>
    <definedName name="Samalltestshistlost">Sum!$D$18</definedName>
    <definedName name="Samalltestshistplayed">Sum!$B$18</definedName>
    <definedName name="Samalltestshistptscon">Sum!$H$18</definedName>
    <definedName name="Samalltestshistptsscored">Sum!$G$18</definedName>
    <definedName name="SamalltestshistTRIESSCORED">Sum!$I$18</definedName>
    <definedName name="Samalltestshistwon">Sum!$C$18</definedName>
    <definedName name="samlb">SAM!#REF!</definedName>
    <definedName name="samlbcon">SAM!#REF!</definedName>
    <definedName name="samoveralldrawn">SAM!#REF!</definedName>
    <definedName name="samoveralllost">SAM!#REF!</definedName>
    <definedName name="samoverallpld">SAM!#REF!</definedName>
    <definedName name="samoverallptsag">SAM!#REF!</definedName>
    <definedName name="samoverallptsscored">SAM!#REF!</definedName>
    <definedName name="samoveralltriescon">SAM!#REF!</definedName>
    <definedName name="samoveralltriesscored">SAM!#REF!</definedName>
    <definedName name="samoverallwon">SAM!#REF!</definedName>
    <definedName name="sampooldrawn">SAM!#REF!</definedName>
    <definedName name="sampoollost">SAM!#REF!</definedName>
    <definedName name="sampoolpld">SAM!#REF!</definedName>
    <definedName name="sampoolptsag">SAM!#REF!</definedName>
    <definedName name="sampoolptsscored">SAM!#REF!</definedName>
    <definedName name="sampooltriescon">SAM!#REF!</definedName>
    <definedName name="sampooltriesscored">SAM!#REF!</definedName>
    <definedName name="sampoolwon">SAM!#REF!</definedName>
    <definedName name="samred">SAM!#REF!</definedName>
    <definedName name="samrwc2023overalldg">SAM!#REF!</definedName>
    <definedName name="samrwc2023overalldrawn">SAM!#REF!</definedName>
    <definedName name="samrwc2023overalllost">SAM!#REF!</definedName>
    <definedName name="samrwc2023overallplayed">SAM!#REF!</definedName>
    <definedName name="samrwc2023overallptsconc">SAM!#REF!</definedName>
    <definedName name="samrwc2023overallptsscored">SAM!#REF!</definedName>
    <definedName name="samrwc2023overallrc">SAM!#REF!</definedName>
    <definedName name="samrwc2023overalltriesconc">SAM!#REF!</definedName>
    <definedName name="samrwc2023overalltriesscored">SAM!#REF!</definedName>
    <definedName name="samrwc2023overallwon">SAM!#REF!</definedName>
    <definedName name="samrwc2023overallyc">SAM!#REF!</definedName>
    <definedName name="samrwc2023poolsdrawn">SAM!#REF!</definedName>
    <definedName name="samrwc2023poolslb">SAM!#REF!</definedName>
    <definedName name="samrwc2023poolslbcon">SAM!#REF!</definedName>
    <definedName name="samrwc2023poolslost">SAM!#REF!</definedName>
    <definedName name="samrwc2023poolsplayed">SAM!#REF!</definedName>
    <definedName name="samrwc2023poolsptsconc">SAM!#REF!</definedName>
    <definedName name="samrwc2023poolsptsscored">SAM!#REF!</definedName>
    <definedName name="samrwc2023poolstb">SAM!#REF!</definedName>
    <definedName name="samrwc2023poolstbcon">SAM!#REF!</definedName>
    <definedName name="samrwc2023poolstriesconc">SAM!#REF!</definedName>
    <definedName name="samrwc2023poolstriesscored">SAM!#REF!</definedName>
    <definedName name="samrwc2023poolswon">SAM!#REF!</definedName>
    <definedName name="SamRWChistdrawn">Sum!$E$47</definedName>
    <definedName name="SamRWChistlost">Sum!$D$47</definedName>
    <definedName name="SamRWChistplayed">Sum!$B$47</definedName>
    <definedName name="SamRWChistptscon">Sum!$H$47</definedName>
    <definedName name="SamRWChistptsscored">Sum!$G$47</definedName>
    <definedName name="SamRWChisttriesscored">Sum!$I$47</definedName>
    <definedName name="SamRWChistwon">Sum!$C$47</definedName>
    <definedName name="samtb">SAM!#REF!</definedName>
    <definedName name="samtbcon">SAM!#REF!</definedName>
    <definedName name="samyellow">SAM!#REF!</definedName>
    <definedName name="sanchexzargyratt">#REF!</definedName>
    <definedName name="Sanchezargyrgls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#REF!</definedName>
    <definedName name="saracenspremtotalsdrawn">#REF!</definedName>
    <definedName name="saracenspremtrybonusconc">#REF!</definedName>
    <definedName name="saracenspremtrybonusscored">#REF!</definedName>
    <definedName name="saracenspremyellow">#REF!</definedName>
    <definedName name="sarpremrugbycupseasontbconc">[1]SAR!$P$49</definedName>
    <definedName name="sarpremrugbycupseasontbscored">[1]SAR!$H$49</definedName>
    <definedName name="sarpremrugbycupseasontriesconc">[1]SAR!$R$49</definedName>
    <definedName name="sarpremrugbycupseasontriesscored">[1]SAR!$J$49</definedName>
    <definedName name="Sarpremtotalscorrecttriesconc">#REF!</definedName>
    <definedName name="Sarpremtotalscorrecttriesscored">#REF!</definedName>
    <definedName name="Sarpremtotalscorrecttrybonusconc">#REF!</definedName>
    <definedName name="Sarpremtotalscorrecttrybonusscored">#REF!</definedName>
    <definedName name="Sarpremtotalsdgs">#REF!</definedName>
    <definedName name="Sarpremtotalslost">#REF!</definedName>
    <definedName name="Sarpremtotalsplayed">#REF!</definedName>
    <definedName name="Sarpremtotalsptsagainst">#REF!</definedName>
    <definedName name="Sarpremtotalsptsscored">#REF!</definedName>
    <definedName name="Sarpremtotalsrc">#REF!</definedName>
    <definedName name="Sarpremtotalstriesconceded">#REF!</definedName>
    <definedName name="Sarpremtotalstriesscored">#REF!</definedName>
    <definedName name="Sarpremtotalswon">#REF!</definedName>
    <definedName name="Sarpremtotalsyc">#REF!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SCO!$AB$17</definedName>
    <definedName name="Sco2019alltestslost">SCO!$AC$17</definedName>
    <definedName name="Sco2019alltestsplayed">SCO!$Z$17</definedName>
    <definedName name="Sco2019alltestsptsagainst">SCO!$G$17</definedName>
    <definedName name="Sco2019alltestsptsscored">SCO!$F$17</definedName>
    <definedName name="Sco2019allteststriescon">SCO!$R$17</definedName>
    <definedName name="Sco2019allteststriesscored">SCO!$J$17</definedName>
    <definedName name="Sco2019alltestswon">SCO!$AA$17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6ntriesconc">SCO!$R$15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rwc2023overalldg">SCO!#REF!</definedName>
    <definedName name="scorwc2023overalldrawn">SCO!#REF!</definedName>
    <definedName name="scorwc2023overalllost">SCO!#REF!</definedName>
    <definedName name="scorwc2023overallplayed">SCO!#REF!</definedName>
    <definedName name="scorwc2023overallptsconc">SCO!#REF!</definedName>
    <definedName name="scorwc2023overallptsscored">SCO!#REF!</definedName>
    <definedName name="scorwc2023overallrc">SCO!#REF!</definedName>
    <definedName name="scorwc2023overalltriesconc">SCO!#REF!</definedName>
    <definedName name="scorwc2023overalltriesscored">SCO!#REF!</definedName>
    <definedName name="scorwc2023overallwon">SCO!#REF!</definedName>
    <definedName name="scorwc2023overallyc">SCO!#REF!</definedName>
    <definedName name="scorwc2023poolsdrawn">SCO!#REF!</definedName>
    <definedName name="scorwc2023poolslb">SCO!#REF!</definedName>
    <definedName name="scorwc2023poolslbcon">SCO!#REF!</definedName>
    <definedName name="scorwc2023poolslost">SCO!#REF!</definedName>
    <definedName name="scorwc2023poolsplayed">SCO!#REF!</definedName>
    <definedName name="scorwc2023poolsptscconc">SCO!#REF!</definedName>
    <definedName name="scorwc2023poolsptsscored">SCO!#REF!</definedName>
    <definedName name="scorwc2023poolstb">SCO!#REF!</definedName>
    <definedName name="scorwc2023poolstbcon">SCO!#REF!</definedName>
    <definedName name="scorwc2023poolstriesconc">SCO!#REF!</definedName>
    <definedName name="scorwc2023poolstriescored">SCO!#REF!</definedName>
    <definedName name="scorwc2023poolswon">SCO!#REF!</definedName>
    <definedName name="scotb">SCO!#REF!</definedName>
    <definedName name="scotbcon">SCO!#REF!</definedName>
    <definedName name="Scotlandalltestshistdrawn">Sum!$E$19</definedName>
    <definedName name="Scotlandalltestshistlost">Sum!$D$19</definedName>
    <definedName name="Scotlandalltestshistplayed">Sum!$B$19</definedName>
    <definedName name="Scotlandalltestshistptscon">Sum!$H$19</definedName>
    <definedName name="Scotlandalltestshistptsscored">Sum!$G$19</definedName>
    <definedName name="Scotlandalltestshisttriesscored">Sum!$I$19</definedName>
    <definedName name="Scotlandalltestshistwon">Sum!$C$19</definedName>
    <definedName name="Scotlanddrawn">SCO!$AB$15</definedName>
    <definedName name="Scotlandlosingbonus">SCO!$I$15</definedName>
    <definedName name="Scotlandlost">SCO!$AC$15</definedName>
    <definedName name="Scotlandplayed">SCO!$Z$15</definedName>
    <definedName name="Scotlandptsagainst">SCO!$G$15</definedName>
    <definedName name="Scotlandptsscored">SCO!$F$15</definedName>
    <definedName name="Scotlandred">SCO!$O$15</definedName>
    <definedName name="ScotlandRWChistdrawn">Sum!$E$48</definedName>
    <definedName name="ScotlandRWChistlost">Sum!$D$48</definedName>
    <definedName name="ScotlandRWChistplayed">Sum!$B$48</definedName>
    <definedName name="ScotlandRWChistptscon">Sum!$H$48</definedName>
    <definedName name="ScotlandRWChistptsscored">Sum!$G$48</definedName>
    <definedName name="ScotlandRWChisttriesscored">Sum!$I$48</definedName>
    <definedName name="ScotlandRWChistwon">Sum!$C$48</definedName>
    <definedName name="Scotlandtriesagainst">SCO!$R$15</definedName>
    <definedName name="Scotlandtriesscored">SCO!$J$15</definedName>
    <definedName name="Scotlandtrybonus">SCO!$H$15</definedName>
    <definedName name="Scotlandwon">SCO!$AA$15</definedName>
    <definedName name="Scotlandyellow">SCO!$N$15</definedName>
    <definedName name="scoyellow">SCO!#REF!</definedName>
    <definedName name="sextonireyearatt">#REF!</definedName>
    <definedName name="Sextonireyeargls">#REF!</definedName>
    <definedName name="Spainalltestshistdrawn">Sum!$E$21</definedName>
    <definedName name="Spainalltestshistlost">Sum!$D$21</definedName>
    <definedName name="Spainalltestshistplayed">Sum!$B$21</definedName>
    <definedName name="Spainalltestshistptsagainst">Sum!$H$21</definedName>
    <definedName name="Spainalltestshistptsscored">Sum!$G$21</definedName>
    <definedName name="Spainalltestshistwon">Sum!$C$21</definedName>
    <definedName name="spainalltestsyeardrawn">ESP!$AA$14</definedName>
    <definedName name="spainalltestsyearlost">ESP!$AB$14</definedName>
    <definedName name="spainalltestsyearplayed">ESP!$Y$14</definedName>
    <definedName name="spainalltestsyearptsagainst">ESP!$G$14</definedName>
    <definedName name="spainalltestsyearptsscored">ESP!$F$14</definedName>
    <definedName name="spainalltestsyearwon">ESP!$Z$14</definedName>
    <definedName name="SpainRWChistdrawn">Sum!$E$50</definedName>
    <definedName name="SpainRWChistlost">Sum!$D$50</definedName>
    <definedName name="SpainRWChistplayed">Sum!$B$50</definedName>
    <definedName name="SpainRWChistptsagainst">Sum!$H$50</definedName>
    <definedName name="SpainRWChistptsscored">Sum!$G$50</definedName>
    <definedName name="SpainRWChisttriesagaianst">Sum!$J$50</definedName>
    <definedName name="SpainRWChisttriesscored">Sum!$I$50</definedName>
    <definedName name="SpainRWChistwon">Sum!$C$50</definedName>
    <definedName name="tgalb">TGA!#REF!</definedName>
    <definedName name="tgalbcon">TGA!#REF!</definedName>
    <definedName name="tgaoveralldrawn">TGA!#REF!</definedName>
    <definedName name="tgaoveralllost">TGA!#REF!</definedName>
    <definedName name="tgaoverallpld">TGA!#REF!</definedName>
    <definedName name="tgaoverallptsag">TGA!#REF!</definedName>
    <definedName name="tgaoverallptsscored">TGA!#REF!</definedName>
    <definedName name="tgaoveralltriescon">TGA!#REF!</definedName>
    <definedName name="tgaoveralltriesscored">TGA!#REF!</definedName>
    <definedName name="tgaoveralltriesscoredcorr">TGA!#REF!</definedName>
    <definedName name="tgaoverallwon">TGA!#REF!</definedName>
    <definedName name="tgaovralltriesscoredcorrect">TGA!#REF!</definedName>
    <definedName name="tgapooldrawn">TGA!#REF!</definedName>
    <definedName name="tgapoollost">TGA!#REF!</definedName>
    <definedName name="tgapoolpld">TGA!#REF!</definedName>
    <definedName name="tgapoolptsag">TGA!#REF!</definedName>
    <definedName name="tgapoolptsscored">TGA!#REF!</definedName>
    <definedName name="tgapooltriescon">TGA!#REF!</definedName>
    <definedName name="tgapooltriesscored">TGA!#REF!</definedName>
    <definedName name="tgapoolwon">TGA!#REF!</definedName>
    <definedName name="tgared">TGA!#REF!</definedName>
    <definedName name="tgarwc2023overalldg">TGA!#REF!</definedName>
    <definedName name="tgarwc2023overalldrawn">TGA!#REF!</definedName>
    <definedName name="tgarwc2023overalllost">TGA!#REF!</definedName>
    <definedName name="tgarwc2023overallplayed">TGA!#REF!</definedName>
    <definedName name="tgarwc2023overallptsconc">TGA!#REF!</definedName>
    <definedName name="tgarwc2023overallptsscored">TGA!#REF!</definedName>
    <definedName name="tgarwc2023overallrc">TGA!#REF!</definedName>
    <definedName name="tgarwc2023overalltriesconc">TGA!#REF!</definedName>
    <definedName name="tgarwc2023overalltriesscored">TGA!#REF!</definedName>
    <definedName name="tgarwc2023overallwon">TGA!#REF!</definedName>
    <definedName name="tgarwc2023overallyc">TGA!#REF!</definedName>
    <definedName name="tgarwc2023poolsdrawn">TGA!$AB$8</definedName>
    <definedName name="tgarwc2023poolslb">TGA!$I$8</definedName>
    <definedName name="tgarwc2023poolslbcon">TGA!$Q$8</definedName>
    <definedName name="tgarwc2023poolslost">TGA!$AC$8</definedName>
    <definedName name="tgarwc2023poolsplayed">TGA!$Z$8</definedName>
    <definedName name="tgarwc2023poolsptsconc">TGA!$G$8</definedName>
    <definedName name="tgarwc2023poolsptsscored">TGA!$F$8</definedName>
    <definedName name="tgarwc2023poolstb">TGA!$H$8</definedName>
    <definedName name="tgarwc2023poolstbcon">TGA!$P$8</definedName>
    <definedName name="tgarwc2023poolstriesconc">TGA!$R$8</definedName>
    <definedName name="tgarwc2023poolstriesscored">TGA!$J$8</definedName>
    <definedName name="tgarwc2023poolswon">TGA!$AA$8</definedName>
    <definedName name="tgatb">TGA!#REF!</definedName>
    <definedName name="tgatbcon">TGA!#REF!</definedName>
    <definedName name="tgayellow">TGA!#REF!</definedName>
    <definedName name="Ton2019alltestsdrawn">TGA!$AB$10</definedName>
    <definedName name="Ton2019alltestslost">TGA!$AC$10</definedName>
    <definedName name="Ton2019alltestsplayed">TGA!$Z$10</definedName>
    <definedName name="Ton2019alltestsptscon">TGA!$G$10</definedName>
    <definedName name="Ton2019alltestsptsscored">TGA!$F$10</definedName>
    <definedName name="Ton2019allteststriescon">TGA!$R$10</definedName>
    <definedName name="Ton2019allteststriesscored">TGA!$J$10</definedName>
    <definedName name="Ton2019alltestswon">TGA!$AA$10</definedName>
    <definedName name="Ton2019pooldrawn">TGA!#REF!</definedName>
    <definedName name="Ton2019poollbcon">TGA!#REF!</definedName>
    <definedName name="Ton2019poollbscored">TGA!#REF!</definedName>
    <definedName name="Ton2019poollost">TGA!#REF!</definedName>
    <definedName name="Ton2019poolplayed">TGA!#REF!</definedName>
    <definedName name="Ton2019poolplayedcorrect">TGA!#REF!</definedName>
    <definedName name="Ton2019poolptscon">TGA!#REF!</definedName>
    <definedName name="Ton2019poolptsscored">TGA!#REF!</definedName>
    <definedName name="Ton2019poolrtbcon">TGA!#REF!</definedName>
    <definedName name="Ton2019pooltbscored">TGA!#REF!</definedName>
    <definedName name="Ton2019pooltriescon">TGA!#REF!</definedName>
    <definedName name="Ton2019pooltriesscored">TGA!#REF!</definedName>
    <definedName name="Ton2019poolwon">TGA!#REF!</definedName>
    <definedName name="Ton2019RWCdrawn">TGA!#REF!</definedName>
    <definedName name="Ton2019RWClost">TGA!#REF!</definedName>
    <definedName name="Ton2019RWCplayed">TGA!#REF!</definedName>
    <definedName name="Ton2019RWCptscon">TGA!#REF!</definedName>
    <definedName name="Ton2019RWCptsscored">TGA!#REF!</definedName>
    <definedName name="Ton2019RWCrc">TGA!#REF!</definedName>
    <definedName name="Ton2019RWCtriescon">TGA!#REF!</definedName>
    <definedName name="Ton2019RWCtriesscored">TGA!#REF!</definedName>
    <definedName name="Ton2019RWCwon">TGA!#REF!</definedName>
    <definedName name="Ton2019RWCyc">TGA!#REF!</definedName>
    <definedName name="Tongaalltestshistdrawn">Sum!$E$22</definedName>
    <definedName name="Tongaalltestshistlost">Sum!$D$22</definedName>
    <definedName name="Tongaalltestshistplayed">Sum!$B$22</definedName>
    <definedName name="Tongaalltestshistptsagainst">Sum!$H$22</definedName>
    <definedName name="Tongaalltestshistptsscored">Sum!$G$22</definedName>
    <definedName name="Tongaalltestshisttriesscored">Sum!$I$22</definedName>
    <definedName name="Tongaalltestshistwon">Sum!$C$22</definedName>
    <definedName name="TongaRWChistdrawn">Sum!$E$51</definedName>
    <definedName name="TongaRWChistlost">Sum!$D$51</definedName>
    <definedName name="TongaRWChistplayed">Sum!$B$51</definedName>
    <definedName name="TongaRWChistptscon">Sum!$H$51</definedName>
    <definedName name="TongaRWChistptsscored">Sum!$G$51</definedName>
    <definedName name="TongaRWChisttriesscored">Sum!$I$51</definedName>
    <definedName name="TongaRWChistwon">Sum!$C$51</definedName>
    <definedName name="triesscored">ENG!#REF!</definedName>
    <definedName name="United_Statesalltestshistdrawn">Sum!$E$23</definedName>
    <definedName name="United_Statesalltestshistlost">Sum!$D$23</definedName>
    <definedName name="United_Statesalltestshistplayed">Sum!$B$23</definedName>
    <definedName name="United_Statesalltestshistptscon">Sum!$H$23</definedName>
    <definedName name="United_Statesalltestshistptsscored">Sum!$G$23</definedName>
    <definedName name="United_Statesalltestshisttriesscored">Sum!$I$23</definedName>
    <definedName name="United_Statesalltestshistwon">Sum!$C$23</definedName>
    <definedName name="United_StatesRWChistdrawn">Sum!$E$52</definedName>
    <definedName name="United_StatesRWChistlost">Sum!$D$52</definedName>
    <definedName name="United_StatesRWChistplayed">Sum!$B$52</definedName>
    <definedName name="United_StatesRWChistptscon">Sum!$H$52</definedName>
    <definedName name="United_StatesRWChistptsscored">Sum!$G$52</definedName>
    <definedName name="United_StatesRWChisttriesscored">Sum!$I$52</definedName>
    <definedName name="United_StatesRWChistwon">Sum!$C$52</definedName>
    <definedName name="Uru2019alltestsdrawn">URU!$AA$14</definedName>
    <definedName name="Uru2019alltestslost">URU!$AB$14</definedName>
    <definedName name="Uru2019alltestsplayed">URU!$F$14</definedName>
    <definedName name="Uru2019alltestsplayedcorrect">URU!$Y$14</definedName>
    <definedName name="Uru2019alltestsptscon">URU!$G$14</definedName>
    <definedName name="Uru2019alltestsptsscored">URU!$F$14</definedName>
    <definedName name="Uru2019allteststriescon">URU!$J$14</definedName>
    <definedName name="Uru2019allteststriesconcorrect">URU!$R$14</definedName>
    <definedName name="Uru2019allteststriesscored">URU!$J$14</definedName>
    <definedName name="Uru2019alltestswon">URU!$Z$14</definedName>
    <definedName name="Uru2019pooldrawn">URU!#REF!</definedName>
    <definedName name="Uru2019poollbcon">URU!#REF!</definedName>
    <definedName name="Uru2019poollbscored">URU!#REF!</definedName>
    <definedName name="Uru2019poollost">URU!#REF!</definedName>
    <definedName name="Uru2019poolplayed">URU!#REF!</definedName>
    <definedName name="Uru2019poolptsagainst">URU!#REF!</definedName>
    <definedName name="Uru2019poolptscon">URU!#REF!</definedName>
    <definedName name="Uru2019poolptsconcorrect">URU!#REF!</definedName>
    <definedName name="Uru2019poolptsscored">URU!#REF!</definedName>
    <definedName name="Uru2019pooltbcon">URU!#REF!</definedName>
    <definedName name="Uru2019pooltbscored">URU!#REF!</definedName>
    <definedName name="Uru2019pooltriescon">URU!#REF!</definedName>
    <definedName name="Uru2019pooltriesscored">URU!#REF!</definedName>
    <definedName name="uru2019poolwon">URU!#REF!</definedName>
    <definedName name="Uru2019RWCdrawn">URU!#REF!</definedName>
    <definedName name="Uru2019RWClostcorrect">URU!#REF!</definedName>
    <definedName name="Uru2019RWCplayed">URU!#REF!</definedName>
    <definedName name="Uru2019RWCptscon">URU!#REF!</definedName>
    <definedName name="Uru2019RWCptsscored">URU!#REF!</definedName>
    <definedName name="Uru2019RWCrc">URU!#REF!</definedName>
    <definedName name="Uru2019RWCtriescon">URU!#REF!</definedName>
    <definedName name="Uru2019RWCtriesscored">URU!#REF!</definedName>
    <definedName name="Uru2019RWCwon">URU!#REF!</definedName>
    <definedName name="Uru2019RWCyc">URU!#REF!</definedName>
    <definedName name="Urualltestshistdrawn">Sum!$E$24</definedName>
    <definedName name="Urualltestshistlost">Sum!$D$24</definedName>
    <definedName name="Urualltestshistplayed">Sum!$B$24</definedName>
    <definedName name="Urualltestshistptscon">Sum!$H$24</definedName>
    <definedName name="Urualltestshistptsscored">Sum!$G$24</definedName>
    <definedName name="Urualltestshisttriesscored">Sum!$I$24</definedName>
    <definedName name="Urualltestshistwon">Sum!$C$24</definedName>
    <definedName name="urulb">URU!#REF!</definedName>
    <definedName name="urulbcon">URU!#REF!</definedName>
    <definedName name="uruoveralldrawn">URU!#REF!</definedName>
    <definedName name="uruoveralllost">URU!#REF!</definedName>
    <definedName name="uruoverallpld">URU!#REF!</definedName>
    <definedName name="uruoverallptsag">URU!#REF!</definedName>
    <definedName name="uruoverallptsscored">URU!#REF!</definedName>
    <definedName name="uruoveralltriescon">URU!#REF!</definedName>
    <definedName name="uruoveralltriesscored">URU!#REF!</definedName>
    <definedName name="uruoverallwon">URU!#REF!</definedName>
    <definedName name="urupooldrawn">URU!#REF!</definedName>
    <definedName name="urupoollost">URU!#REF!</definedName>
    <definedName name="urupoolpld">URU!#REF!</definedName>
    <definedName name="urupoolptsag">URU!#REF!</definedName>
    <definedName name="urupoolptsscored">URU!#REF!</definedName>
    <definedName name="urupooltriesscored">URU!#REF!</definedName>
    <definedName name="urupoolwon">URU!#REF!</definedName>
    <definedName name="urured">URU!#REF!</definedName>
    <definedName name="ururwc2023overalldg">URU!#REF!</definedName>
    <definedName name="ururwc2023overalldrawn">URU!#REF!</definedName>
    <definedName name="ururwc2023overalllost">URU!#REF!</definedName>
    <definedName name="ururwc2023overallplayed">URU!#REF!</definedName>
    <definedName name="ururwc2023overallptsscored">URU!#REF!</definedName>
    <definedName name="ururwc2023overallptssonc">URU!#REF!</definedName>
    <definedName name="ururwc2023overallrc">URU!#REF!</definedName>
    <definedName name="ururwc2023overalltriessconc">URU!#REF!</definedName>
    <definedName name="ururwc2023overalltriesscored">URU!#REF!</definedName>
    <definedName name="ururwc2023overallwon">URU!#REF!</definedName>
    <definedName name="ururwc2023overallyc">URU!#REF!</definedName>
    <definedName name="ururwc2023poolsdrawn">URU!#REF!</definedName>
    <definedName name="ururwc2023poolslb">URU!#REF!</definedName>
    <definedName name="ururwc2023poolslbcon">URU!#REF!</definedName>
    <definedName name="ururwc2023poolslost">URU!#REF!</definedName>
    <definedName name="ururwc2023poolsplayed">URU!#REF!</definedName>
    <definedName name="ururwc2023poolsptsconc">URU!#REF!</definedName>
    <definedName name="ururwc2023poolsptsscored">URU!#REF!</definedName>
    <definedName name="ururwc2023poolstb">URU!#REF!</definedName>
    <definedName name="ururwc2023poolstbcon">URU!#REF!</definedName>
    <definedName name="ururwc2023poolstriesconc">URU!#REF!</definedName>
    <definedName name="ururwc2023poolstriesscored">URU!#REF!</definedName>
    <definedName name="ururwc2023poolswon">URU!#REF!</definedName>
    <definedName name="UruRWChistdrawn">Sum!$E$53</definedName>
    <definedName name="UruRWChistlost">Sum!$D$53</definedName>
    <definedName name="UruRWChistplayed">Sum!$B$53</definedName>
    <definedName name="UruRWChistptscon">Sum!$H$53</definedName>
    <definedName name="UruRWChistptsscored">Sum!$G$53</definedName>
    <definedName name="UruRWChisttriesscored">Sum!$I$53</definedName>
    <definedName name="UruRWChistwon">Sum!$C$53</definedName>
    <definedName name="urutb">URU!#REF!</definedName>
    <definedName name="urutbcon">URU!#REF!</definedName>
    <definedName name="urutriescon">URU!#REF!</definedName>
    <definedName name="uruyellow">URU!#REF!</definedName>
    <definedName name="USA2019alltestsdrawn">USA!$AB$16</definedName>
    <definedName name="USA2019alltestslost">USA!$AC$16</definedName>
    <definedName name="USA2019alltestsplayed">USA!$Z$16</definedName>
    <definedName name="USA2019alltestsptscon">USA!$G$16</definedName>
    <definedName name="USA2019alltestsptsscored">USA!$F$16</definedName>
    <definedName name="USA2019allteststriescon">USA!$R$16</definedName>
    <definedName name="USA2019allteststriesscored">USA!$J$16</definedName>
    <definedName name="USA2019alltestswon">USA!$AA$16</definedName>
    <definedName name="USA2019pooldrawn">USA!#REF!</definedName>
    <definedName name="USA2019poollbcon">USA!#REF!</definedName>
    <definedName name="USA2019poollbscored">USA!#REF!</definedName>
    <definedName name="USA2019poollost">USA!#REF!</definedName>
    <definedName name="USA2019poolplayed">USA!#REF!</definedName>
    <definedName name="USA2019poolptscon">USA!#REF!</definedName>
    <definedName name="USA2019poolptsscored">USA!#REF!</definedName>
    <definedName name="USA2019pooltbcon">USA!#REF!</definedName>
    <definedName name="USA2019pooltbscored">USA!#REF!</definedName>
    <definedName name="USA2019pooltriescon">USA!#REF!</definedName>
    <definedName name="USA2019pooltriesscored">USA!#REF!</definedName>
    <definedName name="USA2019poolwon">USA!#REF!</definedName>
    <definedName name="USA2019RWCdrawn">USA!#REF!</definedName>
    <definedName name="USA2019RWClost">USA!#REF!</definedName>
    <definedName name="USA2019RWCplayed">USA!#REF!</definedName>
    <definedName name="USA2019RWCptscon">USA!#REF!</definedName>
    <definedName name="USA2019RWCptsscored">USA!#REF!</definedName>
    <definedName name="USA2019RWCrc">USA!#REF!</definedName>
    <definedName name="USA2019RWCtriescon">USA!#REF!</definedName>
    <definedName name="USA2019RWCtriesscored">USA!#REF!</definedName>
    <definedName name="USA2019RWCwon">USA!#REF!</definedName>
    <definedName name="USA2019RWCyc">USA!#REF!</definedName>
    <definedName name="usalb">USA!#REF!</definedName>
    <definedName name="usalbcon">USA!#REF!</definedName>
    <definedName name="usaoveralldrawn">USA!#REF!</definedName>
    <definedName name="usaoveralllost">USA!#REF!</definedName>
    <definedName name="usaoverallpld">USA!#REF!</definedName>
    <definedName name="usaoverallptsag">USA!#REF!</definedName>
    <definedName name="usaoverallptsscored">USA!#REF!</definedName>
    <definedName name="usaoveralltriescon">USA!#REF!</definedName>
    <definedName name="usaoveralltriesscored">USA!#REF!</definedName>
    <definedName name="usaoverallwon">USA!#REF!</definedName>
    <definedName name="usapooldrawn">USA!#REF!</definedName>
    <definedName name="usapoollost">USA!#REF!</definedName>
    <definedName name="usapoolpld">USA!#REF!</definedName>
    <definedName name="usapoolptsag">USA!#REF!</definedName>
    <definedName name="usapoolptsscored">USA!#REF!</definedName>
    <definedName name="usapooltriescon">USA!#REF!</definedName>
    <definedName name="usapooltriesscored">USA!#REF!</definedName>
    <definedName name="usapoolwon">USA!#REF!</definedName>
    <definedName name="usared">USA!#REF!</definedName>
    <definedName name="usatb">USA!#REF!</definedName>
    <definedName name="usatbcon">USA!#REF!</definedName>
    <definedName name="usayellow">USA!#REF!</definedName>
    <definedName name="vdrawn">FIJ!#REF!</definedName>
    <definedName name="vlost">SCO!#REF!</definedName>
    <definedName name="vrc">SAM!#REF!</definedName>
    <definedName name="vtriesscored">Sum!$I$18</definedName>
    <definedName name="vwon">URU!#REF!</definedName>
    <definedName name="Wal2019alltestsdrawn">WAL!$AB$17</definedName>
    <definedName name="Wal2019alltestslostcorrect">WAL!$AC$17</definedName>
    <definedName name="Wal2019alltestsplayed">WAL!$Z$17</definedName>
    <definedName name="Wal2019alltestsptscon">WAL!$G$17</definedName>
    <definedName name="Wal2019alltestsptsscored">WAL!$F$17</definedName>
    <definedName name="Wal2019allteststriescon">WAL!$R$17</definedName>
    <definedName name="Wal2019allteststriesscored">WAL!$J$17</definedName>
    <definedName name="Wal2019alltestswon">WAL!$AA$17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6ntriesconc">WAL!$R$15</definedName>
    <definedName name="Walesalltestshistdrawn">Sum!$E$25</definedName>
    <definedName name="Walesalltestshistlost">Sum!$D$25</definedName>
    <definedName name="Walesalltestshistplayed">Sum!$B$25</definedName>
    <definedName name="Walesalltestshistptscon">Sum!$H$25</definedName>
    <definedName name="Walesalltestshistptsscored">Sum!$G$25</definedName>
    <definedName name="Walesalltestshisttriesscored">Sum!$I$25</definedName>
    <definedName name="Walesalltestshistwon">Sum!$C$25</definedName>
    <definedName name="Walesdrawn">WAL!$AB$15</definedName>
    <definedName name="Waleslosingbonus">WAL!$I$15</definedName>
    <definedName name="Waleslost">WAL!$AC$15</definedName>
    <definedName name="Walesplayed">WAL!$Z$15</definedName>
    <definedName name="Walesptsagainst">WAL!$G$15</definedName>
    <definedName name="Walesptsscored">WAL!$F$15</definedName>
    <definedName name="Walesred">WAL!$O$15</definedName>
    <definedName name="WalesRWChistdrawn">Sum!$E$54</definedName>
    <definedName name="WalesRWChistlost">Sum!$D$54</definedName>
    <definedName name="WalesRWChistplayed">Sum!$B$54</definedName>
    <definedName name="WalesRWChistptscon">Sum!$H$54</definedName>
    <definedName name="WalesRWChistptsscored">Sum!$G$54</definedName>
    <definedName name="WalesRWChisttriesscored">Sum!$I$54</definedName>
    <definedName name="WalesRWChistwon">Sum!$C$54</definedName>
    <definedName name="Walestriesagainst">WAL!$R$15</definedName>
    <definedName name="Walestriesscored">WAL!$J$15</definedName>
    <definedName name="Walestrybonus">WAL!$H$15</definedName>
    <definedName name="Waleswon">WAL!$AA$15</definedName>
    <definedName name="Walesyellow">WAL!$N$15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rwc2023overalldg">WAL!#REF!</definedName>
    <definedName name="walrwc2023overalldrawn">WAL!#REF!</definedName>
    <definedName name="walrwc2023overalllost">WAL!#REF!</definedName>
    <definedName name="walrwc2023overallplayed">WAL!#REF!</definedName>
    <definedName name="walrwc2023overallptsconc">WAL!#REF!</definedName>
    <definedName name="walrwc2023overallptsscored">WAL!#REF!</definedName>
    <definedName name="walrwc2023overallrc">WAL!#REF!</definedName>
    <definedName name="walrwc2023overalltriesconc">WAL!#REF!</definedName>
    <definedName name="walrwc2023overalltriesscored">WAL!#REF!</definedName>
    <definedName name="walrwc2023overallwon">WAL!#REF!</definedName>
    <definedName name="walrwc2023overallyc">WAL!#REF!</definedName>
    <definedName name="walrwc2023poolsdrawn">WAL!#REF!</definedName>
    <definedName name="walrwc2023poolslb">WAL!#REF!</definedName>
    <definedName name="walrwc2023poolslbcon">WAL!#REF!</definedName>
    <definedName name="walrwc2023poolslost">WAL!#REF!</definedName>
    <definedName name="walrwc2023poolsplayed">WAL!#REF!</definedName>
    <definedName name="walrwc2023poolsptsconc">WAL!#REF!</definedName>
    <definedName name="walrwc2023poolsptsscored">WAL!#REF!</definedName>
    <definedName name="walrwc2023poolstb">WAL!#REF!</definedName>
    <definedName name="walrwc2023poolstbcon">WAL!#REF!</definedName>
    <definedName name="walrwc2023poolstriesconc">WAL!#REF!</definedName>
    <definedName name="walrwc2023poolstriesscored">WAL!#REF!</definedName>
    <definedName name="walrwc2023poolswon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NZL!#REF!</definedName>
    <definedName name="waspsconceded">NZL!#REF!</definedName>
    <definedName name="waspsdrawn">NZL!#REF!</definedName>
    <definedName name="waspsdrawncorrect">NZL!#REF!</definedName>
    <definedName name="waspslosingbonus">NZL!#REF!</definedName>
    <definedName name="waspslosingbonusconceded">NZL!#REF!</definedName>
    <definedName name="waspslost">NZL!#REF!</definedName>
    <definedName name="waspsplayed">NZL!#REF!</definedName>
    <definedName name="waspspremred">#REF!</definedName>
    <definedName name="Waspspremtotalsdgs">#REF!</definedName>
    <definedName name="waspspremtotalsdrawn">#REF!</definedName>
    <definedName name="Waspspremtotalslost">#REF!</definedName>
    <definedName name="Waspspremtotalsplayed">#REF!</definedName>
    <definedName name="Waspspremtotalsptsagainst">#REF!</definedName>
    <definedName name="Waspspremtotalsptsscored">#REF!</definedName>
    <definedName name="Waspspremtotalsrc">#REF!</definedName>
    <definedName name="Waspspremtotalstriesconceded">#REF!</definedName>
    <definedName name="Waspspremtotalstriesscored">#REF!</definedName>
    <definedName name="Waspspremtotalswon">#REF!</definedName>
    <definedName name="Waspspremtotalsyc">#REF!</definedName>
    <definedName name="waspspremtrybonusconc">#REF!</definedName>
    <definedName name="waspspremtrybonusscored">#REF!</definedName>
    <definedName name="waspspremyellow">#REF!</definedName>
    <definedName name="waspsred">NZL!#REF!</definedName>
    <definedName name="waspsscored">NZL!#REF!</definedName>
    <definedName name="waspstriesconceded">NZL!#REF!</definedName>
    <definedName name="waspstriesscored">NZL!#REF!</definedName>
    <definedName name="waspstrybonus">NZL!#REF!</definedName>
    <definedName name="waspstrybonusconceded">NZL!#REF!</definedName>
    <definedName name="waspswon">NZL!#REF!</definedName>
    <definedName name="waspsyellow">NZL!#REF!</definedName>
    <definedName name="welshlosingbonus">GEO!#REF!</definedName>
    <definedName name="welshtrybonus">GEO!#REF!</definedName>
    <definedName name="worbonus">GEO!#REF!</definedName>
    <definedName name="worcester201314triesagainst">GEO!#REF!</definedName>
    <definedName name="worcesterpremred">#REF!</definedName>
    <definedName name="worcesterpremseasontotalsdgs">#REF!</definedName>
    <definedName name="worcesterpremseasontotalsdrawn">#REF!</definedName>
    <definedName name="worcesterpremseasontotalslost">#REF!</definedName>
    <definedName name="worcesterpremseasontotalsplayed">#REF!</definedName>
    <definedName name="worcesterpremseasontotalsptsagainst">#REF!</definedName>
    <definedName name="worcesterpremseasontotalsptsscored">#REF!</definedName>
    <definedName name="worcesterpremseasontotalsRC">#REF!</definedName>
    <definedName name="worcesterpremseasontotalstriesconceded">#REF!</definedName>
    <definedName name="worcesterpremseasontotalstriesscoredcorrect">#REF!</definedName>
    <definedName name="worcesterpremseasontotalswon">#REF!</definedName>
    <definedName name="worcesterpremseasontotalsYC">#REF!</definedName>
    <definedName name="worcesterpremtrybonusconc">#REF!</definedName>
    <definedName name="worcesterpremtrybonusscored">#REF!</definedName>
    <definedName name="worcesterpremyellow">#REF!</definedName>
    <definedName name="worcestertriesscored">GEO!#REF!</definedName>
    <definedName name="worconceded">GEO!#REF!</definedName>
    <definedName name="wordrawn">GEO!#REF!</definedName>
    <definedName name="worlosingbonus">GEO!#REF!</definedName>
    <definedName name="worlosingbonusconceded">GEO!#REF!</definedName>
    <definedName name="worlost">GEO!#REF!</definedName>
    <definedName name="worplayed">GEO!#REF!</definedName>
    <definedName name="worred">GEO!#REF!</definedName>
    <definedName name="worscored">GEO!#REF!</definedName>
    <definedName name="wortriesconceded">GEO!#REF!</definedName>
    <definedName name="wortriesscored">GEO!#REF!</definedName>
    <definedName name="wortrybonus">GEO!#REF!</definedName>
    <definedName name="wortrybonusconceded">GEO!#REF!</definedName>
    <definedName name="worwon">GEO!#REF!</definedName>
    <definedName name="woryellow">GEO!#REF!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32" l="1"/>
  <c r="P5" i="32"/>
  <c r="H33" i="31"/>
  <c r="E33" i="31"/>
  <c r="H32" i="31"/>
  <c r="E32" i="31"/>
  <c r="O42" i="45"/>
  <c r="O41" i="45"/>
  <c r="AG50" i="54"/>
  <c r="AE50" i="54"/>
  <c r="AF50" i="54" s="1"/>
  <c r="AG49" i="54"/>
  <c r="AE49" i="54"/>
  <c r="AF49" i="54" s="1"/>
  <c r="AG48" i="54"/>
  <c r="AE48" i="54"/>
  <c r="AF48" i="54" s="1"/>
  <c r="AG47" i="54"/>
  <c r="AE47" i="54"/>
  <c r="AF47" i="54" s="1"/>
  <c r="AG46" i="54"/>
  <c r="AE46" i="54"/>
  <c r="AF46" i="54" s="1"/>
  <c r="AG45" i="54"/>
  <c r="AE45" i="54"/>
  <c r="AF45" i="54" s="1"/>
  <c r="AG43" i="54"/>
  <c r="AF43" i="54" s="1"/>
  <c r="AE43" i="54"/>
  <c r="AG42" i="54"/>
  <c r="AF42" i="54" s="1"/>
  <c r="AE42" i="54"/>
  <c r="AG41" i="54"/>
  <c r="AE41" i="54"/>
  <c r="AF41" i="54" s="1"/>
  <c r="AG40" i="54"/>
  <c r="AE40" i="54"/>
  <c r="AF40" i="54" s="1"/>
  <c r="AG39" i="54"/>
  <c r="AE39" i="54"/>
  <c r="AF39" i="54" s="1"/>
  <c r="AG38" i="54"/>
  <c r="AE38" i="54"/>
  <c r="AF38" i="54" s="1"/>
  <c r="AG36" i="54"/>
  <c r="AE36" i="54"/>
  <c r="AF36" i="54" s="1"/>
  <c r="AG35" i="54"/>
  <c r="AE35" i="54"/>
  <c r="AF35" i="54" s="1"/>
  <c r="AG34" i="54"/>
  <c r="AE34" i="54"/>
  <c r="AF34" i="54" s="1"/>
  <c r="AG33" i="54"/>
  <c r="AE33" i="54"/>
  <c r="AF33" i="54" s="1"/>
  <c r="AG32" i="54"/>
  <c r="AE32" i="54"/>
  <c r="AF32" i="54" s="1"/>
  <c r="AG31" i="54"/>
  <c r="AE31" i="54"/>
  <c r="AF31" i="54" s="1"/>
  <c r="AG29" i="54"/>
  <c r="AE29" i="54"/>
  <c r="AF29" i="54" s="1"/>
  <c r="AG28" i="54"/>
  <c r="AE28" i="54"/>
  <c r="AF28" i="54" s="1"/>
  <c r="AG27" i="54"/>
  <c r="AE27" i="54"/>
  <c r="AF27" i="54" s="1"/>
  <c r="AG26" i="54"/>
  <c r="AE26" i="54"/>
  <c r="AF26" i="54" s="1"/>
  <c r="AG25" i="54"/>
  <c r="AE25" i="54"/>
  <c r="AF25" i="54" s="1"/>
  <c r="AG24" i="54"/>
  <c r="AE24" i="54"/>
  <c r="AF24" i="54" s="1"/>
  <c r="AH29" i="45"/>
  <c r="AB29" i="45"/>
  <c r="AI29" i="45" s="1"/>
  <c r="AI28" i="45"/>
  <c r="AH28" i="45"/>
  <c r="AB28" i="45"/>
  <c r="AH13" i="45"/>
  <c r="AB13" i="45"/>
  <c r="AI13" i="45" s="1"/>
  <c r="AH12" i="45"/>
  <c r="AB12" i="45"/>
  <c r="AI12" i="45" s="1"/>
  <c r="S58" i="45"/>
  <c r="R58" i="45"/>
  <c r="Q58" i="45"/>
  <c r="S57" i="45"/>
  <c r="R57" i="45"/>
  <c r="Q57" i="45"/>
  <c r="T27" i="45"/>
  <c r="O27" i="45"/>
  <c r="U27" i="45" s="1"/>
  <c r="T26" i="45"/>
  <c r="O26" i="45"/>
  <c r="U26" i="45" s="1"/>
  <c r="T14" i="45"/>
  <c r="O14" i="45"/>
  <c r="U14" i="45" s="1"/>
  <c r="T13" i="45"/>
  <c r="O13" i="45"/>
  <c r="U13" i="45" s="1"/>
  <c r="P61" i="45"/>
  <c r="O61" i="45"/>
  <c r="N61" i="45"/>
  <c r="M61" i="45"/>
  <c r="L61" i="45"/>
  <c r="K61" i="45"/>
  <c r="S60" i="45"/>
  <c r="R60" i="45"/>
  <c r="Q60" i="45"/>
  <c r="S59" i="45"/>
  <c r="R59" i="45"/>
  <c r="Q59" i="45"/>
  <c r="S56" i="45"/>
  <c r="R56" i="45"/>
  <c r="Q56" i="45"/>
  <c r="S55" i="45"/>
  <c r="R55" i="45"/>
  <c r="Q55" i="45"/>
  <c r="S54" i="45"/>
  <c r="R54" i="45"/>
  <c r="Q54" i="45"/>
  <c r="S53" i="45"/>
  <c r="R53" i="45"/>
  <c r="Q53" i="45"/>
  <c r="S52" i="45"/>
  <c r="R52" i="45"/>
  <c r="Q52" i="45"/>
  <c r="S51" i="45"/>
  <c r="R51" i="45"/>
  <c r="Q51" i="45"/>
  <c r="S50" i="45"/>
  <c r="R50" i="45"/>
  <c r="Q50" i="45"/>
  <c r="S49" i="45"/>
  <c r="R49" i="45"/>
  <c r="Q49" i="45"/>
  <c r="O44" i="45"/>
  <c r="O43" i="45"/>
  <c r="O40" i="45"/>
  <c r="O39" i="45"/>
  <c r="O38" i="45"/>
  <c r="O37" i="45"/>
  <c r="O36" i="45"/>
  <c r="O35" i="45"/>
  <c r="O34" i="45"/>
  <c r="O33" i="45"/>
  <c r="AG32" i="45"/>
  <c r="I25" i="45"/>
  <c r="H25" i="45"/>
  <c r="F25" i="45"/>
  <c r="D25" i="45"/>
  <c r="B25" i="45"/>
  <c r="AH31" i="45"/>
  <c r="AB31" i="45"/>
  <c r="AI31" i="45" s="1"/>
  <c r="AH30" i="45"/>
  <c r="AB30" i="45"/>
  <c r="AI30" i="45" s="1"/>
  <c r="AH27" i="45"/>
  <c r="AB27" i="45"/>
  <c r="AI27" i="45" s="1"/>
  <c r="T29" i="45"/>
  <c r="O29" i="45"/>
  <c r="AH26" i="45"/>
  <c r="AB26" i="45"/>
  <c r="AI26" i="45" s="1"/>
  <c r="T28" i="45"/>
  <c r="O28" i="45"/>
  <c r="AH25" i="45"/>
  <c r="AB25" i="45"/>
  <c r="AI25" i="45" s="1"/>
  <c r="T25" i="45"/>
  <c r="O25" i="45"/>
  <c r="AH24" i="45"/>
  <c r="AB24" i="45"/>
  <c r="AI24" i="45" s="1"/>
  <c r="T24" i="45"/>
  <c r="O24" i="45"/>
  <c r="U24" i="45" s="1"/>
  <c r="AH23" i="45"/>
  <c r="AB23" i="45"/>
  <c r="AI23" i="45" s="1"/>
  <c r="T23" i="45"/>
  <c r="O23" i="45"/>
  <c r="U23" i="45" s="1"/>
  <c r="AH22" i="45"/>
  <c r="AB22" i="45"/>
  <c r="AI22" i="45" s="1"/>
  <c r="T22" i="45"/>
  <c r="O22" i="45"/>
  <c r="U22" i="45" s="1"/>
  <c r="AH21" i="45"/>
  <c r="AB21" i="45"/>
  <c r="AI21" i="45" s="1"/>
  <c r="T21" i="45"/>
  <c r="O21" i="45"/>
  <c r="AH20" i="45"/>
  <c r="AB20" i="45"/>
  <c r="AI20" i="45" s="1"/>
  <c r="T20" i="45"/>
  <c r="O20" i="45"/>
  <c r="U20" i="45" s="1"/>
  <c r="T19" i="45"/>
  <c r="O19" i="45"/>
  <c r="U19" i="45" s="1"/>
  <c r="T18" i="45"/>
  <c r="O18" i="45"/>
  <c r="AG16" i="45"/>
  <c r="AH15" i="45"/>
  <c r="AB15" i="45"/>
  <c r="AI15" i="45" s="1"/>
  <c r="AH14" i="45"/>
  <c r="AB14" i="45"/>
  <c r="AI14" i="45" s="1"/>
  <c r="T12" i="45"/>
  <c r="O12" i="45"/>
  <c r="U12" i="45" s="1"/>
  <c r="AH11" i="45"/>
  <c r="AB11" i="45"/>
  <c r="AI11" i="45" s="1"/>
  <c r="T11" i="45"/>
  <c r="O11" i="45"/>
  <c r="AH10" i="45"/>
  <c r="AB10" i="45"/>
  <c r="AI10" i="45" s="1"/>
  <c r="T10" i="45"/>
  <c r="O10" i="45"/>
  <c r="AH9" i="45"/>
  <c r="AB9" i="45"/>
  <c r="AI9" i="45" s="1"/>
  <c r="T9" i="45"/>
  <c r="O9" i="45"/>
  <c r="AH8" i="45"/>
  <c r="AB8" i="45"/>
  <c r="AI8" i="45" s="1"/>
  <c r="T8" i="45"/>
  <c r="O8" i="45"/>
  <c r="AH7" i="45"/>
  <c r="AB7" i="45"/>
  <c r="AI7" i="45" s="1"/>
  <c r="T7" i="45"/>
  <c r="O7" i="45"/>
  <c r="U7" i="45" s="1"/>
  <c r="AH6" i="45"/>
  <c r="AB6" i="45"/>
  <c r="AI6" i="45" s="1"/>
  <c r="T6" i="45"/>
  <c r="O6" i="45"/>
  <c r="U6" i="45" s="1"/>
  <c r="AH5" i="45"/>
  <c r="AB5" i="45"/>
  <c r="AI5" i="45" s="1"/>
  <c r="T5" i="45"/>
  <c r="O5" i="45"/>
  <c r="AH4" i="45"/>
  <c r="AB4" i="45"/>
  <c r="AI4" i="45" s="1"/>
  <c r="T4" i="45"/>
  <c r="O4" i="45"/>
  <c r="T3" i="45"/>
  <c r="O3" i="45"/>
  <c r="U3" i="45" s="1"/>
  <c r="H15" i="45"/>
  <c r="F15" i="45"/>
  <c r="D15" i="45"/>
  <c r="B15" i="45"/>
  <c r="AG22" i="54"/>
  <c r="AF22" i="54" s="1"/>
  <c r="AE22" i="54"/>
  <c r="AG21" i="54"/>
  <c r="AF21" i="54" s="1"/>
  <c r="AE21" i="54"/>
  <c r="AG20" i="54"/>
  <c r="AE20" i="54"/>
  <c r="AG19" i="54"/>
  <c r="AE19" i="54"/>
  <c r="AG18" i="54"/>
  <c r="AE18" i="54"/>
  <c r="AF18" i="54" s="1"/>
  <c r="AG17" i="54"/>
  <c r="AE17" i="54"/>
  <c r="AF17" i="54" s="1"/>
  <c r="AG15" i="54"/>
  <c r="AE15" i="54"/>
  <c r="AF15" i="54" s="1"/>
  <c r="AG14" i="54"/>
  <c r="AE14" i="54"/>
  <c r="AF14" i="54" s="1"/>
  <c r="AG13" i="54"/>
  <c r="AE13" i="54"/>
  <c r="AG12" i="54"/>
  <c r="AE12" i="54"/>
  <c r="AG11" i="54"/>
  <c r="AE11" i="54"/>
  <c r="AF11" i="54" s="1"/>
  <c r="AG10" i="54"/>
  <c r="AE10" i="54"/>
  <c r="AG8" i="54"/>
  <c r="AE8" i="54"/>
  <c r="AG7" i="54"/>
  <c r="AE7" i="54"/>
  <c r="AG6" i="54"/>
  <c r="AE6" i="54"/>
  <c r="AF6" i="54" s="1"/>
  <c r="AG5" i="54"/>
  <c r="AE5" i="54"/>
  <c r="AF5" i="54" s="1"/>
  <c r="AG4" i="54"/>
  <c r="AE4" i="54"/>
  <c r="AF4" i="54" s="1"/>
  <c r="AE3" i="54"/>
  <c r="AG3" i="54"/>
  <c r="O18" i="54"/>
  <c r="J18" i="54"/>
  <c r="O17" i="54"/>
  <c r="J17" i="54"/>
  <c r="J9" i="54"/>
  <c r="O9" i="54"/>
  <c r="J8" i="54"/>
  <c r="O8" i="54"/>
  <c r="N16" i="54"/>
  <c r="M16" i="54"/>
  <c r="L16" i="54"/>
  <c r="K16" i="54"/>
  <c r="I16" i="54"/>
  <c r="H16" i="54"/>
  <c r="G16" i="54"/>
  <c r="F16" i="54"/>
  <c r="E16" i="54"/>
  <c r="D16" i="54"/>
  <c r="N15" i="54"/>
  <c r="M15" i="54"/>
  <c r="L15" i="54"/>
  <c r="K15" i="54"/>
  <c r="I15" i="54"/>
  <c r="H15" i="54"/>
  <c r="G15" i="54"/>
  <c r="F15" i="54"/>
  <c r="E15" i="54"/>
  <c r="D15" i="54"/>
  <c r="N14" i="54"/>
  <c r="M14" i="54"/>
  <c r="L14" i="54"/>
  <c r="K14" i="54"/>
  <c r="I14" i="54"/>
  <c r="H14" i="54"/>
  <c r="G14" i="54"/>
  <c r="F14" i="54"/>
  <c r="E14" i="54"/>
  <c r="D14" i="54"/>
  <c r="N13" i="54"/>
  <c r="M13" i="54"/>
  <c r="L13" i="54"/>
  <c r="K13" i="54"/>
  <c r="I13" i="54"/>
  <c r="H13" i="54"/>
  <c r="G13" i="54"/>
  <c r="F13" i="54"/>
  <c r="E13" i="54"/>
  <c r="D13" i="54"/>
  <c r="J7" i="54"/>
  <c r="O7" i="54"/>
  <c r="J6" i="54"/>
  <c r="O6" i="54"/>
  <c r="O5" i="54"/>
  <c r="N10" i="54"/>
  <c r="M10" i="54"/>
  <c r="L10" i="54"/>
  <c r="H31" i="31"/>
  <c r="E31" i="31"/>
  <c r="G35" i="31"/>
  <c r="C35" i="31"/>
  <c r="J35" i="31"/>
  <c r="H30" i="31"/>
  <c r="E30" i="31"/>
  <c r="I35" i="31"/>
  <c r="F35" i="31"/>
  <c r="D35" i="31"/>
  <c r="B33" i="31" l="1"/>
  <c r="B32" i="31"/>
  <c r="U29" i="45"/>
  <c r="U11" i="45"/>
  <c r="U8" i="45"/>
  <c r="U5" i="45"/>
  <c r="U10" i="45"/>
  <c r="U28" i="45"/>
  <c r="U4" i="45"/>
  <c r="Q61" i="45"/>
  <c r="U25" i="45"/>
  <c r="AI16" i="45"/>
  <c r="U18" i="45"/>
  <c r="U9" i="45"/>
  <c r="U15" i="45" s="1"/>
  <c r="R61" i="45"/>
  <c r="S61" i="45"/>
  <c r="U21" i="45"/>
  <c r="AI32" i="45"/>
  <c r="AF8" i="54"/>
  <c r="AF7" i="54"/>
  <c r="AF13" i="54"/>
  <c r="AF20" i="54"/>
  <c r="AF19" i="54"/>
  <c r="AF10" i="54"/>
  <c r="AF12" i="54"/>
  <c r="J16" i="54"/>
  <c r="AF3" i="54"/>
  <c r="M19" i="54"/>
  <c r="I19" i="54"/>
  <c r="K19" i="54"/>
  <c r="J15" i="54"/>
  <c r="O16" i="54"/>
  <c r="J14" i="54"/>
  <c r="L19" i="54"/>
  <c r="O15" i="54"/>
  <c r="O13" i="54"/>
  <c r="O14" i="54"/>
  <c r="N19" i="54"/>
  <c r="H19" i="54"/>
  <c r="J13" i="54"/>
  <c r="J5" i="54"/>
  <c r="H10" i="54"/>
  <c r="K10" i="54"/>
  <c r="O4" i="54"/>
  <c r="O10" i="54" s="1"/>
  <c r="I10" i="54"/>
  <c r="J4" i="54"/>
  <c r="H35" i="31"/>
  <c r="B31" i="31"/>
  <c r="B30" i="31"/>
  <c r="E35" i="31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Q16" i="11"/>
  <c r="P16" i="11"/>
  <c r="O16" i="11"/>
  <c r="N16" i="11"/>
  <c r="M16" i="11"/>
  <c r="L16" i="11"/>
  <c r="K16" i="11"/>
  <c r="J16" i="11"/>
  <c r="I16" i="11"/>
  <c r="H16" i="11"/>
  <c r="R16" i="16"/>
  <c r="Q16" i="16"/>
  <c r="P16" i="16"/>
  <c r="O16" i="16"/>
  <c r="N16" i="16"/>
  <c r="M16" i="16"/>
  <c r="L16" i="16"/>
  <c r="K16" i="16"/>
  <c r="J16" i="16"/>
  <c r="I16" i="16"/>
  <c r="H16" i="16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AO16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R16" i="11"/>
  <c r="G16" i="11"/>
  <c r="F16" i="11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G16" i="16"/>
  <c r="F16" i="16"/>
  <c r="U30" i="45" l="1"/>
  <c r="O19" i="54"/>
  <c r="B35" i="31"/>
  <c r="O15" i="50"/>
  <c r="P15" i="50" s="1"/>
  <c r="Q15" i="50"/>
  <c r="O34" i="50"/>
  <c r="F12" i="50"/>
  <c r="O24" i="50"/>
  <c r="O5" i="50"/>
  <c r="Q5" i="50" s="1"/>
  <c r="F3" i="50"/>
  <c r="P5" i="50" l="1"/>
  <c r="AO16" i="28" l="1"/>
  <c r="AN16" i="28"/>
  <c r="AM16" i="28"/>
  <c r="AL16" i="28"/>
  <c r="AK16" i="28"/>
  <c r="AJ16" i="28"/>
  <c r="AI16" i="28"/>
  <c r="AH16" i="28"/>
  <c r="AG16" i="28"/>
  <c r="AF16" i="28"/>
  <c r="AE16" i="28"/>
  <c r="AD16" i="28"/>
  <c r="AC16" i="28"/>
  <c r="AB16" i="28"/>
  <c r="AA16" i="28"/>
  <c r="Z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F15" i="28"/>
  <c r="AO12" i="28"/>
  <c r="AN12" i="28"/>
  <c r="AM12" i="28"/>
  <c r="AL12" i="28"/>
  <c r="AK12" i="28"/>
  <c r="AJ12" i="28"/>
  <c r="AI12" i="28"/>
  <c r="AH12" i="28"/>
  <c r="AG12" i="28"/>
  <c r="AF12" i="28"/>
  <c r="AE12" i="28"/>
  <c r="AD12" i="28"/>
  <c r="AC12" i="28"/>
  <c r="AB12" i="28"/>
  <c r="AA12" i="28"/>
  <c r="Z12" i="28"/>
  <c r="R12" i="28"/>
  <c r="O12" i="28"/>
  <c r="N12" i="28"/>
  <c r="M12" i="28"/>
  <c r="L12" i="28"/>
  <c r="K12" i="28"/>
  <c r="J12" i="28"/>
  <c r="G12" i="28"/>
  <c r="F12" i="28"/>
  <c r="AN13" i="29" l="1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R13" i="29"/>
  <c r="O13" i="29"/>
  <c r="N13" i="29"/>
  <c r="M13" i="29"/>
  <c r="L13" i="29"/>
  <c r="K13" i="29"/>
  <c r="J13" i="29"/>
  <c r="G13" i="29"/>
  <c r="F13" i="29"/>
  <c r="F12" i="29"/>
  <c r="AO14" i="28"/>
  <c r="AN14" i="28"/>
  <c r="AM14" i="28"/>
  <c r="AL14" i="28"/>
  <c r="AK14" i="28"/>
  <c r="AJ14" i="28"/>
  <c r="AI14" i="28"/>
  <c r="AH14" i="28"/>
  <c r="AG14" i="28"/>
  <c r="AF14" i="28"/>
  <c r="AE14" i="28"/>
  <c r="AD14" i="28"/>
  <c r="AC14" i="28"/>
  <c r="AB14" i="28"/>
  <c r="AA14" i="28"/>
  <c r="Z14" i="28"/>
  <c r="R14" i="28"/>
  <c r="O14" i="28"/>
  <c r="N14" i="28"/>
  <c r="M14" i="28"/>
  <c r="L14" i="28"/>
  <c r="K14" i="28"/>
  <c r="J14" i="28"/>
  <c r="G14" i="28"/>
  <c r="F14" i="28"/>
  <c r="AO9" i="27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R9" i="27"/>
  <c r="O9" i="27"/>
  <c r="N9" i="27"/>
  <c r="M9" i="27"/>
  <c r="L9" i="27"/>
  <c r="K9" i="27"/>
  <c r="J9" i="27"/>
  <c r="G9" i="27"/>
  <c r="F9" i="27"/>
  <c r="AO15" i="24"/>
  <c r="AN15" i="24"/>
  <c r="AM15" i="24"/>
  <c r="AL15" i="24"/>
  <c r="AK15" i="24"/>
  <c r="AJ15" i="24"/>
  <c r="AI15" i="24"/>
  <c r="AH15" i="24"/>
  <c r="AG15" i="24"/>
  <c r="AF15" i="24"/>
  <c r="AE15" i="24"/>
  <c r="AD15" i="24"/>
  <c r="AC15" i="24"/>
  <c r="AB15" i="24"/>
  <c r="AA15" i="24"/>
  <c r="Z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AO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R14" i="24"/>
  <c r="O14" i="24"/>
  <c r="N14" i="24"/>
  <c r="M14" i="24"/>
  <c r="L14" i="24"/>
  <c r="K14" i="24"/>
  <c r="J14" i="24"/>
  <c r="G14" i="24"/>
  <c r="F14" i="24"/>
  <c r="AN13" i="44"/>
  <c r="AM13" i="44"/>
  <c r="AL13" i="44"/>
  <c r="AK13" i="44"/>
  <c r="AJ13" i="44"/>
  <c r="AI13" i="44"/>
  <c r="AH13" i="44"/>
  <c r="AG13" i="44"/>
  <c r="AF13" i="44"/>
  <c r="AE13" i="44"/>
  <c r="AD13" i="44"/>
  <c r="AC13" i="44"/>
  <c r="AB13" i="44"/>
  <c r="AA13" i="44"/>
  <c r="Z13" i="44"/>
  <c r="Y13" i="44"/>
  <c r="R13" i="44"/>
  <c r="O13" i="44"/>
  <c r="N13" i="44"/>
  <c r="M13" i="44"/>
  <c r="L13" i="44"/>
  <c r="K13" i="44"/>
  <c r="J13" i="44"/>
  <c r="G13" i="44"/>
  <c r="F13" i="44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Y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F13" i="35"/>
  <c r="G13" i="35"/>
  <c r="H13" i="35"/>
  <c r="I13" i="35"/>
  <c r="J13" i="35"/>
  <c r="K13" i="3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R18" i="15"/>
  <c r="O18" i="15"/>
  <c r="N18" i="15"/>
  <c r="M18" i="15"/>
  <c r="L18" i="15"/>
  <c r="K18" i="15"/>
  <c r="J18" i="15"/>
  <c r="G18" i="15"/>
  <c r="F18" i="15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R15" i="18"/>
  <c r="O15" i="18"/>
  <c r="N15" i="18"/>
  <c r="M15" i="18"/>
  <c r="L15" i="18"/>
  <c r="K15" i="18"/>
  <c r="J15" i="18"/>
  <c r="G15" i="18"/>
  <c r="F15" i="18"/>
  <c r="AO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R15" i="20"/>
  <c r="O15" i="20"/>
  <c r="N15" i="20"/>
  <c r="M15" i="20"/>
  <c r="L15" i="20"/>
  <c r="K15" i="20"/>
  <c r="J15" i="20"/>
  <c r="G15" i="20"/>
  <c r="F15" i="20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R14" i="12"/>
  <c r="O14" i="12"/>
  <c r="N14" i="12"/>
  <c r="M14" i="12"/>
  <c r="L14" i="12"/>
  <c r="K14" i="12"/>
  <c r="J14" i="12"/>
  <c r="G14" i="12"/>
  <c r="F14" i="12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R13" i="49"/>
  <c r="N13" i="49"/>
  <c r="M13" i="49"/>
  <c r="L13" i="49"/>
  <c r="K13" i="49"/>
  <c r="J13" i="49"/>
  <c r="G13" i="49"/>
  <c r="F13" i="49"/>
  <c r="O13" i="49"/>
  <c r="AO14" i="49"/>
  <c r="AN14" i="49"/>
  <c r="AM14" i="49"/>
  <c r="AL14" i="49"/>
  <c r="AK14" i="49"/>
  <c r="AJ14" i="49"/>
  <c r="AI14" i="49"/>
  <c r="AH14" i="49"/>
  <c r="AG14" i="49"/>
  <c r="AF14" i="49"/>
  <c r="AE14" i="49"/>
  <c r="AD14" i="49"/>
  <c r="AC14" i="49"/>
  <c r="AB14" i="49"/>
  <c r="AA14" i="49"/>
  <c r="Z14" i="49"/>
  <c r="R14" i="49"/>
  <c r="Q14" i="49"/>
  <c r="P14" i="49"/>
  <c r="O14" i="49"/>
  <c r="N14" i="49"/>
  <c r="M14" i="49"/>
  <c r="L14" i="49"/>
  <c r="K14" i="49"/>
  <c r="J14" i="49"/>
  <c r="I14" i="49"/>
  <c r="H14" i="49"/>
  <c r="G14" i="49"/>
  <c r="F14" i="49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R20" i="10"/>
  <c r="O20" i="10"/>
  <c r="N20" i="10"/>
  <c r="M20" i="10"/>
  <c r="L20" i="10"/>
  <c r="K20" i="10"/>
  <c r="J20" i="10"/>
  <c r="G20" i="10"/>
  <c r="F20" i="10"/>
  <c r="AO20" i="26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AA20" i="26"/>
  <c r="Z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AO19" i="26"/>
  <c r="AN19" i="26"/>
  <c r="AM19" i="26"/>
  <c r="AL19" i="26"/>
  <c r="AK19" i="26"/>
  <c r="AJ19" i="26"/>
  <c r="AI19" i="26"/>
  <c r="AH19" i="26"/>
  <c r="AG19" i="26"/>
  <c r="AF19" i="26"/>
  <c r="AE19" i="26"/>
  <c r="AD19" i="26"/>
  <c r="AC19" i="26"/>
  <c r="AB19" i="26"/>
  <c r="AA19" i="26"/>
  <c r="Z19" i="26"/>
  <c r="R19" i="26"/>
  <c r="O19" i="26"/>
  <c r="N19" i="26"/>
  <c r="M19" i="26"/>
  <c r="L19" i="26"/>
  <c r="K19" i="26"/>
  <c r="J19" i="26"/>
  <c r="G19" i="26"/>
  <c r="F19" i="26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R14" i="14"/>
  <c r="O14" i="14"/>
  <c r="N14" i="14"/>
  <c r="M14" i="14"/>
  <c r="L14" i="14"/>
  <c r="K14" i="14"/>
  <c r="J14" i="14"/>
  <c r="G14" i="14"/>
  <c r="F14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AN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AO17" i="18"/>
  <c r="AN17" i="18"/>
  <c r="AM17" i="18"/>
  <c r="AL17" i="18"/>
  <c r="AK17" i="18"/>
  <c r="AJ17" i="18"/>
  <c r="AI17" i="18"/>
  <c r="AH17" i="18"/>
  <c r="AG17" i="18"/>
  <c r="AF17" i="18"/>
  <c r="AE17" i="18"/>
  <c r="AD17" i="18"/>
  <c r="AC17" i="18"/>
  <c r="AB17" i="18"/>
  <c r="AA17" i="18"/>
  <c r="Z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AO15" i="25" l="1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R15" i="25"/>
  <c r="J75" i="41" s="1"/>
  <c r="Q15" i="25"/>
  <c r="P15" i="25"/>
  <c r="O15" i="25"/>
  <c r="N15" i="25"/>
  <c r="M15" i="25"/>
  <c r="L15" i="25"/>
  <c r="K15" i="25"/>
  <c r="J15" i="25"/>
  <c r="I15" i="25"/>
  <c r="H15" i="25"/>
  <c r="G15" i="25"/>
  <c r="F15" i="25"/>
  <c r="I75" i="41" l="1"/>
  <c r="I65" i="41"/>
  <c r="H75" i="41"/>
  <c r="H65" i="41"/>
  <c r="G75" i="41"/>
  <c r="G65" i="41"/>
  <c r="D75" i="41"/>
  <c r="D65" i="41"/>
  <c r="C75" i="41"/>
  <c r="C65" i="41"/>
  <c r="B75" i="41"/>
  <c r="B65" i="41"/>
  <c r="AO13" i="24"/>
  <c r="AN13" i="24"/>
  <c r="AM13" i="24"/>
  <c r="AL13" i="24"/>
  <c r="AK13" i="24"/>
  <c r="AJ13" i="24"/>
  <c r="AI13" i="24"/>
  <c r="AH13" i="24"/>
  <c r="AG13" i="24"/>
  <c r="AF13" i="24"/>
  <c r="AE13" i="24"/>
  <c r="AD13" i="24"/>
  <c r="AC13" i="24"/>
  <c r="AB13" i="24"/>
  <c r="AA13" i="24"/>
  <c r="Z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AB12" i="49"/>
  <c r="AA12" i="49"/>
  <c r="Z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AO13" i="14" l="1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N21" i="53" l="1"/>
  <c r="M21" i="53"/>
  <c r="L21" i="53"/>
  <c r="K21" i="53"/>
  <c r="J21" i="53"/>
  <c r="I21" i="53"/>
  <c r="N9" i="53"/>
  <c r="M9" i="53"/>
  <c r="L9" i="53"/>
  <c r="K9" i="53"/>
  <c r="J9" i="53"/>
  <c r="I9" i="53"/>
  <c r="AO14" i="18"/>
  <c r="AN14" i="18"/>
  <c r="AM14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Z14" i="18"/>
  <c r="R14" i="18"/>
  <c r="O14" i="18"/>
  <c r="N14" i="18"/>
  <c r="M14" i="18"/>
  <c r="L14" i="18"/>
  <c r="K14" i="18"/>
  <c r="J14" i="18"/>
  <c r="G14" i="18"/>
  <c r="F14" i="18"/>
  <c r="AO12" i="24" l="1"/>
  <c r="AN12" i="24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Z12" i="24"/>
  <c r="R12" i="24"/>
  <c r="O12" i="24"/>
  <c r="N12" i="24"/>
  <c r="M12" i="24"/>
  <c r="L12" i="24"/>
  <c r="K12" i="24"/>
  <c r="J12" i="24"/>
  <c r="G12" i="24"/>
  <c r="F12" i="24"/>
  <c r="W37" i="52" l="1"/>
  <c r="V37" i="52"/>
  <c r="U37" i="52"/>
  <c r="T37" i="52"/>
  <c r="S37" i="52"/>
  <c r="R37" i="52"/>
  <c r="O20" i="53"/>
  <c r="O19" i="53"/>
  <c r="O18" i="53"/>
  <c r="O17" i="53"/>
  <c r="P17" i="53" s="1"/>
  <c r="O16" i="53"/>
  <c r="O15" i="53"/>
  <c r="Q15" i="53" s="1"/>
  <c r="B8" i="53"/>
  <c r="O8" i="53"/>
  <c r="P8" i="53" s="1"/>
  <c r="O7" i="53"/>
  <c r="Q7" i="53" s="1"/>
  <c r="F4" i="53"/>
  <c r="O6" i="53"/>
  <c r="F7" i="53"/>
  <c r="O5" i="53"/>
  <c r="Q5" i="53" s="1"/>
  <c r="F5" i="53"/>
  <c r="O4" i="53"/>
  <c r="O3" i="53"/>
  <c r="F6" i="53"/>
  <c r="F2" i="53"/>
  <c r="AN20" i="52"/>
  <c r="AO19" i="52"/>
  <c r="AI19" i="52"/>
  <c r="AP19" i="52" s="1"/>
  <c r="AO18" i="52"/>
  <c r="AI18" i="52"/>
  <c r="AP18" i="52" s="1"/>
  <c r="AN10" i="52"/>
  <c r="AO9" i="52"/>
  <c r="AI9" i="52"/>
  <c r="AP9" i="52" s="1"/>
  <c r="AO8" i="52"/>
  <c r="AI8" i="52"/>
  <c r="AP8" i="52" s="1"/>
  <c r="AP4" i="52"/>
  <c r="Z36" i="52"/>
  <c r="Y36" i="52"/>
  <c r="X36" i="52"/>
  <c r="Z35" i="52"/>
  <c r="Y35" i="52"/>
  <c r="X35" i="52"/>
  <c r="V26" i="52"/>
  <c r="V25" i="52"/>
  <c r="AA17" i="52"/>
  <c r="V17" i="52"/>
  <c r="AA16" i="52"/>
  <c r="V16" i="52"/>
  <c r="AA8" i="52"/>
  <c r="V8" i="52"/>
  <c r="AA7" i="52"/>
  <c r="V7" i="52"/>
  <c r="J22" i="52"/>
  <c r="O22" i="52"/>
  <c r="O21" i="52"/>
  <c r="J21" i="52"/>
  <c r="N23" i="52"/>
  <c r="M23" i="52"/>
  <c r="I23" i="52"/>
  <c r="H23" i="52"/>
  <c r="O20" i="52"/>
  <c r="Z34" i="52"/>
  <c r="Y34" i="52"/>
  <c r="X34" i="52"/>
  <c r="Z33" i="52"/>
  <c r="Y33" i="52"/>
  <c r="X33" i="52"/>
  <c r="Z32" i="52"/>
  <c r="Y32" i="52"/>
  <c r="X32" i="52"/>
  <c r="Z31" i="52"/>
  <c r="Y31" i="52"/>
  <c r="X31" i="52"/>
  <c r="V24" i="52"/>
  <c r="V23" i="52"/>
  <c r="V22" i="52"/>
  <c r="V21" i="52"/>
  <c r="AO17" i="52"/>
  <c r="AI17" i="52"/>
  <c r="AP17" i="52" s="1"/>
  <c r="AO16" i="52"/>
  <c r="AI16" i="52"/>
  <c r="AP16" i="52" s="1"/>
  <c r="AO15" i="52"/>
  <c r="AI15" i="52"/>
  <c r="AP15" i="52" s="1"/>
  <c r="AA15" i="52"/>
  <c r="V15" i="52"/>
  <c r="AO14" i="52"/>
  <c r="AI14" i="52"/>
  <c r="AP14" i="52" s="1"/>
  <c r="AA14" i="52"/>
  <c r="V14" i="52"/>
  <c r="AA13" i="52"/>
  <c r="V13" i="52"/>
  <c r="AA12" i="52"/>
  <c r="V12" i="52"/>
  <c r="AO7" i="52"/>
  <c r="AI7" i="52"/>
  <c r="AP7" i="52" s="1"/>
  <c r="AO6" i="52"/>
  <c r="AI6" i="52"/>
  <c r="AP6" i="52" s="1"/>
  <c r="AA6" i="52"/>
  <c r="V6" i="52"/>
  <c r="AO5" i="52"/>
  <c r="AI5" i="52"/>
  <c r="AP5" i="52" s="1"/>
  <c r="AA5" i="52"/>
  <c r="V5" i="52"/>
  <c r="AO4" i="52"/>
  <c r="AI4" i="52"/>
  <c r="AA4" i="52"/>
  <c r="V4" i="52"/>
  <c r="AA3" i="52"/>
  <c r="V3" i="52"/>
  <c r="J16" i="52"/>
  <c r="O16" i="52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R17" i="15"/>
  <c r="O17" i="15"/>
  <c r="N17" i="15"/>
  <c r="M17" i="15"/>
  <c r="L17" i="15"/>
  <c r="K17" i="15"/>
  <c r="J17" i="15"/>
  <c r="G17" i="15"/>
  <c r="F17" i="15"/>
  <c r="Q20" i="53" l="1"/>
  <c r="P20" i="53"/>
  <c r="Q18" i="53"/>
  <c r="P18" i="53"/>
  <c r="Q3" i="53"/>
  <c r="P3" i="53"/>
  <c r="Q19" i="53"/>
  <c r="P19" i="53"/>
  <c r="P4" i="53"/>
  <c r="Q4" i="53"/>
  <c r="AB8" i="52"/>
  <c r="Q6" i="53"/>
  <c r="O9" i="53"/>
  <c r="P9" i="53" s="1"/>
  <c r="P16" i="53"/>
  <c r="O21" i="53"/>
  <c r="Q21" i="53" s="1"/>
  <c r="Z37" i="52"/>
  <c r="AP10" i="52"/>
  <c r="X37" i="52"/>
  <c r="Y37" i="52"/>
  <c r="AP20" i="52"/>
  <c r="Q8" i="53"/>
  <c r="Q16" i="53"/>
  <c r="Q17" i="53"/>
  <c r="P7" i="53"/>
  <c r="P15" i="53"/>
  <c r="P5" i="53"/>
  <c r="P6" i="53"/>
  <c r="AB6" i="52"/>
  <c r="AB17" i="52"/>
  <c r="AB15" i="52"/>
  <c r="AB7" i="52"/>
  <c r="AB16" i="52"/>
  <c r="AB13" i="52"/>
  <c r="O23" i="52"/>
  <c r="AB3" i="52"/>
  <c r="AB4" i="52"/>
  <c r="AB12" i="52"/>
  <c r="AB5" i="52"/>
  <c r="J20" i="52"/>
  <c r="I18" i="52"/>
  <c r="M18" i="52"/>
  <c r="J17" i="52"/>
  <c r="H18" i="52"/>
  <c r="O15" i="52"/>
  <c r="AB14" i="52"/>
  <c r="N18" i="52"/>
  <c r="O17" i="52"/>
  <c r="J15" i="52"/>
  <c r="AB18" i="52" l="1"/>
  <c r="AB9" i="52"/>
  <c r="Q9" i="53"/>
  <c r="P21" i="53"/>
  <c r="O18" i="52"/>
  <c r="AO18" i="10" l="1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R18" i="10"/>
  <c r="Q18" i="10"/>
  <c r="P18" i="10"/>
  <c r="O18" i="10"/>
  <c r="D3" i="53" s="1"/>
  <c r="N18" i="10"/>
  <c r="M18" i="10"/>
  <c r="L18" i="10"/>
  <c r="K18" i="10"/>
  <c r="J18" i="10"/>
  <c r="I18" i="10"/>
  <c r="H18" i="10"/>
  <c r="G18" i="10"/>
  <c r="F18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R19" i="10"/>
  <c r="O19" i="10"/>
  <c r="N19" i="10"/>
  <c r="M19" i="10"/>
  <c r="L19" i="10"/>
  <c r="K19" i="10"/>
  <c r="J19" i="10"/>
  <c r="G19" i="10"/>
  <c r="F19" i="10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R12" i="29"/>
  <c r="O12" i="29"/>
  <c r="N12" i="29"/>
  <c r="M12" i="29"/>
  <c r="L12" i="29"/>
  <c r="K12" i="29"/>
  <c r="J12" i="29"/>
  <c r="G12" i="29"/>
  <c r="AN13" i="35"/>
  <c r="AM13" i="35"/>
  <c r="AL13" i="35"/>
  <c r="AK13" i="35"/>
  <c r="AJ13" i="35"/>
  <c r="AI13" i="35"/>
  <c r="AH13" i="35"/>
  <c r="AG13" i="35"/>
  <c r="AF13" i="35"/>
  <c r="AE13" i="35"/>
  <c r="AD13" i="35"/>
  <c r="AC13" i="35"/>
  <c r="AB13" i="35"/>
  <c r="AA13" i="35"/>
  <c r="Z13" i="35"/>
  <c r="Y13" i="35"/>
  <c r="R13" i="35"/>
  <c r="Q13" i="35"/>
  <c r="P13" i="35"/>
  <c r="O13" i="35"/>
  <c r="N13" i="35"/>
  <c r="M13" i="35"/>
  <c r="L13" i="35"/>
  <c r="AO13" i="28"/>
  <c r="AN13" i="28"/>
  <c r="AM13" i="28"/>
  <c r="AL13" i="28"/>
  <c r="AK13" i="28"/>
  <c r="AJ13" i="28"/>
  <c r="AI13" i="28"/>
  <c r="AH13" i="28"/>
  <c r="AG13" i="28"/>
  <c r="AF13" i="28"/>
  <c r="AE13" i="28"/>
  <c r="AD13" i="28"/>
  <c r="AC13" i="28"/>
  <c r="AB13" i="28"/>
  <c r="AA13" i="28"/>
  <c r="Z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AO14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R14" i="20"/>
  <c r="O14" i="20"/>
  <c r="N14" i="20"/>
  <c r="M14" i="20"/>
  <c r="L14" i="20"/>
  <c r="K14" i="20"/>
  <c r="J14" i="20"/>
  <c r="G14" i="20"/>
  <c r="F14" i="20"/>
  <c r="AO13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AN13" i="51"/>
  <c r="AM13" i="51"/>
  <c r="AL13" i="51"/>
  <c r="AK13" i="51"/>
  <c r="AJ13" i="51"/>
  <c r="AI13" i="51"/>
  <c r="AH13" i="51"/>
  <c r="AG13" i="51"/>
  <c r="AF13" i="51"/>
  <c r="AE13" i="51"/>
  <c r="AD13" i="51"/>
  <c r="AC13" i="51"/>
  <c r="AB13" i="51"/>
  <c r="AA13" i="51"/>
  <c r="Z13" i="51"/>
  <c r="Y13" i="51"/>
  <c r="R13" i="51"/>
  <c r="O13" i="51"/>
  <c r="N13" i="51"/>
  <c r="M13" i="51"/>
  <c r="L13" i="51"/>
  <c r="K13" i="51"/>
  <c r="J13" i="51"/>
  <c r="G13" i="51"/>
  <c r="F13" i="51"/>
  <c r="AN11" i="51"/>
  <c r="AM11" i="51"/>
  <c r="AL11" i="51"/>
  <c r="AK11" i="51"/>
  <c r="AJ11" i="51"/>
  <c r="AI11" i="51"/>
  <c r="AH11" i="51"/>
  <c r="AG11" i="51"/>
  <c r="AF11" i="51"/>
  <c r="AE11" i="51"/>
  <c r="AD11" i="51"/>
  <c r="AC11" i="51"/>
  <c r="AB11" i="51"/>
  <c r="AA11" i="51"/>
  <c r="Z11" i="51"/>
  <c r="Y11" i="51"/>
  <c r="R11" i="51"/>
  <c r="Q11" i="51"/>
  <c r="P11" i="51"/>
  <c r="O11" i="51"/>
  <c r="N11" i="51"/>
  <c r="M11" i="51"/>
  <c r="L11" i="51"/>
  <c r="K11" i="51"/>
  <c r="J11" i="51"/>
  <c r="I11" i="51"/>
  <c r="H11" i="51"/>
  <c r="G11" i="51"/>
  <c r="F11" i="51"/>
  <c r="D8" i="53" l="1"/>
  <c r="F3" i="53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AB11" i="49"/>
  <c r="AA11" i="49"/>
  <c r="Z11" i="49"/>
  <c r="R11" i="49"/>
  <c r="O11" i="49"/>
  <c r="N11" i="49"/>
  <c r="M11" i="49"/>
  <c r="L11" i="49"/>
  <c r="K11" i="49"/>
  <c r="J11" i="49"/>
  <c r="G11" i="49"/>
  <c r="F11" i="49"/>
  <c r="AN12" i="51" l="1"/>
  <c r="AM12" i="51"/>
  <c r="AL12" i="51"/>
  <c r="AK12" i="51"/>
  <c r="AJ12" i="51"/>
  <c r="AI12" i="51"/>
  <c r="AH12" i="51"/>
  <c r="AG12" i="51"/>
  <c r="AF12" i="51"/>
  <c r="AE12" i="51"/>
  <c r="AD12" i="51"/>
  <c r="AC12" i="51"/>
  <c r="AB12" i="51"/>
  <c r="AA12" i="51"/>
  <c r="Z12" i="51"/>
  <c r="Y12" i="51"/>
  <c r="R12" i="51"/>
  <c r="O12" i="51"/>
  <c r="N12" i="51"/>
  <c r="M12" i="51"/>
  <c r="L12" i="51"/>
  <c r="K12" i="51"/>
  <c r="J12" i="51"/>
  <c r="G12" i="51"/>
  <c r="F12" i="51"/>
  <c r="AN12" i="44"/>
  <c r="AM12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AO15" i="30" l="1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R15" i="30"/>
  <c r="J76" i="41" s="1"/>
  <c r="Q15" i="30"/>
  <c r="P15" i="30"/>
  <c r="O15" i="30"/>
  <c r="N15" i="30"/>
  <c r="M15" i="30"/>
  <c r="L15" i="30"/>
  <c r="K15" i="30"/>
  <c r="J15" i="30"/>
  <c r="I15" i="30"/>
  <c r="H15" i="30"/>
  <c r="G15" i="30"/>
  <c r="F15" i="30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R15" i="13"/>
  <c r="J72" i="41" s="1"/>
  <c r="Q15" i="13"/>
  <c r="P15" i="13"/>
  <c r="O15" i="13"/>
  <c r="N15" i="13"/>
  <c r="M15" i="13"/>
  <c r="L15" i="13"/>
  <c r="K15" i="13"/>
  <c r="J15" i="13"/>
  <c r="I15" i="13"/>
  <c r="H15" i="13"/>
  <c r="G15" i="13"/>
  <c r="F15" i="13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R15" i="16"/>
  <c r="J73" i="41" s="1"/>
  <c r="Q15" i="16"/>
  <c r="P15" i="16"/>
  <c r="O15" i="16"/>
  <c r="N15" i="16"/>
  <c r="M15" i="16"/>
  <c r="L15" i="16"/>
  <c r="K15" i="16"/>
  <c r="J15" i="16"/>
  <c r="I15" i="16"/>
  <c r="H15" i="16"/>
  <c r="G15" i="16"/>
  <c r="F15" i="16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R15" i="11"/>
  <c r="J71" i="41" s="1"/>
  <c r="Q15" i="11"/>
  <c r="P15" i="11"/>
  <c r="O15" i="11"/>
  <c r="N15" i="11"/>
  <c r="M15" i="11"/>
  <c r="L15" i="11"/>
  <c r="K15" i="11"/>
  <c r="J15" i="11"/>
  <c r="I15" i="11"/>
  <c r="H15" i="11"/>
  <c r="G15" i="11"/>
  <c r="F15" i="11"/>
  <c r="I76" i="41" l="1"/>
  <c r="I66" i="41"/>
  <c r="H76" i="41"/>
  <c r="H66" i="41"/>
  <c r="G76" i="41"/>
  <c r="G66" i="41"/>
  <c r="D76" i="41"/>
  <c r="D66" i="41"/>
  <c r="B76" i="41"/>
  <c r="B66" i="41"/>
  <c r="D71" i="41"/>
  <c r="BA6" i="11" s="1"/>
  <c r="D61" i="41"/>
  <c r="BD6" i="11" s="1"/>
  <c r="C71" i="41"/>
  <c r="BA4" i="11" s="1"/>
  <c r="C61" i="41"/>
  <c r="BD4" i="11" s="1"/>
  <c r="B71" i="41"/>
  <c r="BA3" i="11" s="1"/>
  <c r="B61" i="41"/>
  <c r="BD3" i="11" s="1"/>
  <c r="I71" i="41"/>
  <c r="BA9" i="11" s="1"/>
  <c r="I61" i="41"/>
  <c r="BD9" i="11" s="1"/>
  <c r="H71" i="41"/>
  <c r="BA8" i="11" s="1"/>
  <c r="H61" i="41"/>
  <c r="BD8" i="11" s="1"/>
  <c r="G71" i="41"/>
  <c r="BA7" i="11" s="1"/>
  <c r="G61" i="41"/>
  <c r="BD7" i="11" s="1"/>
  <c r="I73" i="41"/>
  <c r="BA9" i="16" s="1"/>
  <c r="I63" i="41"/>
  <c r="BD9" i="16" s="1"/>
  <c r="H73" i="41"/>
  <c r="BA8" i="16" s="1"/>
  <c r="H63" i="41"/>
  <c r="BD8" i="16" s="1"/>
  <c r="G73" i="41"/>
  <c r="BA7" i="16" s="1"/>
  <c r="G63" i="41"/>
  <c r="BD7" i="16" s="1"/>
  <c r="D63" i="41"/>
  <c r="BD6" i="16" s="1"/>
  <c r="D73" i="41"/>
  <c r="BA6" i="16" s="1"/>
  <c r="C73" i="41"/>
  <c r="BA4" i="16" s="1"/>
  <c r="C63" i="41"/>
  <c r="BD4" i="16" s="1"/>
  <c r="B73" i="41"/>
  <c r="BA3" i="16" s="1"/>
  <c r="B63" i="41"/>
  <c r="BD3" i="16" s="1"/>
  <c r="D72" i="41"/>
  <c r="BA6" i="13" s="1"/>
  <c r="D62" i="41"/>
  <c r="BD6" i="13" s="1"/>
  <c r="C72" i="41"/>
  <c r="BA4" i="13" s="1"/>
  <c r="C62" i="41"/>
  <c r="BD4" i="13" s="1"/>
  <c r="B72" i="41"/>
  <c r="BA3" i="13" s="1"/>
  <c r="B62" i="41"/>
  <c r="BD3" i="13" s="1"/>
  <c r="I72" i="41"/>
  <c r="BA9" i="13" s="1"/>
  <c r="I62" i="41"/>
  <c r="BD9" i="13" s="1"/>
  <c r="H72" i="41"/>
  <c r="BA8" i="13" s="1"/>
  <c r="H62" i="41"/>
  <c r="BD8" i="13" s="1"/>
  <c r="G72" i="41"/>
  <c r="BA7" i="13" s="1"/>
  <c r="G62" i="41"/>
  <c r="BD7" i="13" s="1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AO15" i="17" l="1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R15" i="17"/>
  <c r="J74" i="41" s="1"/>
  <c r="Q15" i="17"/>
  <c r="P15" i="17"/>
  <c r="O15" i="17"/>
  <c r="N15" i="17"/>
  <c r="M15" i="17"/>
  <c r="L15" i="17"/>
  <c r="K15" i="17"/>
  <c r="J15" i="17"/>
  <c r="I15" i="17"/>
  <c r="H15" i="17"/>
  <c r="G15" i="17"/>
  <c r="F15" i="17"/>
  <c r="D74" i="41" l="1"/>
  <c r="BA6" i="17" s="1"/>
  <c r="D64" i="41"/>
  <c r="C74" i="41"/>
  <c r="BA4" i="17" s="1"/>
  <c r="C64" i="41"/>
  <c r="B74" i="41"/>
  <c r="BA3" i="17" s="1"/>
  <c r="B64" i="41"/>
  <c r="I74" i="41"/>
  <c r="BA9" i="17" s="1"/>
  <c r="I64" i="41"/>
  <c r="H74" i="41"/>
  <c r="BA8" i="17" s="1"/>
  <c r="H64" i="41"/>
  <c r="G74" i="41"/>
  <c r="BA7" i="17" s="1"/>
  <c r="G64" i="41"/>
  <c r="D19" i="32"/>
  <c r="B19" i="32"/>
  <c r="AT9" i="51" l="1"/>
  <c r="AT8" i="51"/>
  <c r="AT7" i="51"/>
  <c r="AT6" i="51"/>
  <c r="AT5" i="51"/>
  <c r="AT4" i="51"/>
  <c r="AT3" i="51"/>
  <c r="AN14" i="51" l="1"/>
  <c r="AM14" i="51"/>
  <c r="AL14" i="51"/>
  <c r="AK14" i="51"/>
  <c r="AJ14" i="51"/>
  <c r="AI14" i="51"/>
  <c r="AH14" i="51"/>
  <c r="AG14" i="51"/>
  <c r="AF14" i="51"/>
  <c r="AE14" i="51"/>
  <c r="AD14" i="51"/>
  <c r="AC14" i="51"/>
  <c r="AB14" i="51"/>
  <c r="D21" i="41" s="1"/>
  <c r="AQ6" i="51" s="1"/>
  <c r="AA14" i="51"/>
  <c r="E21" i="41" s="1"/>
  <c r="AQ5" i="51" s="1"/>
  <c r="Z14" i="51"/>
  <c r="C21" i="41" s="1"/>
  <c r="Y14" i="51"/>
  <c r="B21" i="41" s="1"/>
  <c r="AQ3" i="51" s="1"/>
  <c r="R14" i="51"/>
  <c r="Q14" i="51"/>
  <c r="P14" i="51"/>
  <c r="O14" i="51"/>
  <c r="N14" i="51"/>
  <c r="M14" i="51"/>
  <c r="L14" i="51"/>
  <c r="K14" i="51"/>
  <c r="J14" i="51"/>
  <c r="I14" i="51"/>
  <c r="H14" i="51"/>
  <c r="G14" i="51"/>
  <c r="H21" i="41" s="1"/>
  <c r="AQ8" i="51" s="1"/>
  <c r="F14" i="51"/>
  <c r="G21" i="41" s="1"/>
  <c r="AQ7" i="51" s="1"/>
  <c r="W37" i="31"/>
  <c r="V37" i="31"/>
  <c r="U37" i="31"/>
  <c r="T37" i="31"/>
  <c r="S37" i="31"/>
  <c r="AA36" i="31"/>
  <c r="Z36" i="31"/>
  <c r="Y36" i="31"/>
  <c r="AA35" i="31"/>
  <c r="Z35" i="31"/>
  <c r="Y35" i="31"/>
  <c r="AA34" i="31"/>
  <c r="Z34" i="31"/>
  <c r="Y34" i="31"/>
  <c r="AA33" i="31"/>
  <c r="Z33" i="31"/>
  <c r="Y33" i="31"/>
  <c r="AA32" i="31"/>
  <c r="Z32" i="31"/>
  <c r="Y32" i="31"/>
  <c r="X37" i="31" s="1"/>
  <c r="AA31" i="31"/>
  <c r="Z31" i="31"/>
  <c r="Y31" i="31"/>
  <c r="W26" i="31"/>
  <c r="W25" i="31"/>
  <c r="W24" i="31"/>
  <c r="W23" i="31"/>
  <c r="W22" i="31"/>
  <c r="W21" i="31"/>
  <c r="AO20" i="31"/>
  <c r="AP19" i="31"/>
  <c r="AJ19" i="31"/>
  <c r="AQ19" i="31" s="1"/>
  <c r="AP18" i="31"/>
  <c r="AJ18" i="31"/>
  <c r="AQ18" i="31" s="1"/>
  <c r="AP17" i="31"/>
  <c r="AJ17" i="31"/>
  <c r="AQ17" i="31" s="1"/>
  <c r="AB17" i="31"/>
  <c r="W17" i="31"/>
  <c r="AP16" i="31"/>
  <c r="AJ16" i="31"/>
  <c r="AQ16" i="31" s="1"/>
  <c r="AB16" i="31"/>
  <c r="W16" i="31"/>
  <c r="AP15" i="31"/>
  <c r="AJ15" i="31"/>
  <c r="AQ15" i="31" s="1"/>
  <c r="AB15" i="31"/>
  <c r="W15" i="31"/>
  <c r="AP14" i="31"/>
  <c r="AJ14" i="31"/>
  <c r="AQ14" i="31" s="1"/>
  <c r="AB14" i="31"/>
  <c r="W14" i="31"/>
  <c r="AB13" i="31"/>
  <c r="W13" i="31"/>
  <c r="AB12" i="31"/>
  <c r="W12" i="31"/>
  <c r="AO10" i="31"/>
  <c r="AP9" i="31"/>
  <c r="AJ9" i="31"/>
  <c r="AQ9" i="31" s="1"/>
  <c r="AP8" i="31"/>
  <c r="AJ8" i="31"/>
  <c r="AQ8" i="31" s="1"/>
  <c r="AB8" i="31"/>
  <c r="W8" i="31"/>
  <c r="AP7" i="31"/>
  <c r="AJ7" i="31"/>
  <c r="AQ7" i="31" s="1"/>
  <c r="AB7" i="31"/>
  <c r="W7" i="31"/>
  <c r="AP6" i="31"/>
  <c r="AJ6" i="31"/>
  <c r="AQ6" i="31" s="1"/>
  <c r="AB6" i="31"/>
  <c r="W6" i="31"/>
  <c r="AP5" i="31"/>
  <c r="AJ5" i="31"/>
  <c r="AQ5" i="31" s="1"/>
  <c r="AB5" i="31"/>
  <c r="W5" i="31"/>
  <c r="AP4" i="31"/>
  <c r="AJ4" i="31"/>
  <c r="AQ4" i="31" s="1"/>
  <c r="AB4" i="31"/>
  <c r="W4" i="31"/>
  <c r="AB3" i="31"/>
  <c r="W3" i="31"/>
  <c r="AQ4" i="51" l="1"/>
  <c r="F21" i="41"/>
  <c r="AC12" i="31"/>
  <c r="AC6" i="31"/>
  <c r="AC3" i="31"/>
  <c r="AC7" i="31"/>
  <c r="AC4" i="31"/>
  <c r="AC5" i="31"/>
  <c r="AC16" i="31"/>
  <c r="AC15" i="31"/>
  <c r="AC17" i="31"/>
  <c r="Y37" i="31"/>
  <c r="Z37" i="31"/>
  <c r="AA37" i="31"/>
  <c r="AC13" i="31"/>
  <c r="AC8" i="31"/>
  <c r="AC14" i="31"/>
  <c r="AQ10" i="31"/>
  <c r="AQ20" i="31"/>
  <c r="AC18" i="31" l="1"/>
  <c r="AC9" i="31"/>
  <c r="O33" i="50" l="1"/>
  <c r="O14" i="50"/>
  <c r="F15" i="50"/>
  <c r="Q33" i="50" l="1"/>
  <c r="P33" i="50"/>
  <c r="Q14" i="50"/>
  <c r="P14" i="50"/>
  <c r="B16" i="50" l="1"/>
  <c r="O35" i="50"/>
  <c r="O30" i="50"/>
  <c r="O27" i="50"/>
  <c r="O16" i="50"/>
  <c r="O11" i="50"/>
  <c r="O8" i="50"/>
  <c r="F13" i="50"/>
  <c r="F10" i="50"/>
  <c r="F4" i="50"/>
  <c r="F9" i="50"/>
  <c r="P35" i="50" l="1"/>
  <c r="Q35" i="50"/>
  <c r="Q8" i="50"/>
  <c r="P8" i="50"/>
  <c r="Q27" i="50"/>
  <c r="P27" i="50"/>
  <c r="Q11" i="50"/>
  <c r="P11" i="50"/>
  <c r="Q30" i="50"/>
  <c r="P30" i="50"/>
  <c r="Q16" i="50"/>
  <c r="P16" i="50"/>
  <c r="O22" i="50"/>
  <c r="O10" i="50"/>
  <c r="O29" i="50"/>
  <c r="O3" i="50"/>
  <c r="I15" i="9"/>
  <c r="H15" i="9"/>
  <c r="Q3" i="50" l="1"/>
  <c r="P3" i="50"/>
  <c r="P10" i="50"/>
  <c r="Q10" i="50"/>
  <c r="Q22" i="50"/>
  <c r="P22" i="50"/>
  <c r="Q29" i="50"/>
  <c r="P29" i="50"/>
  <c r="F2" i="50"/>
  <c r="O23" i="50" l="1"/>
  <c r="O4" i="50"/>
  <c r="Q4" i="50" l="1"/>
  <c r="P4" i="50"/>
  <c r="P23" i="50"/>
  <c r="Q23" i="50"/>
  <c r="F6" i="50"/>
  <c r="O28" i="50" l="1"/>
  <c r="O9" i="50"/>
  <c r="F14" i="50"/>
  <c r="Q28" i="50" l="1"/>
  <c r="P28" i="50"/>
  <c r="Q9" i="50"/>
  <c r="P9" i="50"/>
  <c r="N36" i="50"/>
  <c r="M36" i="50"/>
  <c r="L36" i="50"/>
  <c r="K36" i="50"/>
  <c r="J36" i="50"/>
  <c r="I36" i="50"/>
  <c r="O32" i="50"/>
  <c r="O31" i="50"/>
  <c r="O26" i="50"/>
  <c r="O25" i="50"/>
  <c r="N17" i="50"/>
  <c r="M17" i="50"/>
  <c r="L17" i="50"/>
  <c r="K17" i="50"/>
  <c r="J17" i="50"/>
  <c r="I17" i="50"/>
  <c r="O13" i="50"/>
  <c r="O12" i="50"/>
  <c r="F5" i="50"/>
  <c r="O7" i="50"/>
  <c r="F11" i="50"/>
  <c r="O6" i="50"/>
  <c r="F8" i="50"/>
  <c r="D23" i="41"/>
  <c r="C23" i="41"/>
  <c r="B23" i="41"/>
  <c r="I23" i="41"/>
  <c r="H23" i="41"/>
  <c r="G23" i="41"/>
  <c r="AO15" i="28"/>
  <c r="AN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R15" i="28"/>
  <c r="O15" i="28"/>
  <c r="N15" i="28"/>
  <c r="M15" i="28"/>
  <c r="L15" i="28"/>
  <c r="K15" i="28"/>
  <c r="J15" i="28"/>
  <c r="G15" i="28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R14" i="23"/>
  <c r="O14" i="23"/>
  <c r="N14" i="23"/>
  <c r="M14" i="23"/>
  <c r="L14" i="23"/>
  <c r="K14" i="23"/>
  <c r="J14" i="23"/>
  <c r="G14" i="23"/>
  <c r="F14" i="23"/>
  <c r="D6" i="41"/>
  <c r="C6" i="41"/>
  <c r="B6" i="41"/>
  <c r="H6" i="41"/>
  <c r="G6" i="41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D4" i="41" s="1"/>
  <c r="AB21" i="10"/>
  <c r="AA21" i="10"/>
  <c r="C4" i="41" s="1"/>
  <c r="Z21" i="10"/>
  <c r="B4" i="41" s="1"/>
  <c r="R21" i="10"/>
  <c r="Q21" i="10"/>
  <c r="P21" i="10"/>
  <c r="O21" i="10"/>
  <c r="N21" i="10"/>
  <c r="M21" i="10"/>
  <c r="L21" i="10"/>
  <c r="K21" i="10"/>
  <c r="J21" i="10"/>
  <c r="I4" i="41" s="1"/>
  <c r="I21" i="10"/>
  <c r="H21" i="10"/>
  <c r="G21" i="10"/>
  <c r="H4" i="41" s="1"/>
  <c r="F21" i="10"/>
  <c r="G4" i="41" s="1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D11" i="41" s="1"/>
  <c r="AB17" i="16"/>
  <c r="AA17" i="16"/>
  <c r="C11" i="41" s="1"/>
  <c r="Z17" i="16"/>
  <c r="B11" i="41" s="1"/>
  <c r="R17" i="16"/>
  <c r="Q17" i="16"/>
  <c r="P17" i="16"/>
  <c r="O17" i="16"/>
  <c r="N17" i="16"/>
  <c r="M17" i="16"/>
  <c r="L17" i="16"/>
  <c r="K17" i="16"/>
  <c r="J17" i="16"/>
  <c r="I11" i="41" s="1"/>
  <c r="I17" i="16"/>
  <c r="H17" i="16"/>
  <c r="G17" i="16"/>
  <c r="H11" i="41" s="1"/>
  <c r="F17" i="16"/>
  <c r="G11" i="41" s="1"/>
  <c r="P26" i="50" l="1"/>
  <c r="Q26" i="50"/>
  <c r="Q13" i="50"/>
  <c r="P13" i="50"/>
  <c r="Q7" i="50"/>
  <c r="P7" i="50"/>
  <c r="Q25" i="50"/>
  <c r="P25" i="50"/>
  <c r="Q12" i="50"/>
  <c r="P12" i="50"/>
  <c r="Q31" i="50"/>
  <c r="P31" i="50"/>
  <c r="Q32" i="50"/>
  <c r="P32" i="50"/>
  <c r="Q6" i="50"/>
  <c r="P6" i="50"/>
  <c r="O36" i="50"/>
  <c r="Q36" i="50" s="1"/>
  <c r="O17" i="50"/>
  <c r="P17" i="50" s="1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P36" i="50" l="1"/>
  <c r="Q17" i="50"/>
  <c r="AO8" i="27" l="1"/>
  <c r="AN8" i="27"/>
  <c r="AM8" i="27"/>
  <c r="AL8" i="27"/>
  <c r="AK8" i="27"/>
  <c r="AJ8" i="27"/>
  <c r="AI8" i="27"/>
  <c r="AH8" i="27"/>
  <c r="AG8" i="27"/>
  <c r="AF8" i="27"/>
  <c r="AE8" i="27"/>
  <c r="AD8" i="27"/>
  <c r="AC8" i="27"/>
  <c r="AB8" i="27"/>
  <c r="AA8" i="27"/>
  <c r="Z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AN12" i="35"/>
  <c r="AM12" i="35"/>
  <c r="AL12" i="35"/>
  <c r="AK12" i="35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R12" i="35"/>
  <c r="Q12" i="35"/>
  <c r="P12" i="35"/>
  <c r="O12" i="35"/>
  <c r="N12" i="35"/>
  <c r="M12" i="35"/>
  <c r="L12" i="35"/>
  <c r="K12" i="35"/>
  <c r="J12" i="35"/>
  <c r="I12" i="35"/>
  <c r="H12" i="35"/>
  <c r="G12" i="35"/>
  <c r="F12" i="35"/>
  <c r="AN11" i="35"/>
  <c r="AM11" i="35"/>
  <c r="AL11" i="35"/>
  <c r="AK11" i="35"/>
  <c r="AJ11" i="35"/>
  <c r="AI11" i="35"/>
  <c r="AH11" i="35"/>
  <c r="AG11" i="35"/>
  <c r="AF11" i="35"/>
  <c r="AE11" i="35"/>
  <c r="AD11" i="35"/>
  <c r="AC11" i="35"/>
  <c r="AB11" i="35"/>
  <c r="AA11" i="35"/>
  <c r="Z11" i="35"/>
  <c r="Y11" i="35"/>
  <c r="R11" i="35"/>
  <c r="O11" i="35"/>
  <c r="N11" i="35"/>
  <c r="M11" i="35"/>
  <c r="L11" i="35"/>
  <c r="K11" i="35"/>
  <c r="J11" i="35"/>
  <c r="G11" i="35"/>
  <c r="F11" i="35"/>
  <c r="AO12" i="14" l="1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R12" i="14"/>
  <c r="O12" i="14"/>
  <c r="N12" i="14"/>
  <c r="M12" i="14"/>
  <c r="L12" i="14"/>
  <c r="K12" i="14"/>
  <c r="J12" i="14"/>
  <c r="G12" i="14"/>
  <c r="F12" i="14"/>
  <c r="R13" i="12" l="1"/>
  <c r="Q13" i="12"/>
  <c r="P13" i="12"/>
  <c r="O13" i="12"/>
  <c r="N13" i="12"/>
  <c r="M13" i="12"/>
  <c r="L13" i="12"/>
  <c r="K13" i="12"/>
  <c r="J13" i="12"/>
  <c r="I13" i="12"/>
  <c r="H13" i="12"/>
  <c r="G13" i="12"/>
  <c r="F13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R12" i="12"/>
  <c r="O12" i="12"/>
  <c r="N12" i="12"/>
  <c r="M12" i="12"/>
  <c r="L12" i="12"/>
  <c r="K12" i="12"/>
  <c r="J12" i="12"/>
  <c r="G12" i="12"/>
  <c r="F12" i="12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Q15" i="9"/>
  <c r="P15" i="9"/>
  <c r="R15" i="9"/>
  <c r="O15" i="9"/>
  <c r="D2" i="42" s="1"/>
  <c r="N15" i="9"/>
  <c r="B2" i="42" s="1"/>
  <c r="M15" i="9"/>
  <c r="L15" i="9"/>
  <c r="K15" i="9"/>
  <c r="J15" i="9"/>
  <c r="G15" i="9"/>
  <c r="F15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R16" i="9"/>
  <c r="O16" i="9"/>
  <c r="N16" i="9"/>
  <c r="M16" i="9"/>
  <c r="L16" i="9"/>
  <c r="K16" i="9"/>
  <c r="J16" i="9"/>
  <c r="G16" i="9"/>
  <c r="F16" i="9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R16" i="15"/>
  <c r="Q16" i="15"/>
  <c r="P16" i="15"/>
  <c r="O16" i="15"/>
  <c r="D5" i="42" s="1"/>
  <c r="N16" i="15"/>
  <c r="B5" i="42" s="1"/>
  <c r="M16" i="15"/>
  <c r="L16" i="15"/>
  <c r="K16" i="15"/>
  <c r="J16" i="15"/>
  <c r="I16" i="15"/>
  <c r="H16" i="15"/>
  <c r="G16" i="15"/>
  <c r="F16" i="15"/>
  <c r="AO18" i="26" l="1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R18" i="26"/>
  <c r="O18" i="26"/>
  <c r="N18" i="26"/>
  <c r="M18" i="26"/>
  <c r="L18" i="26"/>
  <c r="K18" i="26"/>
  <c r="J18" i="26"/>
  <c r="G18" i="26"/>
  <c r="F18" i="26"/>
  <c r="B3" i="42" l="1"/>
  <c r="AO17" i="26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R17" i="26"/>
  <c r="Q17" i="26"/>
  <c r="P17" i="26"/>
  <c r="O17" i="26"/>
  <c r="D4" i="42" s="1"/>
  <c r="N17" i="26"/>
  <c r="B4" i="42" s="1"/>
  <c r="M17" i="26"/>
  <c r="L17" i="26"/>
  <c r="K17" i="26"/>
  <c r="J17" i="26"/>
  <c r="I17" i="26"/>
  <c r="H17" i="26"/>
  <c r="G17" i="26"/>
  <c r="F17" i="26"/>
  <c r="D3" i="42" l="1"/>
  <c r="D7" i="5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R16" i="30"/>
  <c r="O16" i="30"/>
  <c r="N16" i="30"/>
  <c r="M16" i="30"/>
  <c r="L16" i="30"/>
  <c r="K16" i="30"/>
  <c r="J16" i="30"/>
  <c r="I16" i="30"/>
  <c r="G16" i="30"/>
  <c r="F16" i="30"/>
  <c r="F7" i="50" l="1"/>
  <c r="D16" i="50"/>
  <c r="E62" i="41" l="1"/>
  <c r="BD5" i="13" s="1"/>
  <c r="E72" i="41"/>
  <c r="BA5" i="13" s="1"/>
  <c r="E64" i="41" l="1"/>
  <c r="E74" i="41"/>
  <c r="BA5" i="17" s="1"/>
  <c r="F74" i="41" l="1"/>
  <c r="D13" i="41"/>
  <c r="C13" i="41"/>
  <c r="B13" i="41"/>
  <c r="I13" i="41"/>
  <c r="H13" i="41"/>
  <c r="G13" i="41"/>
  <c r="O4" i="32" l="1"/>
  <c r="AU9" i="11" l="1"/>
  <c r="AU8" i="11"/>
  <c r="AU7" i="11"/>
  <c r="AU6" i="11"/>
  <c r="AU5" i="11"/>
  <c r="AU4" i="11"/>
  <c r="AU3" i="11"/>
  <c r="AU3" i="25" l="1"/>
  <c r="D8" i="32" l="1"/>
  <c r="B8" i="32"/>
  <c r="D3" i="32"/>
  <c r="B3" i="32"/>
  <c r="D7" i="32"/>
  <c r="B7" i="32"/>
  <c r="D5" i="32"/>
  <c r="B5" i="32"/>
  <c r="D6" i="32"/>
  <c r="B6" i="32"/>
  <c r="D4" i="32"/>
  <c r="B4" i="32"/>
  <c r="C76" i="41" l="1"/>
  <c r="C66" i="41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D25" i="41" s="1"/>
  <c r="AB17" i="30"/>
  <c r="AA17" i="30"/>
  <c r="C25" i="41" s="1"/>
  <c r="Z17" i="30"/>
  <c r="B25" i="41" s="1"/>
  <c r="R17" i="30"/>
  <c r="Q17" i="30"/>
  <c r="P17" i="30"/>
  <c r="O17" i="30"/>
  <c r="N17" i="30"/>
  <c r="M17" i="30"/>
  <c r="L17" i="30"/>
  <c r="K17" i="30"/>
  <c r="J17" i="30"/>
  <c r="I25" i="41" s="1"/>
  <c r="I17" i="30"/>
  <c r="H17" i="30"/>
  <c r="G17" i="30"/>
  <c r="H25" i="41" s="1"/>
  <c r="F17" i="30"/>
  <c r="G25" i="41" s="1"/>
  <c r="B67" i="41" l="1"/>
  <c r="B77" i="41"/>
  <c r="AO17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D7" i="41" s="1"/>
  <c r="AB17" i="11"/>
  <c r="AA17" i="11"/>
  <c r="C7" i="41" s="1"/>
  <c r="Z17" i="11"/>
  <c r="B7" i="41" s="1"/>
  <c r="AR3" i="11" s="1"/>
  <c r="R17" i="11"/>
  <c r="Q17" i="11"/>
  <c r="P17" i="11"/>
  <c r="O17" i="11"/>
  <c r="N17" i="11"/>
  <c r="M17" i="11"/>
  <c r="L17" i="11"/>
  <c r="K17" i="11"/>
  <c r="J17" i="11"/>
  <c r="I7" i="41" s="1"/>
  <c r="I17" i="11"/>
  <c r="H17" i="11"/>
  <c r="G17" i="11"/>
  <c r="H7" i="41" s="1"/>
  <c r="F17" i="11"/>
  <c r="G7" i="41" s="1"/>
  <c r="AR9" i="11" l="1"/>
  <c r="AR8" i="11"/>
  <c r="AR7" i="11"/>
  <c r="AR6" i="11"/>
  <c r="AR4" i="11"/>
  <c r="AO17" i="25" l="1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D19" i="41" s="1"/>
  <c r="AB17" i="25"/>
  <c r="AA17" i="25"/>
  <c r="C19" i="41" s="1"/>
  <c r="Z17" i="25"/>
  <c r="B19" i="41" s="1"/>
  <c r="R17" i="25"/>
  <c r="Q17" i="25"/>
  <c r="P17" i="25"/>
  <c r="O17" i="25"/>
  <c r="N17" i="25"/>
  <c r="M17" i="25"/>
  <c r="L17" i="25"/>
  <c r="K17" i="25"/>
  <c r="J17" i="25"/>
  <c r="I19" i="41" s="1"/>
  <c r="I17" i="25"/>
  <c r="H17" i="25"/>
  <c r="G17" i="25"/>
  <c r="H19" i="41" s="1"/>
  <c r="F17" i="25"/>
  <c r="G19" i="41" s="1"/>
  <c r="D18" i="41" l="1"/>
  <c r="C18" i="41"/>
  <c r="B18" i="41"/>
  <c r="I18" i="41"/>
  <c r="H18" i="41"/>
  <c r="G18" i="41"/>
  <c r="D24" i="41" l="1"/>
  <c r="C24" i="41"/>
  <c r="B24" i="41"/>
  <c r="I24" i="41"/>
  <c r="H24" i="41"/>
  <c r="G24" i="41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AO10" i="27"/>
  <c r="AN10" i="27"/>
  <c r="AM10" i="27"/>
  <c r="AL10" i="27"/>
  <c r="AK10" i="27"/>
  <c r="AJ10" i="27"/>
  <c r="AI10" i="27"/>
  <c r="AH10" i="27"/>
  <c r="AG10" i="27"/>
  <c r="AF10" i="27"/>
  <c r="AE10" i="27"/>
  <c r="AD10" i="27"/>
  <c r="AC10" i="27"/>
  <c r="D22" i="41" s="1"/>
  <c r="AB10" i="27"/>
  <c r="AA10" i="27"/>
  <c r="C22" i="41" s="1"/>
  <c r="Z10" i="27"/>
  <c r="B22" i="41" s="1"/>
  <c r="R10" i="27"/>
  <c r="Q10" i="27"/>
  <c r="P10" i="27"/>
  <c r="O10" i="27"/>
  <c r="N10" i="27"/>
  <c r="M10" i="27"/>
  <c r="L10" i="27"/>
  <c r="K10" i="27"/>
  <c r="J10" i="27"/>
  <c r="I22" i="41" s="1"/>
  <c r="I10" i="27"/>
  <c r="H10" i="27"/>
  <c r="G10" i="27"/>
  <c r="H22" i="41" s="1"/>
  <c r="F10" i="27"/>
  <c r="G22" i="41" s="1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D8" i="41" s="1"/>
  <c r="AB15" i="12"/>
  <c r="AA15" i="12"/>
  <c r="C8" i="41" s="1"/>
  <c r="Z15" i="12"/>
  <c r="B8" i="41" s="1"/>
  <c r="R15" i="12"/>
  <c r="Q15" i="12"/>
  <c r="P15" i="12"/>
  <c r="O15" i="12"/>
  <c r="N15" i="12"/>
  <c r="M15" i="12"/>
  <c r="L15" i="12"/>
  <c r="K15" i="12"/>
  <c r="J15" i="12"/>
  <c r="I8" i="41" s="1"/>
  <c r="I15" i="12"/>
  <c r="H15" i="12"/>
  <c r="G15" i="12"/>
  <c r="H8" i="41" s="1"/>
  <c r="F15" i="12"/>
  <c r="G8" i="41" s="1"/>
  <c r="D14" i="41" l="1"/>
  <c r="C14" i="41"/>
  <c r="B14" i="41"/>
  <c r="I14" i="41"/>
  <c r="H14" i="41"/>
  <c r="G14" i="41"/>
  <c r="AO17" i="17" l="1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D12" i="41" s="1"/>
  <c r="AB17" i="17"/>
  <c r="E12" i="41" s="1"/>
  <c r="AA17" i="17"/>
  <c r="C12" i="41" s="1"/>
  <c r="Z17" i="17"/>
  <c r="B12" i="41" s="1"/>
  <c r="AR3" i="17" s="1"/>
  <c r="R17" i="17"/>
  <c r="Q17" i="17"/>
  <c r="P17" i="17"/>
  <c r="O17" i="17"/>
  <c r="N17" i="17"/>
  <c r="M17" i="17"/>
  <c r="L17" i="17"/>
  <c r="K17" i="17"/>
  <c r="J17" i="17"/>
  <c r="I12" i="41" s="1"/>
  <c r="I17" i="17"/>
  <c r="H17" i="17"/>
  <c r="G17" i="17"/>
  <c r="H12" i="41" s="1"/>
  <c r="F17" i="17"/>
  <c r="G12" i="41" s="1"/>
  <c r="E6" i="41" l="1"/>
  <c r="AR5" i="49" s="1"/>
  <c r="AR6" i="49" l="1"/>
  <c r="AR7" i="49"/>
  <c r="AR8" i="49"/>
  <c r="AR3" i="49"/>
  <c r="AR4" i="49"/>
  <c r="F6" i="41" l="1"/>
  <c r="Q18" i="26"/>
  <c r="P18" i="26"/>
  <c r="I18" i="26"/>
  <c r="H18" i="26"/>
  <c r="AT4" i="23"/>
  <c r="AT5" i="23" l="1"/>
  <c r="AT3" i="44"/>
  <c r="AT8" i="44"/>
  <c r="AT7" i="44"/>
  <c r="AT6" i="23"/>
  <c r="AT6" i="44"/>
  <c r="AT5" i="44"/>
  <c r="AT4" i="44"/>
  <c r="AU9" i="49"/>
  <c r="AT8" i="23"/>
  <c r="AT7" i="23"/>
  <c r="AT3" i="23"/>
  <c r="AU7" i="49"/>
  <c r="AU8" i="49"/>
  <c r="AU4" i="49"/>
  <c r="AU6" i="49"/>
  <c r="AU3" i="49"/>
  <c r="AU5" i="49"/>
  <c r="AT9" i="44" l="1"/>
  <c r="AT9" i="23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R17" i="9"/>
  <c r="O17" i="9"/>
  <c r="N17" i="9"/>
  <c r="M17" i="9"/>
  <c r="L17" i="9"/>
  <c r="K17" i="9"/>
  <c r="J17" i="9"/>
  <c r="G17" i="9"/>
  <c r="F17" i="9"/>
  <c r="K56" i="41" l="1"/>
  <c r="J56" i="41" l="1"/>
  <c r="M56" i="41"/>
  <c r="L56" i="41"/>
  <c r="O6" i="42"/>
  <c r="O5" i="42"/>
  <c r="O4" i="42"/>
  <c r="O3" i="42"/>
  <c r="R4" i="42" l="1"/>
  <c r="Q4" i="42"/>
  <c r="R5" i="42"/>
  <c r="Q5" i="42"/>
  <c r="R6" i="42"/>
  <c r="Q6" i="42"/>
  <c r="AN14" i="44" l="1"/>
  <c r="AM14" i="44"/>
  <c r="AL14" i="44"/>
  <c r="AK14" i="44"/>
  <c r="AJ14" i="44"/>
  <c r="AI14" i="44"/>
  <c r="AH14" i="44"/>
  <c r="AG14" i="44"/>
  <c r="AF14" i="44"/>
  <c r="AE14" i="44"/>
  <c r="AD14" i="44"/>
  <c r="AC14" i="44"/>
  <c r="AB14" i="44"/>
  <c r="D16" i="41" s="1"/>
  <c r="AA14" i="44"/>
  <c r="Z14" i="44"/>
  <c r="C16" i="41" s="1"/>
  <c r="Y14" i="44"/>
  <c r="B16" i="41" s="1"/>
  <c r="R14" i="44"/>
  <c r="Q14" i="44"/>
  <c r="P14" i="44"/>
  <c r="O14" i="44"/>
  <c r="N14" i="44"/>
  <c r="M14" i="44"/>
  <c r="L14" i="44"/>
  <c r="K14" i="44"/>
  <c r="J14" i="44"/>
  <c r="I16" i="41" s="1"/>
  <c r="I14" i="44"/>
  <c r="H14" i="44"/>
  <c r="G14" i="44"/>
  <c r="H16" i="41" s="1"/>
  <c r="F14" i="44"/>
  <c r="G16" i="41" s="1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D17" i="41" s="1"/>
  <c r="AA15" i="23"/>
  <c r="Z15" i="23"/>
  <c r="C17" i="41" s="1"/>
  <c r="Y15" i="23"/>
  <c r="B17" i="41" s="1"/>
  <c r="R15" i="23"/>
  <c r="Q15" i="23"/>
  <c r="P15" i="23"/>
  <c r="O15" i="23"/>
  <c r="N15" i="23"/>
  <c r="M15" i="23"/>
  <c r="L15" i="23"/>
  <c r="K15" i="23"/>
  <c r="J15" i="23"/>
  <c r="I17" i="41" s="1"/>
  <c r="I15" i="23"/>
  <c r="H15" i="23"/>
  <c r="G15" i="23"/>
  <c r="H17" i="41" s="1"/>
  <c r="F15" i="23"/>
  <c r="G17" i="41" s="1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D10" i="41" s="1"/>
  <c r="AB16" i="20"/>
  <c r="E10" i="41" s="1"/>
  <c r="AA16" i="20"/>
  <c r="C10" i="41" s="1"/>
  <c r="Z16" i="20"/>
  <c r="B10" i="41" s="1"/>
  <c r="R16" i="20"/>
  <c r="Q16" i="20"/>
  <c r="P16" i="20"/>
  <c r="O16" i="20"/>
  <c r="N16" i="20"/>
  <c r="M16" i="20"/>
  <c r="L16" i="20"/>
  <c r="K16" i="20"/>
  <c r="J16" i="20"/>
  <c r="I10" i="41" s="1"/>
  <c r="I16" i="20"/>
  <c r="H16" i="20"/>
  <c r="G16" i="20"/>
  <c r="H10" i="41" s="1"/>
  <c r="F16" i="20"/>
  <c r="G10" i="41" s="1"/>
  <c r="AQ4" i="44" l="1"/>
  <c r="E16" i="41"/>
  <c r="AQ6" i="44"/>
  <c r="AQ8" i="44"/>
  <c r="AQ7" i="44"/>
  <c r="AQ9" i="44"/>
  <c r="AQ3" i="44"/>
  <c r="AQ3" i="23"/>
  <c r="AQ9" i="23"/>
  <c r="AQ8" i="23"/>
  <c r="AQ7" i="23"/>
  <c r="F16" i="41" l="1"/>
  <c r="AQ5" i="44"/>
  <c r="AQ4" i="23"/>
  <c r="AQ6" i="23"/>
  <c r="O16" i="42" l="1"/>
  <c r="O14" i="42"/>
  <c r="J17" i="42"/>
  <c r="O13" i="42"/>
  <c r="O15" i="42"/>
  <c r="P15" i="42" s="1"/>
  <c r="I17" i="42"/>
  <c r="N17" i="42"/>
  <c r="M17" i="42"/>
  <c r="L17" i="42"/>
  <c r="K17" i="42"/>
  <c r="J7" i="42"/>
  <c r="Q3" i="42"/>
  <c r="I7" i="42"/>
  <c r="P7" i="42"/>
  <c r="N7" i="42"/>
  <c r="M7" i="42"/>
  <c r="L7" i="42"/>
  <c r="K7" i="42"/>
  <c r="B6" i="42"/>
  <c r="F4" i="42"/>
  <c r="F2" i="42"/>
  <c r="F24" i="31"/>
  <c r="E24" i="31"/>
  <c r="D24" i="31"/>
  <c r="F7" i="32"/>
  <c r="N24" i="31"/>
  <c r="K24" i="31"/>
  <c r="H24" i="31"/>
  <c r="G20" i="31"/>
  <c r="F20" i="31"/>
  <c r="E20" i="31"/>
  <c r="D20" i="31"/>
  <c r="F5" i="42"/>
  <c r="N20" i="31"/>
  <c r="L20" i="31"/>
  <c r="I20" i="31"/>
  <c r="H20" i="31"/>
  <c r="G21" i="31"/>
  <c r="E73" i="41"/>
  <c r="BA5" i="16" s="1"/>
  <c r="E21" i="31"/>
  <c r="L21" i="31"/>
  <c r="K21" i="31"/>
  <c r="I21" i="31"/>
  <c r="H21" i="31"/>
  <c r="E61" i="41"/>
  <c r="BD5" i="11" s="1"/>
  <c r="E23" i="31"/>
  <c r="D23" i="31"/>
  <c r="N23" i="31"/>
  <c r="L23" i="31"/>
  <c r="K23" i="31"/>
  <c r="H23" i="31"/>
  <c r="F19" i="31"/>
  <c r="E19" i="31"/>
  <c r="D19" i="31"/>
  <c r="L19" i="31"/>
  <c r="K19" i="31"/>
  <c r="I19" i="31"/>
  <c r="D22" i="31"/>
  <c r="N22" i="31"/>
  <c r="L22" i="31"/>
  <c r="K22" i="31"/>
  <c r="I22" i="31"/>
  <c r="H22" i="31"/>
  <c r="AR6" i="17"/>
  <c r="AR5" i="17"/>
  <c r="O7" i="32"/>
  <c r="O16" i="32"/>
  <c r="O21" i="32"/>
  <c r="O8" i="32"/>
  <c r="O20" i="32"/>
  <c r="E17" i="41"/>
  <c r="AQ5" i="23" s="1"/>
  <c r="AC19" i="15"/>
  <c r="D15" i="41" s="1"/>
  <c r="D5" i="41"/>
  <c r="AQ6" i="29"/>
  <c r="E24" i="41"/>
  <c r="AQ5" i="29" s="1"/>
  <c r="AQ3" i="29"/>
  <c r="AQ8" i="29"/>
  <c r="AR6" i="12"/>
  <c r="E8" i="41"/>
  <c r="AR5" i="12" s="1"/>
  <c r="AR4" i="12"/>
  <c r="AR7" i="20"/>
  <c r="Z19" i="15"/>
  <c r="B15" i="41" s="1"/>
  <c r="AR6" i="16"/>
  <c r="E11" i="41"/>
  <c r="AR5" i="16" s="1"/>
  <c r="AR3" i="16"/>
  <c r="AR9" i="16"/>
  <c r="AR8" i="16"/>
  <c r="AR7" i="16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D9" i="41" s="1"/>
  <c r="AB17" i="13"/>
  <c r="AA17" i="13"/>
  <c r="C9" i="41" s="1"/>
  <c r="Z17" i="13"/>
  <c r="B9" i="41" s="1"/>
  <c r="R17" i="13"/>
  <c r="Q17" i="13"/>
  <c r="P17" i="13"/>
  <c r="O17" i="13"/>
  <c r="N17" i="13"/>
  <c r="M17" i="13"/>
  <c r="L17" i="13"/>
  <c r="K17" i="13"/>
  <c r="J17" i="13"/>
  <c r="I9" i="41" s="1"/>
  <c r="I17" i="13"/>
  <c r="H17" i="13"/>
  <c r="G17" i="13"/>
  <c r="H9" i="41" s="1"/>
  <c r="F17" i="13"/>
  <c r="G9" i="41" s="1"/>
  <c r="E5" i="41"/>
  <c r="AR5" i="14" s="1"/>
  <c r="C5" i="41"/>
  <c r="B5" i="41"/>
  <c r="I5" i="41"/>
  <c r="H5" i="41"/>
  <c r="G5" i="41"/>
  <c r="E4" i="41"/>
  <c r="AR5" i="10" s="1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B19" i="15"/>
  <c r="AA19" i="15"/>
  <c r="C15" i="41" s="1"/>
  <c r="R19" i="15"/>
  <c r="Q19" i="15"/>
  <c r="P19" i="15"/>
  <c r="O19" i="15"/>
  <c r="N19" i="15"/>
  <c r="M19" i="15"/>
  <c r="L19" i="15"/>
  <c r="K19" i="15"/>
  <c r="J19" i="15"/>
  <c r="I15" i="41" s="1"/>
  <c r="I19" i="15"/>
  <c r="H19" i="15"/>
  <c r="G19" i="15"/>
  <c r="H15" i="41" s="1"/>
  <c r="F19" i="15"/>
  <c r="G15" i="41" s="1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D3" i="41" s="1"/>
  <c r="AB18" i="9"/>
  <c r="AA18" i="9"/>
  <c r="C3" i="41" s="1"/>
  <c r="Z18" i="9"/>
  <c r="B3" i="41" s="1"/>
  <c r="R18" i="9"/>
  <c r="Q18" i="9"/>
  <c r="P18" i="9"/>
  <c r="O18" i="9"/>
  <c r="N18" i="9"/>
  <c r="M18" i="9"/>
  <c r="L18" i="9"/>
  <c r="K18" i="9"/>
  <c r="J18" i="9"/>
  <c r="I3" i="41" s="1"/>
  <c r="I18" i="9"/>
  <c r="H18" i="9"/>
  <c r="G18" i="9"/>
  <c r="H3" i="41" s="1"/>
  <c r="F18" i="9"/>
  <c r="G3" i="41" s="1"/>
  <c r="D20" i="41"/>
  <c r="E20" i="41"/>
  <c r="AR5" i="26" s="1"/>
  <c r="C20" i="41"/>
  <c r="B20" i="41"/>
  <c r="I20" i="41"/>
  <c r="H20" i="41"/>
  <c r="G20" i="41"/>
  <c r="E22" i="41"/>
  <c r="AR5" i="27" s="1"/>
  <c r="L24" i="31"/>
  <c r="AR6" i="30"/>
  <c r="E25" i="41"/>
  <c r="AR5" i="30" s="1"/>
  <c r="O9" i="32"/>
  <c r="E19" i="41"/>
  <c r="AR5" i="25" s="1"/>
  <c r="AR8" i="25"/>
  <c r="AR4" i="17"/>
  <c r="AR9" i="17"/>
  <c r="AR8" i="17"/>
  <c r="AR7" i="17"/>
  <c r="F8" i="32"/>
  <c r="AU9" i="10"/>
  <c r="AU5" i="30"/>
  <c r="AU6" i="30"/>
  <c r="AU7" i="30"/>
  <c r="AT3" i="29"/>
  <c r="AU7" i="28"/>
  <c r="AU6" i="27"/>
  <c r="AU5" i="27"/>
  <c r="AU4" i="27"/>
  <c r="AU8" i="27"/>
  <c r="AU7" i="27"/>
  <c r="AU9" i="28"/>
  <c r="AU8" i="28"/>
  <c r="AU4" i="28"/>
  <c r="AU9" i="27"/>
  <c r="AT7" i="29"/>
  <c r="AT6" i="29"/>
  <c r="AT4" i="29"/>
  <c r="AT8" i="29"/>
  <c r="AU6" i="26"/>
  <c r="AU4" i="26"/>
  <c r="AT9" i="29"/>
  <c r="AU7" i="25"/>
  <c r="AU6" i="25"/>
  <c r="AU9" i="25"/>
  <c r="AU4" i="25"/>
  <c r="E18" i="41"/>
  <c r="AR5" i="24" s="1"/>
  <c r="AR3" i="24"/>
  <c r="AR9" i="24"/>
  <c r="AR8" i="24"/>
  <c r="AR7" i="24"/>
  <c r="AU5" i="24"/>
  <c r="AU4" i="24"/>
  <c r="AU3" i="24"/>
  <c r="AU9" i="24"/>
  <c r="AU8" i="24"/>
  <c r="AQ6" i="35"/>
  <c r="E14" i="41"/>
  <c r="AQ4" i="35"/>
  <c r="AQ3" i="35"/>
  <c r="AQ9" i="35"/>
  <c r="AQ8" i="35"/>
  <c r="AQ7" i="35"/>
  <c r="AU6" i="15"/>
  <c r="AT7" i="35"/>
  <c r="AU5" i="15"/>
  <c r="AT3" i="35"/>
  <c r="AU6" i="24"/>
  <c r="AT4" i="35"/>
  <c r="AU3" i="15"/>
  <c r="AU9" i="15"/>
  <c r="AU7" i="24"/>
  <c r="AU8" i="15"/>
  <c r="AT9" i="35"/>
  <c r="AT8" i="35"/>
  <c r="E13" i="41"/>
  <c r="AR5" i="18" s="1"/>
  <c r="AU6" i="18"/>
  <c r="AU7" i="18"/>
  <c r="AU6" i="17"/>
  <c r="AU5" i="17"/>
  <c r="AU3" i="17"/>
  <c r="AU9" i="17"/>
  <c r="AU8" i="17"/>
  <c r="AU7" i="17"/>
  <c r="AU5" i="16"/>
  <c r="AU9" i="16"/>
  <c r="AU9" i="18"/>
  <c r="AU6" i="16"/>
  <c r="AU4" i="18"/>
  <c r="AU5" i="20"/>
  <c r="AU3" i="20"/>
  <c r="AU6" i="20"/>
  <c r="AU9" i="20"/>
  <c r="AU4" i="20"/>
  <c r="AU8" i="20"/>
  <c r="AU5" i="13"/>
  <c r="AU7" i="13"/>
  <c r="AU3" i="13"/>
  <c r="AU6" i="12"/>
  <c r="AU5" i="12"/>
  <c r="AU8" i="12"/>
  <c r="AU7" i="12"/>
  <c r="AU3" i="12"/>
  <c r="AU9" i="14"/>
  <c r="AU7" i="10"/>
  <c r="AU6" i="14"/>
  <c r="AU5" i="14"/>
  <c r="AU4" i="14"/>
  <c r="AU6" i="9"/>
  <c r="AU6" i="10"/>
  <c r="AU4" i="10"/>
  <c r="AU8" i="14"/>
  <c r="AU3" i="14"/>
  <c r="AU4" i="9"/>
  <c r="O19" i="32"/>
  <c r="O6" i="32"/>
  <c r="O17" i="32"/>
  <c r="O5" i="32"/>
  <c r="N10" i="32"/>
  <c r="M10" i="32"/>
  <c r="L10" i="32"/>
  <c r="K10" i="32"/>
  <c r="J10" i="32"/>
  <c r="I10" i="32"/>
  <c r="J22" i="32"/>
  <c r="O18" i="32"/>
  <c r="I22" i="32"/>
  <c r="N22" i="32"/>
  <c r="M22" i="32"/>
  <c r="L22" i="32"/>
  <c r="K22" i="32"/>
  <c r="AU7" i="26"/>
  <c r="AU8" i="26"/>
  <c r="AU3" i="26"/>
  <c r="AR6" i="24"/>
  <c r="AU8" i="18"/>
  <c r="AU3" i="18"/>
  <c r="AU3" i="10"/>
  <c r="AU8" i="10"/>
  <c r="AU3" i="30"/>
  <c r="AU8" i="30"/>
  <c r="AU4" i="16"/>
  <c r="AU4" i="30"/>
  <c r="AU5" i="25"/>
  <c r="N56" i="41"/>
  <c r="AU6" i="13"/>
  <c r="AU3" i="16"/>
  <c r="AU8" i="16"/>
  <c r="F3" i="32"/>
  <c r="AU8" i="13"/>
  <c r="AU9" i="26"/>
  <c r="AU3" i="9"/>
  <c r="AU5" i="9"/>
  <c r="AU8" i="9"/>
  <c r="AU4" i="17"/>
  <c r="AU7" i="16"/>
  <c r="AU7" i="15"/>
  <c r="AU5" i="10"/>
  <c r="AU7" i="14"/>
  <c r="AU9" i="12"/>
  <c r="AU9" i="13"/>
  <c r="AU7" i="20"/>
  <c r="AU5" i="18"/>
  <c r="AT6" i="35"/>
  <c r="AU3" i="27"/>
  <c r="AU3" i="28"/>
  <c r="AU6" i="28"/>
  <c r="AU8" i="25"/>
  <c r="AU9" i="30"/>
  <c r="B56" i="41"/>
  <c r="H56" i="41"/>
  <c r="AT5" i="29"/>
  <c r="AU4" i="15"/>
  <c r="AU5" i="26"/>
  <c r="E56" i="41"/>
  <c r="AU4" i="13"/>
  <c r="AU5" i="28"/>
  <c r="AU4" i="12"/>
  <c r="D56" i="41"/>
  <c r="AT5" i="35"/>
  <c r="C56" i="41"/>
  <c r="AU7" i="9"/>
  <c r="G56" i="41"/>
  <c r="AU9" i="9"/>
  <c r="I56" i="41"/>
  <c r="AR4" i="24"/>
  <c r="B9" i="32"/>
  <c r="F6" i="32"/>
  <c r="O7" i="42"/>
  <c r="R3" i="42"/>
  <c r="Q17" i="32" l="1"/>
  <c r="P17" i="32"/>
  <c r="P7" i="32"/>
  <c r="Q7" i="32"/>
  <c r="Q6" i="32"/>
  <c r="P6" i="32"/>
  <c r="P18" i="32"/>
  <c r="Q18" i="32"/>
  <c r="Q20" i="32"/>
  <c r="P20" i="32"/>
  <c r="Q16" i="32"/>
  <c r="P16" i="32"/>
  <c r="Q16" i="42"/>
  <c r="P16" i="42"/>
  <c r="Q19" i="32"/>
  <c r="P19" i="32"/>
  <c r="Q8" i="32"/>
  <c r="P8" i="32"/>
  <c r="L25" i="31"/>
  <c r="Q9" i="32"/>
  <c r="P9" i="32"/>
  <c r="E9" i="41"/>
  <c r="AR5" i="13" s="1"/>
  <c r="P14" i="42"/>
  <c r="Q14" i="42"/>
  <c r="P13" i="42"/>
  <c r="Q13" i="42"/>
  <c r="AR7" i="10"/>
  <c r="AR9" i="14"/>
  <c r="AR6" i="14"/>
  <c r="AR9" i="26"/>
  <c r="AR4" i="26"/>
  <c r="AR7" i="18"/>
  <c r="AR3" i="18"/>
  <c r="Q21" i="32"/>
  <c r="P21" i="32"/>
  <c r="Q4" i="32"/>
  <c r="P4" i="32"/>
  <c r="AR4" i="13"/>
  <c r="AR6" i="13"/>
  <c r="AR9" i="13"/>
  <c r="AQ5" i="35"/>
  <c r="O19" i="31"/>
  <c r="F4" i="32"/>
  <c r="K20" i="31"/>
  <c r="P20" i="31" s="1"/>
  <c r="O22" i="32"/>
  <c r="P22" i="32" s="1"/>
  <c r="J21" i="31"/>
  <c r="O22" i="31"/>
  <c r="O20" i="31"/>
  <c r="O23" i="31"/>
  <c r="O21" i="31"/>
  <c r="O24" i="31"/>
  <c r="E76" i="41"/>
  <c r="E65" i="41"/>
  <c r="AR8" i="10"/>
  <c r="AR9" i="10"/>
  <c r="E63" i="41"/>
  <c r="BD5" i="16" s="1"/>
  <c r="P24" i="31"/>
  <c r="J20" i="31"/>
  <c r="G19" i="31"/>
  <c r="AR4" i="30"/>
  <c r="AR7" i="30"/>
  <c r="AR8" i="30"/>
  <c r="E66" i="41"/>
  <c r="AR9" i="30"/>
  <c r="G24" i="31"/>
  <c r="I24" i="31"/>
  <c r="J24" i="31" s="1"/>
  <c r="AQ9" i="29"/>
  <c r="AQ7" i="29"/>
  <c r="E23" i="41"/>
  <c r="AR5" i="28" s="1"/>
  <c r="AR6" i="28"/>
  <c r="AR7" i="28"/>
  <c r="AR8" i="28"/>
  <c r="AR9" i="28"/>
  <c r="AR9" i="27"/>
  <c r="AR6" i="27"/>
  <c r="AR8" i="27"/>
  <c r="AR3" i="27"/>
  <c r="AR4" i="27"/>
  <c r="AR7" i="27"/>
  <c r="AR6" i="26"/>
  <c r="AR7" i="26"/>
  <c r="AR8" i="26"/>
  <c r="AR4" i="25"/>
  <c r="F5" i="32"/>
  <c r="AR6" i="25"/>
  <c r="E75" i="41"/>
  <c r="AR7" i="25"/>
  <c r="AR9" i="25"/>
  <c r="E15" i="41"/>
  <c r="AR9" i="18"/>
  <c r="AR4" i="18"/>
  <c r="AR6" i="18"/>
  <c r="AR8" i="18"/>
  <c r="J22" i="31"/>
  <c r="E22" i="31"/>
  <c r="F22" i="31"/>
  <c r="G22" i="31"/>
  <c r="F21" i="31"/>
  <c r="P21" i="31" s="1"/>
  <c r="N21" i="31"/>
  <c r="D21" i="31"/>
  <c r="AR4" i="20"/>
  <c r="AR6" i="20"/>
  <c r="AR3" i="20"/>
  <c r="AR8" i="20"/>
  <c r="AR9" i="20"/>
  <c r="AR5" i="20"/>
  <c r="P19" i="31"/>
  <c r="H19" i="31"/>
  <c r="J19" i="31" s="1"/>
  <c r="AR3" i="13"/>
  <c r="AR7" i="13"/>
  <c r="AR8" i="13"/>
  <c r="N19" i="31"/>
  <c r="AR7" i="12"/>
  <c r="AR8" i="12"/>
  <c r="AR9" i="12"/>
  <c r="F23" i="31"/>
  <c r="P23" i="31" s="1"/>
  <c r="E71" i="41"/>
  <c r="BA5" i="11" s="1"/>
  <c r="E7" i="41"/>
  <c r="AR5" i="11" s="1"/>
  <c r="G23" i="31"/>
  <c r="I23" i="31"/>
  <c r="J23" i="31" s="1"/>
  <c r="AR7" i="14"/>
  <c r="AR8" i="14"/>
  <c r="AR3" i="14"/>
  <c r="AR4" i="10"/>
  <c r="AR6" i="10"/>
  <c r="AR9" i="9"/>
  <c r="E3" i="41"/>
  <c r="AR5" i="9" s="1"/>
  <c r="AR6" i="9"/>
  <c r="AR7" i="9"/>
  <c r="AR8" i="9"/>
  <c r="D6" i="42"/>
  <c r="F3" i="42"/>
  <c r="Q15" i="42"/>
  <c r="O17" i="42"/>
  <c r="P17" i="42" s="1"/>
  <c r="Q7" i="42"/>
  <c r="R7" i="42"/>
  <c r="O10" i="32"/>
  <c r="Q10" i="32" s="1"/>
  <c r="F12" i="41"/>
  <c r="F14" i="41"/>
  <c r="AR3" i="9"/>
  <c r="AR3" i="10"/>
  <c r="AR3" i="26"/>
  <c r="AR4" i="16"/>
  <c r="F11" i="41"/>
  <c r="AR3" i="30"/>
  <c r="F18" i="41"/>
  <c r="F8" i="41"/>
  <c r="AR3" i="12"/>
  <c r="AR3" i="25"/>
  <c r="AQ4" i="29"/>
  <c r="F24" i="41"/>
  <c r="F17" i="41"/>
  <c r="AR4" i="28"/>
  <c r="K25" i="31" l="1"/>
  <c r="F20" i="41"/>
  <c r="Q22" i="32"/>
  <c r="AR9" i="15"/>
  <c r="AR7" i="15"/>
  <c r="AR4" i="15"/>
  <c r="AR6" i="15"/>
  <c r="AR5" i="15"/>
  <c r="AR8" i="15"/>
  <c r="F15" i="41"/>
  <c r="F23" i="41"/>
  <c r="F4" i="41"/>
  <c r="F10" i="41"/>
  <c r="F65" i="41"/>
  <c r="P10" i="32"/>
  <c r="O25" i="31"/>
  <c r="N25" i="31"/>
  <c r="F62" i="41"/>
  <c r="F19" i="41"/>
  <c r="F76" i="41"/>
  <c r="F3" i="41"/>
  <c r="F5" i="41"/>
  <c r="F64" i="41"/>
  <c r="D9" i="32"/>
  <c r="F9" i="41"/>
  <c r="I25" i="31"/>
  <c r="F66" i="41"/>
  <c r="F25" i="41"/>
  <c r="F13" i="41"/>
  <c r="F7" i="41"/>
  <c r="F72" i="41"/>
  <c r="H25" i="31"/>
  <c r="AR3" i="28"/>
  <c r="F75" i="41"/>
  <c r="AR3" i="15"/>
  <c r="P22" i="31"/>
  <c r="P25" i="31" s="1"/>
  <c r="F63" i="41"/>
  <c r="F73" i="41"/>
  <c r="F61" i="41"/>
  <c r="F71" i="41"/>
  <c r="AR4" i="14"/>
  <c r="AR4" i="9"/>
  <c r="Q17" i="42"/>
</calcChain>
</file>

<file path=xl/sharedStrings.xml><?xml version="1.0" encoding="utf-8"?>
<sst xmlns="http://schemas.openxmlformats.org/spreadsheetml/2006/main" count="6792" uniqueCount="1082">
  <si>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</si>
  <si>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</si>
  <si>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</si>
  <si>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</si>
  <si>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</si>
  <si>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</si>
  <si>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</si>
  <si>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</si>
  <si>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</si>
  <si>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</si>
  <si>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</si>
  <si>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</si>
  <si>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</si>
  <si>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</si>
  <si>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</si>
  <si>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</si>
  <si>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</si>
  <si>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</si>
  <si>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</si>
  <si>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</si>
  <si>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</si>
  <si>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</si>
  <si>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</si>
  <si>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</si>
  <si>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</si>
  <si>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</si>
  <si>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</si>
  <si>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</si>
  <si>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</si>
  <si>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</si>
  <si>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</si>
  <si>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</si>
  <si>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Wales</t>
  </si>
  <si>
    <t>Italy</t>
  </si>
  <si>
    <t>France</t>
  </si>
  <si>
    <t>Scotland</t>
  </si>
  <si>
    <t>Japan</t>
  </si>
  <si>
    <t>Argentina</t>
  </si>
  <si>
    <t>Georgia</t>
  </si>
  <si>
    <t>Ireland</t>
  </si>
  <si>
    <t>Canada</t>
  </si>
  <si>
    <t>Gd</t>
  </si>
  <si>
    <t>Away</t>
  </si>
  <si>
    <t>Neutral Ground</t>
  </si>
  <si>
    <t>Home</t>
  </si>
  <si>
    <t>INT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</si>
  <si>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</si>
  <si>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</si>
  <si>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</si>
  <si>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</si>
  <si>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</si>
  <si>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</si>
  <si>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</si>
  <si>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</si>
  <si>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</si>
  <si>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</si>
  <si>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</si>
  <si>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</si>
  <si>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</si>
  <si>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</si>
  <si>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</si>
  <si>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</si>
  <si>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</si>
  <si>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</si>
  <si>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</si>
  <si>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</si>
  <si>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Points Scored</t>
  </si>
  <si>
    <t>Minutes S/handed</t>
  </si>
  <si>
    <t>Opponent</t>
  </si>
  <si>
    <t>Ave per 10 mins</t>
  </si>
  <si>
    <t>14 men</t>
  </si>
  <si>
    <t>13 men</t>
  </si>
  <si>
    <t>12 men</t>
  </si>
  <si>
    <t>11 men</t>
  </si>
  <si>
    <t>Total</t>
  </si>
  <si>
    <t>Also S/H</t>
  </si>
  <si>
    <t>15 v 14</t>
  </si>
  <si>
    <t>15 v 13</t>
  </si>
  <si>
    <t>Russia</t>
  </si>
  <si>
    <t>Uruguay</t>
  </si>
  <si>
    <t>na</t>
  </si>
  <si>
    <t>ALL TESTS</t>
  </si>
  <si>
    <t>SIX NATIONS</t>
  </si>
  <si>
    <t>RUGBY EUROPE</t>
  </si>
  <si>
    <t>Car</t>
  </si>
  <si>
    <t>Prs</t>
  </si>
  <si>
    <t>Rm</t>
  </si>
  <si>
    <t>Dbl</t>
  </si>
  <si>
    <t>Tw</t>
  </si>
  <si>
    <t>Mfl</t>
  </si>
  <si>
    <t>N Zealand</t>
  </si>
  <si>
    <t>Tonga</t>
  </si>
  <si>
    <t>Samoa</t>
  </si>
  <si>
    <t>Namibia</t>
  </si>
  <si>
    <t>Romania</t>
  </si>
  <si>
    <t>Spain</t>
  </si>
  <si>
    <t>Portugal</t>
  </si>
  <si>
    <t>South Africa</t>
  </si>
  <si>
    <t>New Zealand</t>
  </si>
  <si>
    <t>WORLD CUP</t>
  </si>
  <si>
    <t>Tries Scored</t>
  </si>
  <si>
    <t>Played</t>
  </si>
  <si>
    <t>Won</t>
  </si>
  <si>
    <t>Lost</t>
  </si>
  <si>
    <t>Pts For</t>
  </si>
  <si>
    <t>Pts Aga</t>
  </si>
  <si>
    <t>Tries For</t>
  </si>
  <si>
    <t>Drawn</t>
  </si>
  <si>
    <t>Pts Scored</t>
  </si>
  <si>
    <t>Pts Conceded</t>
  </si>
  <si>
    <t>ARGENTINA</t>
  </si>
  <si>
    <t>AUSTRALIA</t>
  </si>
  <si>
    <t>CANADA</t>
  </si>
  <si>
    <t>ENGLAND</t>
  </si>
  <si>
    <t>FIJI</t>
  </si>
  <si>
    <t>FRANCE</t>
  </si>
  <si>
    <t>GEORGIA</t>
  </si>
  <si>
    <t>IRELAND</t>
  </si>
  <si>
    <t>ITALY</t>
  </si>
  <si>
    <t>JAPAN</t>
  </si>
  <si>
    <t>NAMIBIA</t>
  </si>
  <si>
    <t>N ZEALAND</t>
  </si>
  <si>
    <t>SAMOA</t>
  </si>
  <si>
    <t>Ivory Coast</t>
  </si>
  <si>
    <t>Zimbabwe</t>
  </si>
  <si>
    <t>Tournaments</t>
  </si>
  <si>
    <t>United States</t>
  </si>
  <si>
    <t>SCOTLAND</t>
  </si>
  <si>
    <t>S AFRICA</t>
  </si>
  <si>
    <t>TONGA</t>
  </si>
  <si>
    <t>URUGUAY</t>
  </si>
  <si>
    <t>WALES</t>
  </si>
  <si>
    <t>BPs</t>
  </si>
  <si>
    <t xml:space="preserve">Penalty Tries: </t>
  </si>
  <si>
    <t>SIX NATIONS CHAMPIONSHIP (2000-)</t>
  </si>
  <si>
    <t>INTERNATIONALS</t>
  </si>
  <si>
    <t>:</t>
  </si>
  <si>
    <t xml:space="preserve">    HT</t>
  </si>
  <si>
    <t>S Africa</t>
  </si>
  <si>
    <t>ALL TESTS (Does not include results, points &amp; tries awarded for cancelled matches)</t>
  </si>
  <si>
    <t>WORLD CUP  (Does not include results, points &amp; tries awarded for cancelled matches)</t>
  </si>
  <si>
    <t>Tie-breakers:</t>
  </si>
  <si>
    <t>Dn</t>
  </si>
  <si>
    <t>Does not include Cancelled Tests</t>
  </si>
  <si>
    <t>RUGBY CHAMPS</t>
  </si>
  <si>
    <t>10+ Points scored with fewer than 15 men: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</si>
  <si>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</si>
  <si>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 xml:space="preserve">RUGBY EUROPE </t>
  </si>
  <si>
    <t>15 v 12</t>
  </si>
  <si>
    <t>10+ Points scored in any 10-minute Powerplay period:</t>
  </si>
  <si>
    <t>Chile</t>
  </si>
  <si>
    <t>15 v 11</t>
  </si>
  <si>
    <t>Tries Conc</t>
  </si>
  <si>
    <t>Titles</t>
  </si>
  <si>
    <t>GS</t>
  </si>
  <si>
    <t>TC</t>
  </si>
  <si>
    <t>WS</t>
  </si>
  <si>
    <t>n/a</t>
  </si>
  <si>
    <t>INTERNATIONAL CHAMPIONSHIP (1882/83-)</t>
  </si>
  <si>
    <t>Outright</t>
  </si>
  <si>
    <t>Shared</t>
  </si>
  <si>
    <t>Karl Dickson (Eng)</t>
  </si>
  <si>
    <t>Angus Gardner (Aus)</t>
  </si>
  <si>
    <t>Luke Pearce (Eng)</t>
  </si>
  <si>
    <t>Paul Williams (Nzl)</t>
  </si>
  <si>
    <t>Ben O'Keeffe (Nzl)</t>
  </si>
  <si>
    <t>James Doleman (Nzl)</t>
  </si>
  <si>
    <t>Matthew Carley (Eng)</t>
  </si>
  <si>
    <t>Ben Whitehouse (Wal)</t>
  </si>
  <si>
    <t>Nic Berry (Aus)</t>
  </si>
  <si>
    <t>Jordan Way (Aus)</t>
  </si>
  <si>
    <t>Belgium</t>
  </si>
  <si>
    <t>Netherlands</t>
  </si>
  <si>
    <t>Germany</t>
  </si>
  <si>
    <t>Bht</t>
  </si>
  <si>
    <t>Hollie Davidson (Sco)</t>
  </si>
  <si>
    <t>Tb</t>
  </si>
  <si>
    <t>Andrew Brace (Ire)</t>
  </si>
  <si>
    <t>Brian MacNeice (Ire)</t>
  </si>
  <si>
    <t>14 Sp</t>
  </si>
  <si>
    <t>21 Sp</t>
  </si>
  <si>
    <t>Eric Gauzins (Fra)</t>
  </si>
  <si>
    <t>Eoghan Cross (Ire)</t>
  </si>
  <si>
    <t>RE</t>
  </si>
  <si>
    <t>Nika Amashukeli (Geo)</t>
  </si>
  <si>
    <t>Marius Jonker (RSA)</t>
  </si>
  <si>
    <t>Craig Evans (Wal)</t>
  </si>
  <si>
    <t>Andrea Piardi (Ita)</t>
  </si>
  <si>
    <t>Brett Cronan (Aus)</t>
  </si>
  <si>
    <t>Christophe Ridley (Eng)</t>
  </si>
  <si>
    <t>Pierre Brousset (Fra)</t>
  </si>
  <si>
    <t>TB = Try Bonus Points (3 or more than opponent); LB = Losing Bonus Points</t>
  </si>
  <si>
    <t>Tbl</t>
  </si>
  <si>
    <t>CHILE</t>
  </si>
  <si>
    <t>Luc Ramos (Fra)</t>
  </si>
  <si>
    <t>ROMANIA</t>
  </si>
  <si>
    <t>Ian Tempest (Eng)</t>
  </si>
  <si>
    <t>DG</t>
  </si>
  <si>
    <t>YC</t>
  </si>
  <si>
    <t>RC</t>
  </si>
  <si>
    <t>RWCs</t>
  </si>
  <si>
    <t>Opp</t>
  </si>
  <si>
    <t>PORTUGAL</t>
  </si>
  <si>
    <t>as at 31/07/27</t>
  </si>
  <si>
    <t>ANS</t>
  </si>
  <si>
    <t>9 Nv</t>
  </si>
  <si>
    <t>23 Nv</t>
  </si>
  <si>
    <t>6 Jl</t>
  </si>
  <si>
    <t>13 Jl</t>
  </si>
  <si>
    <t>SIX NATIONS (2000-)</t>
  </si>
  <si>
    <t>CHAMPIONSHIP (1882-)</t>
  </si>
  <si>
    <t>FPRO</t>
  </si>
  <si>
    <t>Rd by Rd</t>
  </si>
  <si>
    <t>13-10</t>
  </si>
  <si>
    <t>Gianluca Gnecchi (Ita)</t>
  </si>
  <si>
    <t>Marius van der Westhuizen (RSA)</t>
  </si>
  <si>
    <t>Morne Ferreira (RSA)</t>
  </si>
  <si>
    <t>RE = Rugby Europe Championship; INT = International</t>
  </si>
  <si>
    <t>Penalty Tries: v Pol (10 Fb)</t>
  </si>
  <si>
    <t>2 Mr</t>
  </si>
  <si>
    <t>0-10</t>
  </si>
  <si>
    <t>RESF</t>
  </si>
  <si>
    <t>Lis</t>
  </si>
  <si>
    <t>REBF</t>
  </si>
  <si>
    <t>REF</t>
  </si>
  <si>
    <t>12-3</t>
  </si>
  <si>
    <t>PNS</t>
  </si>
  <si>
    <t>PNF</t>
  </si>
  <si>
    <t>Andrew Jackson (Eng)</t>
  </si>
  <si>
    <t>5 Jl</t>
  </si>
  <si>
    <t>Chi</t>
  </si>
  <si>
    <t>AUTUMN NATIONS</t>
  </si>
  <si>
    <t>12 Jl</t>
  </si>
  <si>
    <t>31 Ag</t>
  </si>
  <si>
    <t>Glenn Newman (Nzl)</t>
  </si>
  <si>
    <t>Mike Adamson (Sco)</t>
  </si>
  <si>
    <t>Quinton Immelman (RSA)</t>
  </si>
  <si>
    <t>Damon Murphy (Aus)</t>
  </si>
  <si>
    <t>MID-YEAR TESTS</t>
  </si>
  <si>
    <t>19 Jl</t>
  </si>
  <si>
    <t>Richard Kelly (Nzl)</t>
  </si>
  <si>
    <t>Damian Schneider (Arg)</t>
  </si>
  <si>
    <t>Wl</t>
  </si>
  <si>
    <t>23 Ag</t>
  </si>
  <si>
    <t>PACIFIC NATIONS</t>
  </si>
  <si>
    <t>MID-YEAR INTS</t>
  </si>
  <si>
    <t>RAC</t>
  </si>
  <si>
    <t>Wh = Hage Geingob Stadium, Windhoek; Kpl = Mandela National Stadium, Kampala</t>
  </si>
  <si>
    <t>RUGBY AFRICA CUP</t>
  </si>
  <si>
    <t>30 Ag</t>
  </si>
  <si>
    <t>Lpa</t>
  </si>
  <si>
    <t>Matteo Liperini (Ita)</t>
  </si>
  <si>
    <t>Federico Vedovelli (Ita)</t>
  </si>
  <si>
    <t>6 Sp</t>
  </si>
  <si>
    <t>Sam Grove-White (Sco)</t>
  </si>
  <si>
    <t>Jbg = Emirates Airline Park, Johannesburg; Ctn = DHL Stadium, Cape Town</t>
  </si>
  <si>
    <t>Tual Trainini (Fra)</t>
  </si>
  <si>
    <t>PNB</t>
  </si>
  <si>
    <t>PNF = Pacific Nations Cup Final; ANS = Autumn Nations Series</t>
  </si>
  <si>
    <t>PNA</t>
  </si>
  <si>
    <t>PN3</t>
  </si>
  <si>
    <t>at end of tournament</t>
  </si>
  <si>
    <t>WORLD CUP QUALS</t>
  </si>
  <si>
    <t>8 Nv</t>
  </si>
  <si>
    <t>15 Nv</t>
  </si>
  <si>
    <t>Car = Principality Stadium, Cardiff</t>
  </si>
  <si>
    <t>22 Nv</t>
  </si>
  <si>
    <t>END OF YEAR INTS</t>
  </si>
  <si>
    <t>Mrd</t>
  </si>
  <si>
    <t>NZL</t>
  </si>
  <si>
    <t>RSA</t>
  </si>
  <si>
    <t>ARG</t>
  </si>
  <si>
    <t>AUS</t>
  </si>
  <si>
    <t>Peter Martin (Ire)</t>
  </si>
  <si>
    <t>14 v 13</t>
  </si>
  <si>
    <t>*20-minute Red card</t>
  </si>
  <si>
    <t>7-10</t>
  </si>
  <si>
    <t>Ludovic Cayre (Fra)</t>
  </si>
  <si>
    <t>Saba Abulashvili (Geo)</t>
  </si>
  <si>
    <t>Penalty Tries: v Rom (16 Nv)</t>
  </si>
  <si>
    <t>Adam Jones (Wal)</t>
  </si>
  <si>
    <t>Penalty Tries: v Ger (4 Fb), Esp (17 Fb), Tga (24 Nv)</t>
  </si>
  <si>
    <t>31 Ja</t>
  </si>
  <si>
    <t>1 Fb</t>
  </si>
  <si>
    <t>8 Fb</t>
  </si>
  <si>
    <t>9 Fb</t>
  </si>
  <si>
    <t>22 Fb</t>
  </si>
  <si>
    <t>Mfl = Scottish Gas Murrayfield Stadium, Edinburgh; Tw = Allianz Stadium, London</t>
  </si>
  <si>
    <t>Sjn</t>
  </si>
  <si>
    <t>Hm</t>
  </si>
  <si>
    <t>Success</t>
  </si>
  <si>
    <t>TIMES OF TRIES SCORED (INCLUDING PENALTY TRIES)</t>
  </si>
  <si>
    <t>BONUS POINTS EARNED</t>
  </si>
  <si>
    <t>11-20</t>
  </si>
  <si>
    <t>21-30</t>
  </si>
  <si>
    <t>31-40</t>
  </si>
  <si>
    <t>1st H</t>
  </si>
  <si>
    <t>41-50</t>
  </si>
  <si>
    <t>51-60</t>
  </si>
  <si>
    <t>61-70</t>
  </si>
  <si>
    <t>71-80</t>
  </si>
  <si>
    <t>2nd H</t>
  </si>
  <si>
    <t>TOT</t>
  </si>
  <si>
    <t>TBs</t>
  </si>
  <si>
    <t>TRY</t>
  </si>
  <si>
    <t>LOSE</t>
  </si>
  <si>
    <t>TIMES OF TRIES CONCEDED (INCLUDING PENALTY TRIES)</t>
  </si>
  <si>
    <t>BONUS POINTS CONCEDED</t>
  </si>
  <si>
    <t>LOSING FROM WINNING POSITION IN 2nd HALF (LATEST TIME ONLY)</t>
  </si>
  <si>
    <t>Tot</t>
  </si>
  <si>
    <t>LOSING BP LOST IN 71-80 MINS</t>
  </si>
  <si>
    <t>TIME OF BONUS POINT TRIES (MINS)</t>
  </si>
  <si>
    <t>HOME AND AWAY SCORING</t>
  </si>
  <si>
    <t>FASTEST TRIES (0-5 MINS)</t>
  </si>
  <si>
    <t>TRIES</t>
  </si>
  <si>
    <t>LGE</t>
  </si>
  <si>
    <t>28-0</t>
  </si>
  <si>
    <t>SPAIN IN 2025</t>
  </si>
  <si>
    <t>SPAIN</t>
  </si>
  <si>
    <t>7-7</t>
  </si>
  <si>
    <t xml:space="preserve">LGE = Table Points </t>
  </si>
  <si>
    <t>5-17</t>
  </si>
  <si>
    <t>ROMANIA IN 2025</t>
  </si>
  <si>
    <t>Switzerland</t>
  </si>
  <si>
    <t>Franco Rossella (Ita)</t>
  </si>
  <si>
    <t>GEORGIA IN 2025</t>
  </si>
  <si>
    <t>47-0</t>
  </si>
  <si>
    <t>Luis Fernandez (Esp)</t>
  </si>
  <si>
    <t>Eki Fanlo (Esp)</t>
  </si>
  <si>
    <t>Daniel Perez (Esp)</t>
  </si>
  <si>
    <t>1 Nv</t>
  </si>
  <si>
    <t>29 Nv</t>
  </si>
  <si>
    <t>PORTUGAL IN 2025</t>
  </si>
  <si>
    <t>26-20</t>
  </si>
  <si>
    <t>Shota Tevzadze (Geo)</t>
  </si>
  <si>
    <t>Manuel Bottino (Ita)</t>
  </si>
  <si>
    <t>Gabriel Chirnoaga (Ita)</t>
  </si>
  <si>
    <t>Saba Makharadze (Geo)</t>
  </si>
  <si>
    <t>Shota Tsagareishvili (Geo)</t>
  </si>
  <si>
    <t>31-10</t>
  </si>
  <si>
    <t>Ciaran Stark (Sco)</t>
  </si>
  <si>
    <t>Robert McDowell (Sco)</t>
  </si>
  <si>
    <t>Kit</t>
  </si>
  <si>
    <t>Kbe</t>
  </si>
  <si>
    <t>19-0</t>
  </si>
  <si>
    <t>Benoit Rousselet (Fra)</t>
  </si>
  <si>
    <t>Thomas Charabas (Fra)</t>
  </si>
  <si>
    <t>Thomas Chereque (Fra)</t>
  </si>
  <si>
    <t>Mns</t>
  </si>
  <si>
    <t>Bht = Stadionul National Arcul de Triumf, Bucharest; Mns = Stade Charles Tondreau, Mons</t>
  </si>
  <si>
    <t>10-7</t>
  </si>
  <si>
    <t>David Sutherland (Sco)</t>
  </si>
  <si>
    <t>Finlay Brown (Sco)</t>
  </si>
  <si>
    <t>Ydn</t>
  </si>
  <si>
    <t>Mrd = Estadio Central, Madrid; Ydn = Stade Municipal, Yverdon-les-Bains</t>
  </si>
  <si>
    <t>21-6</t>
  </si>
  <si>
    <t>Nicolae Fratila (Rom)</t>
  </si>
  <si>
    <t>Alexandru Ionescu (Rom)</t>
  </si>
  <si>
    <t>Andrei Gheorghe (Rom)</t>
  </si>
  <si>
    <t>35-5</t>
  </si>
  <si>
    <t>Keane Davison (Ire)</t>
  </si>
  <si>
    <t>Chris Lough (Ire)</t>
  </si>
  <si>
    <t>Shane Gaughan (Ire)</t>
  </si>
  <si>
    <t>15 Fb</t>
  </si>
  <si>
    <t>Bot</t>
  </si>
  <si>
    <t>3-12</t>
  </si>
  <si>
    <t>Julien Caulier (Fra)</t>
  </si>
  <si>
    <t>Benoit Albert (Fra)</t>
  </si>
  <si>
    <t xml:space="preserve"> Lis = Estadio do Restelo, Lisbon; Bot = Stadionul Municipal, Botosani</t>
  </si>
  <si>
    <t>16 Fb</t>
  </si>
  <si>
    <t>13-34</t>
  </si>
  <si>
    <t>Andrew Cole (Ire)</t>
  </si>
  <si>
    <t>Andy Fogarty (Ire)</t>
  </si>
  <si>
    <t>34-13</t>
  </si>
  <si>
    <t>1 Mr</t>
  </si>
  <si>
    <t>17-23</t>
  </si>
  <si>
    <t>Aaron Parry (Wal)</t>
  </si>
  <si>
    <t>Lucas Yendle (Wal)</t>
  </si>
  <si>
    <t>23-17</t>
  </si>
  <si>
    <t>Keith David (Wal)</t>
  </si>
  <si>
    <t>Lbn</t>
  </si>
  <si>
    <t>29-0</t>
  </si>
  <si>
    <t>Tomas O'Sullivan (Ire)</t>
  </si>
  <si>
    <t>0-29</t>
  </si>
  <si>
    <t>6-8</t>
  </si>
  <si>
    <t>8-6</t>
  </si>
  <si>
    <t>Totals</t>
  </si>
  <si>
    <t>16 Mr</t>
  </si>
  <si>
    <t>Tb = Avchala Stadium, Tbilisi; Mrd = Estadio Central, Madrid; Tbl = Mikheil Meskhi Stadium, Tbilisi</t>
  </si>
  <si>
    <t>17-16</t>
  </si>
  <si>
    <t>Alberto Favaro (Ita)</t>
  </si>
  <si>
    <t>Dario Merli (Ita)</t>
  </si>
  <si>
    <t>Lbn - Estadio Nacional, Lisbon; Tbl = Mikheil Meskhi Stadium, Tbilisi</t>
  </si>
  <si>
    <t>0-18</t>
  </si>
  <si>
    <t>Papuna Chiqaberidze (Geo)</t>
  </si>
  <si>
    <t>Bot = Stadionul Municipal, Botosani; Tb = Avchala Stadium, Tbilisi; Lbn - Estadio Nacional, Lisbon</t>
  </si>
  <si>
    <t>18-0</t>
  </si>
  <si>
    <t>ARGENTINA IN 2025</t>
  </si>
  <si>
    <t>AUSTRALIA IN 2025</t>
  </si>
  <si>
    <t>NEW ZEALAND IN 2025</t>
  </si>
  <si>
    <t>SOUTH AFRICA IN 2025</t>
  </si>
  <si>
    <t>CANADA IN 2025</t>
  </si>
  <si>
    <t>CHILE IN 2025</t>
  </si>
  <si>
    <t>FIJI IN 2025</t>
  </si>
  <si>
    <t>JAPAN IN 2025</t>
  </si>
  <si>
    <t>NAMIBIA IN 2025</t>
  </si>
  <si>
    <t>SAMOA IN 2025</t>
  </si>
  <si>
    <t>TONGA IN 2025</t>
  </si>
  <si>
    <t>USA IN 2025</t>
  </si>
  <si>
    <t>URUGUAY IN 2025</t>
  </si>
  <si>
    <t>27 Jn</t>
  </si>
  <si>
    <t>Wh</t>
  </si>
  <si>
    <t>6-40</t>
  </si>
  <si>
    <t>Aimee Barrett-Theron (RSA)</t>
  </si>
  <si>
    <t>7-19</t>
  </si>
  <si>
    <t>19-7</t>
  </si>
  <si>
    <t>21-13</t>
  </si>
  <si>
    <t>Takehito Namekawa (Jpn)</t>
  </si>
  <si>
    <t>Ptr</t>
  </si>
  <si>
    <t>28-3</t>
  </si>
  <si>
    <t>5-14</t>
  </si>
  <si>
    <t>Adam Leal (Eng)</t>
  </si>
  <si>
    <t>14-5</t>
  </si>
  <si>
    <t>Snt</t>
  </si>
  <si>
    <t>23-13</t>
  </si>
  <si>
    <t>Federico Vedovelli (ita)</t>
  </si>
  <si>
    <t>Francisco Gonzalez (Uru)</t>
  </si>
  <si>
    <t>Marcelo Pilaro (Arg)</t>
  </si>
  <si>
    <t>13-23</t>
  </si>
  <si>
    <t>0-3</t>
  </si>
  <si>
    <t>Olly Hodges (Ire)</t>
  </si>
  <si>
    <t>Cha</t>
  </si>
  <si>
    <t>Cha = American Legion Memorial Stadium, Charlotte; Wa= Audi Field, Washington DC</t>
  </si>
  <si>
    <t>14-3</t>
  </si>
  <si>
    <t>Cam Russell (Can)</t>
  </si>
  <si>
    <t>Talal Chaudhry (Can)</t>
  </si>
  <si>
    <t>VB</t>
  </si>
  <si>
    <t>Nw</t>
  </si>
  <si>
    <t>Angus Mabey (Nzl)</t>
  </si>
  <si>
    <t>Nw = McDonald Jones Stadium, Newcastle, NSW</t>
  </si>
  <si>
    <t>Suv</t>
  </si>
  <si>
    <t>Penalty Tries: v Sco (12 Jl)</t>
  </si>
  <si>
    <t>15-7</t>
  </si>
  <si>
    <t>Matt Kellahan (Aus)</t>
  </si>
  <si>
    <t>7-15</t>
  </si>
  <si>
    <t>HFC Bank Stadium, Suva</t>
  </si>
  <si>
    <t>10-21</t>
  </si>
  <si>
    <t>Dn = Forsyth Barr Stadium, Dunedin; Wl = Sky Stadium, Wellington</t>
  </si>
  <si>
    <t>29-3</t>
  </si>
  <si>
    <t>Gqe</t>
  </si>
  <si>
    <t>Ptr = Loftus Versfeld, Pretoria; Gqe = Nelson Mandela Bay Stadium, Gqeberha</t>
  </si>
  <si>
    <t>24-0</t>
  </si>
  <si>
    <t>Ud</t>
  </si>
  <si>
    <t>Tur</t>
  </si>
  <si>
    <t>Gen</t>
  </si>
  <si>
    <t>0-54</t>
  </si>
  <si>
    <t>Anthony Woodthorpe (Eng)</t>
  </si>
  <si>
    <t>Mv</t>
  </si>
  <si>
    <t>39-8</t>
  </si>
  <si>
    <t>Marcelo Pilara (Arg)</t>
  </si>
  <si>
    <t>Caua Ricardo (Bra)</t>
  </si>
  <si>
    <t>8-39</t>
  </si>
  <si>
    <t>17-14</t>
  </si>
  <si>
    <t>14-21</t>
  </si>
  <si>
    <t>Robin Kaluzniak (Can)</t>
  </si>
  <si>
    <t>21-14</t>
  </si>
  <si>
    <t>Edm</t>
  </si>
  <si>
    <t>13-12</t>
  </si>
  <si>
    <t>Gonzalo De Achaval (Arg)</t>
  </si>
  <si>
    <t>Mike Kelly (USA)</t>
  </si>
  <si>
    <t>Luke Rogan (USA)</t>
  </si>
  <si>
    <t>Algeria</t>
  </si>
  <si>
    <t>Senegal</t>
  </si>
  <si>
    <t>8 Jl</t>
  </si>
  <si>
    <t>Kpl</t>
  </si>
  <si>
    <t>17-7</t>
  </si>
  <si>
    <t>Paul Mente (RSA)</t>
  </si>
  <si>
    <t>Sylvain Mane (Sen)</t>
  </si>
  <si>
    <t>Ronald Wutimber (Uga)</t>
  </si>
  <si>
    <t>Talent Gandiwa (Zim)</t>
  </si>
  <si>
    <t>Edward Kabagambe (Uga)</t>
  </si>
  <si>
    <t>LS</t>
  </si>
  <si>
    <t>B&amp;I Lions</t>
  </si>
  <si>
    <t>Bb</t>
  </si>
  <si>
    <t>Brazil</t>
  </si>
  <si>
    <t>16-16</t>
  </si>
  <si>
    <t>Umar Balikanda (Uga)</t>
  </si>
  <si>
    <t>WCQ</t>
  </si>
  <si>
    <t>Sp</t>
  </si>
  <si>
    <t>Penalty Tries: v Bra (19 Jl)</t>
  </si>
  <si>
    <t>25-7</t>
  </si>
  <si>
    <t>Pablo Deluca (Arg)</t>
  </si>
  <si>
    <t>Sergio Alvarenga (Pgy)</t>
  </si>
  <si>
    <t>Francisco Pesce (Esp)</t>
  </si>
  <si>
    <t>Federico Longobardi (Arg)</t>
  </si>
  <si>
    <t>Akl</t>
  </si>
  <si>
    <t>0-22</t>
  </si>
  <si>
    <t>Tevita Rokovereni (Fij)</t>
  </si>
  <si>
    <t>18 Jl</t>
  </si>
  <si>
    <t>6-11</t>
  </si>
  <si>
    <t>11-6</t>
  </si>
  <si>
    <t>Cha = American Legion Memorial Stadium, Charlotte; Edm = Clarke Stadium, Edmonton</t>
  </si>
  <si>
    <t>Penalty Tries: v Nld (1 Fb), Can (18 jl)</t>
  </si>
  <si>
    <t>17-19</t>
  </si>
  <si>
    <t>Bor</t>
  </si>
  <si>
    <t>Mba</t>
  </si>
  <si>
    <t>22-10</t>
  </si>
  <si>
    <t>10-22</t>
  </si>
  <si>
    <t>Sta</t>
  </si>
  <si>
    <t>12-7</t>
  </si>
  <si>
    <t>Fedorico Vedovelli (Ita)</t>
  </si>
  <si>
    <t>7-12</t>
  </si>
  <si>
    <t>END OF YEAR TESTS</t>
  </si>
  <si>
    <t>Ws</t>
  </si>
  <si>
    <t>0-19</t>
  </si>
  <si>
    <t>EM</t>
  </si>
  <si>
    <t>HS</t>
  </si>
  <si>
    <t>26 Jl</t>
  </si>
  <si>
    <t>Mcg</t>
  </si>
  <si>
    <t>Nw = McDonald Jones Stadium, Newcastle, NSW; Bb = Suncorp Stadium, Brisbane;</t>
  </si>
  <si>
    <t>INT = International; RAC = Rugby Africa Cup; WCQ = World Cup Qualifier</t>
  </si>
  <si>
    <t>UAE</t>
  </si>
  <si>
    <t>36-22</t>
  </si>
  <si>
    <t>26 JL</t>
  </si>
  <si>
    <t>San</t>
  </si>
  <si>
    <t>Snt = Estadio Nacional, Santiago; Sp = Estadio do Nacional, Sao Paulo;</t>
  </si>
  <si>
    <t>15-3</t>
  </si>
  <si>
    <t>Juan Martinez (Arg)</t>
  </si>
  <si>
    <t>Esteban Filipanics (Arg)</t>
  </si>
  <si>
    <t>Paraguay</t>
  </si>
  <si>
    <t>Asu</t>
  </si>
  <si>
    <t>Gonzalo de Achaval (Arg)</t>
  </si>
  <si>
    <t>Lucas Galan (Arg)</t>
  </si>
  <si>
    <t>Caua Ricardo Santos (Bra)</t>
  </si>
  <si>
    <t>Juan Chumbita (Arg)</t>
  </si>
  <si>
    <t>2 Ag</t>
  </si>
  <si>
    <t>8-0</t>
  </si>
  <si>
    <t>16 Ag</t>
  </si>
  <si>
    <t>Jbg</t>
  </si>
  <si>
    <t>22-5</t>
  </si>
  <si>
    <t>5-22</t>
  </si>
  <si>
    <t>Cda</t>
  </si>
  <si>
    <t>Sta = Estadio Padre Ernesto Martearena, Salta; Cda = Estadio Mario Alberto Kempes, Cordoba</t>
  </si>
  <si>
    <t>10-31</t>
  </si>
  <si>
    <t>42-8</t>
  </si>
  <si>
    <t>Ignacio Calle (Arg)</t>
  </si>
  <si>
    <t>Federico Solari (Arg)</t>
  </si>
  <si>
    <t>Tomas Ninci (Arg)</t>
  </si>
  <si>
    <t>Mv = Estadio Charrua, Montevideo; Sta = Estadio Padre Ernesto Martearena, Salta</t>
  </si>
  <si>
    <t>Snt = Estadio Nacional, Santiago; Mv = Estadio Charrua, Montevideo</t>
  </si>
  <si>
    <t>Ctn</t>
  </si>
  <si>
    <t>Mba = Mbombela Stadium, Mbombela; Jbg = Emirates Airline Park, Johannesburg</t>
  </si>
  <si>
    <t>Mfl = Scottish Gas Murrayfield Stadium, Edinburgh</t>
  </si>
  <si>
    <t>20-10</t>
  </si>
  <si>
    <t>10-20</t>
  </si>
  <si>
    <t xml:space="preserve">Lpa = Estadio Jorge Luis Hirschi, La Plata; Sjn = Estadio San Juan del Bicentenario, San Juan; </t>
  </si>
  <si>
    <t>Ba</t>
  </si>
  <si>
    <t>13-13</t>
  </si>
  <si>
    <t>Hm = FMG Stadium, Hamilton; Cda = Estadio Mario Alberto Kempes, Cordoba;</t>
  </si>
  <si>
    <t>Ba = Estadio Jose Amalfitani, Buenos Aires; Akl = Eden Park, Auckland</t>
  </si>
  <si>
    <t>Jordan, Lienert-Brown, Proctor, Reece, Vaa'i</t>
  </si>
  <si>
    <t>POOL A</t>
  </si>
  <si>
    <t>POOL B</t>
  </si>
  <si>
    <t>CAN</t>
  </si>
  <si>
    <t>FIJ</t>
  </si>
  <si>
    <t>JPN</t>
  </si>
  <si>
    <t>SAM</t>
  </si>
  <si>
    <t>TGA</t>
  </si>
  <si>
    <t>INT = International; PNB = Pacific Nations Cup Group B</t>
  </si>
  <si>
    <t>Cal</t>
  </si>
  <si>
    <t>17-17</t>
  </si>
  <si>
    <t>McMahon Stadium, Calgary</t>
  </si>
  <si>
    <t>3m</t>
  </si>
  <si>
    <t>CAN (Ardron) v USA (23 Ag)</t>
  </si>
  <si>
    <t>2025 PACIFIC NATIONS CUP</t>
  </si>
  <si>
    <t>22 Feb</t>
  </si>
  <si>
    <t>Nkl</t>
  </si>
  <si>
    <t>20-6</t>
  </si>
  <si>
    <t>James Leckie (Aus)</t>
  </si>
  <si>
    <t>Michael Winter (Nzl)</t>
  </si>
  <si>
    <t>6-20</t>
  </si>
  <si>
    <t>Teufaiva Stadium, Nuku'alofa</t>
  </si>
  <si>
    <t>Sto</t>
  </si>
  <si>
    <t>San = Parque Mahuida, Santiago; Sto = Estadio Municipal de La Pintana, Santiago</t>
  </si>
  <si>
    <t>13-14</t>
  </si>
  <si>
    <t>Jeremy Rozier (Fra)</t>
  </si>
  <si>
    <t>Marcelo Pilara (Uru)</t>
  </si>
  <si>
    <t>Tomas Bertazza (Arg)</t>
  </si>
  <si>
    <t>Asu = Heroes de Curupaity, Asuncion; Sto = Estadio Municipal de La Pintana, Santiago</t>
  </si>
  <si>
    <t>17-10</t>
  </si>
  <si>
    <t>Katsuki Furuse (Jpn)</t>
  </si>
  <si>
    <t>10-17</t>
  </si>
  <si>
    <t>Sen</t>
  </si>
  <si>
    <t>Kit = Mikuni World Stadium, Kitakyushu; Kbe = Noevir Stadium, Kobe; Sen = Yurtec Stadium, Sendai</t>
  </si>
  <si>
    <t>Edm = Clarke Stadium, Edmonton; Cal = McMahon Stadium, Calgary</t>
  </si>
  <si>
    <t>Yurtec Stadium, Sendai</t>
  </si>
  <si>
    <t>7-0</t>
  </si>
  <si>
    <t>Fedorico Longobardi (Arg)</t>
  </si>
  <si>
    <t>0-7</t>
  </si>
  <si>
    <t>Tvl</t>
  </si>
  <si>
    <t>Sdy</t>
  </si>
  <si>
    <t>Mcg = Melbourne Cricket Ground; Sdy = Accor Stadium, Sydney</t>
  </si>
  <si>
    <t>7-21</t>
  </si>
  <si>
    <t>21-7</t>
  </si>
  <si>
    <t>Ba = Estadio Jose Amalfitani, Buenos Aires; Tvl = Queensland Country Bank Stadium, Townsville</t>
  </si>
  <si>
    <t>AN</t>
  </si>
  <si>
    <t>INT = International; RC = Rugby Championship; AN = Autumn Nations Series</t>
  </si>
  <si>
    <t>3-14</t>
  </si>
  <si>
    <t>RC = Rugby Championship; AN = Autumn Nations Series; PW = Prince William Cup</t>
  </si>
  <si>
    <t>RC = Rugby Championship; INT = International; AN = Autumn Nations Series</t>
  </si>
  <si>
    <t>Rot</t>
  </si>
  <si>
    <t>15-12</t>
  </si>
  <si>
    <t>12-15</t>
  </si>
  <si>
    <t>Seu</t>
  </si>
  <si>
    <t>2m</t>
  </si>
  <si>
    <t>TGA (Pulu) v FIJ (30 Ag)</t>
  </si>
  <si>
    <t>Tga</t>
  </si>
  <si>
    <t>Moala</t>
  </si>
  <si>
    <t>Raratubua</t>
  </si>
  <si>
    <t>JPN (Fakatava) v CAN (30 Ag)</t>
  </si>
  <si>
    <t>Can</t>
  </si>
  <si>
    <t>International Stadium, Rotorua</t>
  </si>
  <si>
    <t>* SAM</t>
  </si>
  <si>
    <t>4m</t>
  </si>
  <si>
    <t>SAM (Ah-Sue) v FIJ (6 Sp)</t>
  </si>
  <si>
    <t>Sam</t>
  </si>
  <si>
    <t>Sac</t>
  </si>
  <si>
    <t>Cal = McMahon Stadium, Calgary; Sac = Heart Health Park, Sacramento</t>
  </si>
  <si>
    <t>14-28</t>
  </si>
  <si>
    <t>28-14</t>
  </si>
  <si>
    <t>Heart Health Park, Sacramento</t>
  </si>
  <si>
    <t>Wins, Head to Head Wins, Pts Diff, Head to Head PD, Tries Scored, placed equally</t>
  </si>
  <si>
    <t>* Samoa home game played at neutral ground in New Zealand</t>
  </si>
  <si>
    <t>Q</t>
  </si>
  <si>
    <t>13 Sp</t>
  </si>
  <si>
    <t>Syd</t>
  </si>
  <si>
    <t>Tvl = Queensland Country Bank Stadium, Townsville; Syd = Allianz Stadium, Sydney</t>
  </si>
  <si>
    <t>5m</t>
  </si>
  <si>
    <t>Ctn = DHL Stadium, Cape Town; Akl = Eden Park, Auckland; Wl = Sky Stadium, Wellington</t>
  </si>
  <si>
    <t>↑1</t>
  </si>
  <si>
    <t>↓2</t>
  </si>
  <si>
    <t>PN5</t>
  </si>
  <si>
    <t>Dvr</t>
  </si>
  <si>
    <t>Suv = HFC Stadium, Suva; Rot = International Stadium, Rotorua</t>
  </si>
  <si>
    <t xml:space="preserve">Akl = Eden Park, Auckland; Nkl = Teufaiva Stadium, Nuku'alofa; </t>
  </si>
  <si>
    <t>Rot = International Stadium, Rotorua; Dvr = Dick's Sporting Goods Park, Denver;</t>
  </si>
  <si>
    <t xml:space="preserve">INT = International; PNB = Pacific Nations Cup Group B; </t>
  </si>
  <si>
    <t>Davis, MacGinty, Poidevin</t>
  </si>
  <si>
    <t>Seu, Tuitama</t>
  </si>
  <si>
    <t>Dick's Sporting Goods Park, Denver</t>
  </si>
  <si>
    <t>HOME AND AWAY SCORING (in Pool stage)</t>
  </si>
  <si>
    <t>Nkl = Teufaiva Stadium, Nuku'alofa; Suv = HFC Stadium, Suva;</t>
  </si>
  <si>
    <t>INT = International; PNA = Pacific Nations Cup Group A; PNS = Pacific Nations Cup Semi-final</t>
  </si>
  <si>
    <t>INT = International; PNB = Pacific Nations Cup Group B; PNS = Pacific Nations Cup Semi-final</t>
  </si>
  <si>
    <t>19-21</t>
  </si>
  <si>
    <t>21-19</t>
  </si>
  <si>
    <t>Sac = Heart Health Park, Sacramento; Dvr = Dick's Sporting Goods Park, Denver</t>
  </si>
  <si>
    <t>Penalty Tries: v Tga (14 Sp)</t>
  </si>
  <si>
    <t xml:space="preserve">VB = Vuvale Bowl; INT = Internationals; PNA = Pacific Nations Cup Group A; </t>
  </si>
  <si>
    <t>PNS = Pacific Nations Cup Semi-final; PNF = Pacific Nations Cup Final; AN = Autumn Nations Series</t>
  </si>
  <si>
    <t>43-3</t>
  </si>
  <si>
    <t>Lex Weiner (USA)</t>
  </si>
  <si>
    <t>3-43</t>
  </si>
  <si>
    <t>Sen = Yurtec Stadium, Sendai; Dvr = Dick's Sporting Goods Park, Denver</t>
  </si>
  <si>
    <t>Doge</t>
  </si>
  <si>
    <t>FIJ (Rakuro) v CAN (14 Sp)</t>
  </si>
  <si>
    <t>20 Sp</t>
  </si>
  <si>
    <t>Slc</t>
  </si>
  <si>
    <t>Dvr = Dick's Sporting Goods Park, Denver; Slc = America First Field, Salt Lake City</t>
  </si>
  <si>
    <t>14-7</t>
  </si>
  <si>
    <t>7-14</t>
  </si>
  <si>
    <t>PNS = Pacific Nations Cup Semi-final; PN3 = Pacific Nations Cup 3rd Place Play-off</t>
  </si>
  <si>
    <t>PN3 = Pacific Nations Cup 3rd Place Play-off</t>
  </si>
  <si>
    <t>Steeves</t>
  </si>
  <si>
    <t>Afungia, Foliaki, Moala, Nai</t>
  </si>
  <si>
    <r>
      <rPr>
        <b/>
        <sz val="11"/>
        <color rgb="FFFF0000"/>
        <rFont val="Calibri"/>
        <family val="2"/>
        <scheme val="minor"/>
      </rPr>
      <t xml:space="preserve">25 </t>
    </r>
    <r>
      <rPr>
        <b/>
        <sz val="11"/>
        <color theme="1"/>
        <rFont val="Calibri"/>
        <family val="2"/>
        <scheme val="minor"/>
      </rPr>
      <t>FIJ v Can (Sep 14) playing for 25 mins with 14 &amp; 10 with 13</t>
    </r>
  </si>
  <si>
    <t>America First Field, Salt Lake City</t>
  </si>
  <si>
    <t>10-26</t>
  </si>
  <si>
    <t>26-10</t>
  </si>
  <si>
    <t>Mata, Mawi, Waqa</t>
  </si>
  <si>
    <r>
      <rPr>
        <b/>
        <sz val="11"/>
        <color rgb="FFFF0000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 xml:space="preserve"> JPN v FIJ (Sp 20)</t>
    </r>
  </si>
  <si>
    <t>FIJ (Era) v JPN (20 Sp)</t>
  </si>
  <si>
    <t>PN5 = Pacific Nations Cup 5th Place Play-off; WCQ = World Cup Qualifier</t>
  </si>
  <si>
    <t>27 Sp</t>
  </si>
  <si>
    <t>Chile+</t>
  </si>
  <si>
    <t>8-25</t>
  </si>
  <si>
    <t>25-8</t>
  </si>
  <si>
    <t>INT = International; WCQ = World Cup Qualifier</t>
  </si>
  <si>
    <t>Mv = Estadio Charrua, Montevideo; Slc = America First Field, Salt Lake City</t>
  </si>
  <si>
    <t>Vm</t>
  </si>
  <si>
    <t>nn</t>
  </si>
  <si>
    <t>18-7</t>
  </si>
  <si>
    <t>7-18</t>
  </si>
  <si>
    <t>Slc = America First Field, Salt Lake City; Vm = Estadio Sausalito, Vina Del Mar</t>
  </si>
  <si>
    <t>20-17</t>
  </si>
  <si>
    <t>17-20</t>
  </si>
  <si>
    <t>Dbn</t>
  </si>
  <si>
    <t>25-23</t>
  </si>
  <si>
    <t>23-25</t>
  </si>
  <si>
    <t>Penalty Tries: v Uru (19 Jl), RSA (27 Sp)</t>
  </si>
  <si>
    <r>
      <rPr>
        <b/>
        <sz val="11"/>
        <color rgb="FFFF0000"/>
        <rFont val="Calibri"/>
        <family val="2"/>
        <scheme val="minor"/>
      </rPr>
      <t xml:space="preserve">14 </t>
    </r>
    <r>
      <rPr>
        <b/>
        <sz val="11"/>
        <color theme="1"/>
        <rFont val="Calibri"/>
        <family val="2"/>
        <scheme val="minor"/>
      </rPr>
      <t>RSA v Arg (27 Sp)</t>
    </r>
  </si>
  <si>
    <t>Syd = Allianz Stadium, Sydney; Dbn = Hollywoodbets Kings Park, Durban</t>
  </si>
  <si>
    <t>4 Oc</t>
  </si>
  <si>
    <t>Pth</t>
  </si>
  <si>
    <t>9-17</t>
  </si>
  <si>
    <t>17-9</t>
  </si>
  <si>
    <t>Hooper, Ikitau, Jorgensen, Potter</t>
  </si>
  <si>
    <t>Dbn = Hollywoodbets Kings Park, Durban; Tw = Allianz Stadium, London</t>
  </si>
  <si>
    <t>Fassi, Marx, Moodie, Smith</t>
  </si>
  <si>
    <r>
      <rPr>
        <b/>
        <sz val="11"/>
        <color rgb="FFFF0000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 xml:space="preserve"> AUS v Arg (13 Sp), RSA v Arg (4 Oc)</t>
    </r>
  </si>
  <si>
    <t>Vivas (2), Carreras M, Carreras S</t>
  </si>
  <si>
    <t>25 Oc</t>
  </si>
  <si>
    <t>Tok</t>
  </si>
  <si>
    <t>Slc = America First Field, Salt Lake City; Tok = Natiional Stadium, Tokyo</t>
  </si>
  <si>
    <t>Morgan White (Hkg)</t>
  </si>
  <si>
    <t>Matt Rodden (Hkg)</t>
  </si>
  <si>
    <t>Wb</t>
  </si>
  <si>
    <t>Dvr = Dick's Sporting Goods Park, Denver; Mfl = Scottish Gas Murrayfield Stadium, Edinburgh</t>
  </si>
  <si>
    <t>Pth = Optus Stadium, Perth; Chi = Soldier Field, Chicago</t>
  </si>
  <si>
    <t>Bat</t>
  </si>
  <si>
    <t>Mba = Mbombela Stadium, Mbombela; Bat = Adjarabet Stadium, Batumi</t>
  </si>
  <si>
    <t>Slc = America First Field, Salt Lake City; Bht = Stadionul National Arcul de Triumf, Bucharest</t>
  </si>
  <si>
    <t>Tw = Allianz Stadium, London; Ud = Stadio Friuli, Udine; Dbl = Aviva Stadium, Dublin</t>
  </si>
  <si>
    <t>Tw = Allianz Stadium, London; Car = Principality Stadium, Cardiff</t>
  </si>
  <si>
    <t>Wb = Wembley Stadium, London; Prs = Stade de France, Paris; Tur = Allianz Stadium, Turin</t>
  </si>
  <si>
    <t>Bat = Adjarabet Stadium, Batumi; Bht = Stadionul National Arcul de Triumf, Bucharest</t>
  </si>
  <si>
    <t>Wb = Wembley Stadium, London; Dbl = Aviva Stadium, Dublin; Car = Principality Stadium, Cardiff</t>
  </si>
  <si>
    <t>HS = Hillary Shield (AN)</t>
  </si>
  <si>
    <t>AN = Autumn Nations Series; EM = Ella-Mobbs Trophy; LC = Lansdowne Cup (AN)</t>
  </si>
  <si>
    <t>LC</t>
  </si>
  <si>
    <t>Tw = Allianz Stadium, London; Bor = Stade Matmut-Atlantique, Bordeaux</t>
  </si>
  <si>
    <t>Tbl = Mikheil Meskhi Stadium, Tbilisi</t>
  </si>
  <si>
    <t>Lbn - Estadio Nacional, Lisbon; Bht = Stadionul National Arcul de Triumf, Bucharest</t>
  </si>
  <si>
    <t>Mal</t>
  </si>
  <si>
    <t>Cmb</t>
  </si>
  <si>
    <t>Lbn - Estadio Nacional, Lisbon; Cmb = Estadio Cidade, Coimbra</t>
  </si>
  <si>
    <t xml:space="preserve">Bat = Adjarabet Stadium, Batumi; Cmb = Estadio Cidade, Coimbra </t>
  </si>
  <si>
    <t>Dbl = Aviva Stadium, Dublin; Car = Principality Stadium, Cardiff</t>
  </si>
  <si>
    <t xml:space="preserve">Penalty Tries:  </t>
  </si>
  <si>
    <t>Prs = Stade de France, Paris</t>
  </si>
  <si>
    <t>VB = Vuvale Bowl; LS = Lions Series; RC = The Rugby Championship</t>
  </si>
  <si>
    <t>INT = International; TB = Trophee des Bicentenaires (AN)</t>
  </si>
  <si>
    <t>Vm = Estadio Sausalito, Vina Del Mar; Gen = Stadio Luigi Ferraris, Genoa</t>
  </si>
  <si>
    <t>INT = International; WCQ = World Cup Qualifier; AN = Autumn Nations Series</t>
  </si>
  <si>
    <t>PW</t>
  </si>
  <si>
    <t>Dbi</t>
  </si>
  <si>
    <t>Dbi = The Sevens Stadium, Dubai</t>
  </si>
  <si>
    <t>13 Nv</t>
  </si>
  <si>
    <t>18 Nv</t>
  </si>
  <si>
    <t>Dbi = The Sevens Stadium, Dubai; INT = Internationals; PNA = Pacific Nations Cup Group A;</t>
  </si>
  <si>
    <t>18 N</t>
  </si>
  <si>
    <t>Mal = La Rosaleda, Malaga</t>
  </si>
  <si>
    <t xml:space="preserve">Mal = La Rosaleda, Malaga; RE = Rugby Europe Championship; INT = International; </t>
  </si>
  <si>
    <t>Akl = Eden Park, Auckland; Pth = Optus Stadium, Perth; Tok = National Stadium, Tokyo</t>
  </si>
  <si>
    <t>Paris</t>
  </si>
  <si>
    <t>Edinburgh</t>
  </si>
  <si>
    <t>Dublin</t>
  </si>
  <si>
    <t>Rome</t>
  </si>
  <si>
    <t>London</t>
  </si>
  <si>
    <t>Cardiff</t>
  </si>
  <si>
    <t>26-0</t>
  </si>
  <si>
    <t>0-26</t>
  </si>
  <si>
    <t>0 powerplays</t>
  </si>
  <si>
    <t>Leo Colgan (Ire)</t>
  </si>
  <si>
    <t>0-45</t>
  </si>
  <si>
    <t>*20-minute Red card; Beirne's was subsequently rescinded</t>
  </si>
  <si>
    <t>16Nv</t>
  </si>
  <si>
    <t>23Nv</t>
  </si>
  <si>
    <t>17-0</t>
  </si>
  <si>
    <t>14 players</t>
  </si>
  <si>
    <t>13 players</t>
  </si>
  <si>
    <t>12 players</t>
  </si>
  <si>
    <t>11 players</t>
  </si>
  <si>
    <t>26-24</t>
  </si>
  <si>
    <t>Dan Jones (Eng)</t>
  </si>
  <si>
    <t>George Selwood (Eng)</t>
  </si>
  <si>
    <t>24-26</t>
  </si>
  <si>
    <t>Kevin Bralley (Fra)</t>
  </si>
  <si>
    <t>Evan Urruzmendi (Fra)</t>
  </si>
  <si>
    <t>5-3</t>
  </si>
  <si>
    <t>3-5</t>
  </si>
  <si>
    <t>Ben Breakspear (Wal)</t>
  </si>
  <si>
    <t>Aled Griffiths (Wal)</t>
  </si>
  <si>
    <t>Ben Connor (Wal)</t>
  </si>
  <si>
    <t>Olly Hodges (ire)</t>
  </si>
  <si>
    <t>12-9</t>
  </si>
  <si>
    <t>29-5</t>
  </si>
  <si>
    <t>Griffin Colby (RSA)</t>
  </si>
  <si>
    <t>3-17</t>
  </si>
  <si>
    <t>31-14</t>
  </si>
  <si>
    <t>17-3</t>
  </si>
  <si>
    <t>Filippo Russo (Ita)</t>
  </si>
  <si>
    <t>Hong Kong C</t>
  </si>
  <si>
    <t>Patrick Pechambert (Fra)</t>
  </si>
  <si>
    <t>Penalty Tries: v Ger (31 Ja), USA (15 Nv)</t>
  </si>
  <si>
    <t>8-16</t>
  </si>
  <si>
    <t>16-8</t>
  </si>
  <si>
    <t>10-3</t>
  </si>
  <si>
    <t>Cannone L</t>
  </si>
  <si>
    <t>PC</t>
  </si>
  <si>
    <t>RE = Rugby Europe Championship; INT = International; PC = Pershing Cup</t>
  </si>
  <si>
    <t>PN5 = Pacific Nations Cup 5th Place Play-off: AN = Autumn Nations Series; PC = Pershing Cup</t>
  </si>
  <si>
    <t>12-11</t>
  </si>
  <si>
    <t>Carter, Savea, Sititi, Taylor</t>
  </si>
  <si>
    <t>*Adams</t>
  </si>
  <si>
    <t>Hockings, Lawrence, Makisi, Uluiviti</t>
  </si>
  <si>
    <t>Stuart Terheege (Eng)</t>
  </si>
  <si>
    <t>Ravutaumada (2). Tuisova</t>
  </si>
  <si>
    <t>14-19</t>
  </si>
  <si>
    <t>0-14</t>
  </si>
  <si>
    <t>Mallia</t>
  </si>
  <si>
    <t>0 Pts conceded with fewer than 15 players in any 10-min Powerplay spell:</t>
  </si>
  <si>
    <t>10+ Points scored with fewer than 15 players:</t>
  </si>
  <si>
    <t>Kinghorn</t>
  </si>
  <si>
    <t>21-24</t>
  </si>
  <si>
    <t>Eoghan Cross (ire)</t>
  </si>
  <si>
    <t>3-6</t>
  </si>
  <si>
    <t>Saavedra C</t>
  </si>
  <si>
    <t>Penalty Tries: v Jpn (Nv 1), Ire (Nv 22)</t>
  </si>
  <si>
    <t>*Beirne, *Ryan</t>
  </si>
  <si>
    <t>van Staden, Williams</t>
  </si>
  <si>
    <t>Crowley, McCarthy, Porter, Prendergast</t>
  </si>
  <si>
    <t>Bielle-Biarrey, Lucu, Ramos</t>
  </si>
  <si>
    <t>*Paea</t>
  </si>
  <si>
    <t>Filimone, Inisi, Poloniati</t>
  </si>
  <si>
    <t>Coles, Earl, Pollock</t>
  </si>
  <si>
    <t>6-16</t>
  </si>
  <si>
    <t>16-6</t>
  </si>
  <si>
    <t>2500</t>
  </si>
  <si>
    <t>4500</t>
  </si>
  <si>
    <t>3850</t>
  </si>
  <si>
    <t>15-14</t>
  </si>
  <si>
    <t>14-15</t>
  </si>
  <si>
    <t>24-14</t>
  </si>
  <si>
    <t>19-19</t>
  </si>
  <si>
    <t>Frost, Hooper, Suaalii</t>
  </si>
  <si>
    <t>Evan Urruzmeddi (Fra)</t>
  </si>
  <si>
    <t>0-21</t>
  </si>
  <si>
    <t>Semisi Paea v Scotland was Tonga's first ever 20-minute Red card</t>
  </si>
  <si>
    <t>Plumtree (2), Thomas B, Thomas G, Wainwright, Williams</t>
  </si>
  <si>
    <r>
      <rPr>
        <b/>
        <sz val="11"/>
        <color rgb="FFFF0000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 xml:space="preserve"> SCO</t>
    </r>
    <r>
      <rPr>
        <sz val="11"/>
        <color theme="1"/>
        <rFont val="Calibri"/>
        <family val="2"/>
        <scheme val="minor"/>
      </rPr>
      <t xml:space="preserve"> v Nzl (8 Nv),</t>
    </r>
    <r>
      <rPr>
        <b/>
        <sz val="11"/>
        <color theme="1"/>
        <rFont val="Calibri"/>
        <family val="2"/>
        <scheme val="minor"/>
      </rPr>
      <t xml:space="preserve"> ITA </t>
    </r>
    <r>
      <rPr>
        <sz val="11"/>
        <color theme="1"/>
        <rFont val="Calibri"/>
        <family val="2"/>
        <scheme val="minor"/>
      </rPr>
      <t xml:space="preserve">v Aus (8 Nv), </t>
    </r>
    <r>
      <rPr>
        <b/>
        <sz val="11"/>
        <color theme="1"/>
        <rFont val="Calibri"/>
        <family val="2"/>
        <scheme val="minor"/>
      </rPr>
      <t>FRA</t>
    </r>
    <r>
      <rPr>
        <sz val="11"/>
        <color theme="1"/>
        <rFont val="Calibri"/>
        <family val="2"/>
        <scheme val="minor"/>
      </rPr>
      <t xml:space="preserve"> v Fij (15 Nv),</t>
    </r>
    <r>
      <rPr>
        <b/>
        <sz val="11"/>
        <color theme="1"/>
        <rFont val="Calibri"/>
        <family val="2"/>
        <scheme val="minor"/>
      </rPr>
      <t xml:space="preserve"> IRE </t>
    </r>
    <r>
      <rPr>
        <sz val="11"/>
        <color theme="1"/>
        <rFont val="Calibri"/>
        <family val="2"/>
        <scheme val="minor"/>
      </rPr>
      <t>v Aus (15 Nv),</t>
    </r>
    <r>
      <rPr>
        <b/>
        <sz val="11"/>
        <color theme="1"/>
        <rFont val="Calibri"/>
        <family val="2"/>
        <scheme val="minor"/>
      </rPr>
      <t xml:space="preserve"> RSA </t>
    </r>
    <r>
      <rPr>
        <sz val="11"/>
        <color theme="1"/>
        <rFont val="Calibri"/>
        <family val="2"/>
        <scheme val="minor"/>
      </rPr>
      <t>v Ire (22 Nv, against 12 &amp; 13 players),</t>
    </r>
    <r>
      <rPr>
        <b/>
        <sz val="11"/>
        <color theme="1"/>
        <rFont val="Calibri"/>
        <family val="2"/>
        <scheme val="minor"/>
      </rPr>
      <t xml:space="preserve"> FRA </t>
    </r>
    <r>
      <rPr>
        <sz val="11"/>
        <color theme="1"/>
        <rFont val="Calibri"/>
        <family val="2"/>
        <scheme val="minor"/>
      </rPr>
      <t xml:space="preserve">v Aus (22 Nv), </t>
    </r>
    <r>
      <rPr>
        <b/>
        <sz val="11"/>
        <color theme="1"/>
        <rFont val="Calibri"/>
        <family val="2"/>
        <scheme val="minor"/>
      </rPr>
      <t>SCO</t>
    </r>
    <r>
      <rPr>
        <sz val="11"/>
        <color theme="1"/>
        <rFont val="Calibri"/>
        <family val="2"/>
        <scheme val="minor"/>
      </rPr>
      <t xml:space="preserve"> v Tga x 2 (22 Nv),</t>
    </r>
    <r>
      <rPr>
        <b/>
        <sz val="11"/>
        <color theme="1"/>
        <rFont val="Calibri"/>
        <family val="2"/>
        <scheme val="minor"/>
      </rPr>
      <t xml:space="preserve"> RSA</t>
    </r>
    <r>
      <rPr>
        <sz val="11"/>
        <color theme="1"/>
        <rFont val="Calibri"/>
        <family val="2"/>
        <scheme val="minor"/>
      </rPr>
      <t xml:space="preserve"> v Wal (29 Nv)</t>
    </r>
  </si>
  <si>
    <r>
      <rPr>
        <b/>
        <sz val="11"/>
        <color rgb="FFFF0000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 xml:space="preserve"> ARG</t>
    </r>
    <r>
      <rPr>
        <sz val="11"/>
        <color theme="1"/>
        <rFont val="Calibri"/>
        <family val="2"/>
        <scheme val="minor"/>
      </rPr>
      <t xml:space="preserve"> v Sco (16 Nv), </t>
    </r>
    <r>
      <rPr>
        <b/>
        <sz val="11"/>
        <color theme="1"/>
        <rFont val="Calibri"/>
        <family val="2"/>
        <scheme val="minor"/>
      </rPr>
      <t>RSA</t>
    </r>
    <r>
      <rPr>
        <sz val="11"/>
        <color theme="1"/>
        <rFont val="Calibri"/>
        <family val="2"/>
        <scheme val="minor"/>
      </rPr>
      <t xml:space="preserve"> v Wal (29 Nv)</t>
    </r>
  </si>
  <si>
    <r>
      <rPr>
        <b/>
        <sz val="11"/>
        <color rgb="FFFF0000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ENG</t>
    </r>
    <r>
      <rPr>
        <sz val="11"/>
        <color theme="1"/>
        <rFont val="Calibri"/>
        <family val="2"/>
        <scheme val="minor"/>
      </rPr>
      <t xml:space="preserve"> v Fij (8 Nv), </t>
    </r>
    <r>
      <rPr>
        <b/>
        <sz val="11"/>
        <color theme="1"/>
        <rFont val="Calibri"/>
        <family val="2"/>
        <scheme val="minor"/>
      </rPr>
      <t>ARG</t>
    </r>
    <r>
      <rPr>
        <sz val="11"/>
        <color theme="1"/>
        <rFont val="Calibri"/>
        <family val="2"/>
        <scheme val="minor"/>
      </rPr>
      <t xml:space="preserve"> v Wal (9 Nv), J</t>
    </r>
    <r>
      <rPr>
        <b/>
        <sz val="11"/>
        <color theme="1"/>
        <rFont val="Calibri"/>
        <family val="2"/>
        <scheme val="minor"/>
      </rPr>
      <t>PN</t>
    </r>
    <r>
      <rPr>
        <sz val="11"/>
        <color theme="1"/>
        <rFont val="Calibri"/>
        <family val="2"/>
        <scheme val="minor"/>
      </rPr>
      <t xml:space="preserve"> v Wal (15 Nv)</t>
    </r>
  </si>
  <si>
    <r>
      <t>NZL</t>
    </r>
    <r>
      <rPr>
        <sz val="11"/>
        <color theme="1"/>
        <rFont val="Calibri"/>
        <family val="2"/>
        <scheme val="minor"/>
      </rPr>
      <t xml:space="preserve"> v Sco (8 Nv) </t>
    </r>
    <r>
      <rPr>
        <sz val="11"/>
        <color rgb="FFFF0000"/>
        <rFont val="Calibri"/>
        <family val="2"/>
        <scheme val="minor"/>
      </rPr>
      <t>x 2</t>
    </r>
  </si>
  <si>
    <r>
      <t>RSA</t>
    </r>
    <r>
      <rPr>
        <sz val="11"/>
        <color theme="1"/>
        <rFont val="Calibri"/>
        <family val="2"/>
        <scheme val="minor"/>
      </rPr>
      <t xml:space="preserve"> v Ita (15 Nv) </t>
    </r>
    <r>
      <rPr>
        <sz val="11"/>
        <color rgb="FFFF0000"/>
        <rFont val="Calibri"/>
        <family val="2"/>
        <scheme val="minor"/>
      </rPr>
      <t>x 3</t>
    </r>
  </si>
  <si>
    <r>
      <t>JPN</t>
    </r>
    <r>
      <rPr>
        <sz val="11"/>
        <color theme="1"/>
        <rFont val="Calibri"/>
        <family val="2"/>
        <scheme val="minor"/>
      </rPr>
      <t xml:space="preserve"> v Wal (15 Nv)</t>
    </r>
  </si>
  <si>
    <r>
      <t xml:space="preserve">TGA </t>
    </r>
    <r>
      <rPr>
        <sz val="11"/>
        <color theme="1"/>
        <rFont val="Calibri"/>
        <family val="2"/>
        <scheme val="minor"/>
      </rPr>
      <t xml:space="preserve">v Sco (22 Nv) </t>
    </r>
    <r>
      <rPr>
        <sz val="11"/>
        <color rgb="FFFF0000"/>
        <rFont val="Calibri"/>
        <family val="2"/>
        <scheme val="minor"/>
      </rPr>
      <t>x 2</t>
    </r>
  </si>
  <si>
    <r>
      <rPr>
        <b/>
        <sz val="11"/>
        <color rgb="FFFF0000"/>
        <rFont val="Calibri"/>
        <family val="2"/>
        <scheme val="minor"/>
      </rPr>
      <t>32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RSA</t>
    </r>
    <r>
      <rPr>
        <sz val="11"/>
        <color theme="1"/>
        <rFont val="Calibri"/>
        <family val="2"/>
        <scheme val="minor"/>
      </rPr>
      <t xml:space="preserve"> v Ita (15 Nv)</t>
    </r>
  </si>
  <si>
    <t>At end of Series</t>
  </si>
  <si>
    <t>de Jager, Etzebeth, Mostert</t>
  </si>
  <si>
    <t>v</t>
  </si>
  <si>
    <t>2026 SIX NATIONS</t>
  </si>
  <si>
    <t>5 Feb</t>
  </si>
  <si>
    <t>7 Feb</t>
  </si>
  <si>
    <t>14 Feb</t>
  </si>
  <si>
    <t>15 Feb</t>
  </si>
  <si>
    <t>21 Feb</t>
  </si>
  <si>
    <t>Lille</t>
  </si>
  <si>
    <t>6 Mar</t>
  </si>
  <si>
    <t>7 Mar</t>
  </si>
  <si>
    <t>14 Mar</t>
  </si>
  <si>
    <t>HALF-TIME</t>
  </si>
  <si>
    <t>TIME OF BP TRIES (MINS)</t>
  </si>
  <si>
    <t>LOSING BP LOST 71-80 MINS</t>
  </si>
  <si>
    <t>*20-minute Red Card</t>
  </si>
  <si>
    <t>0 Points scored in any 10-minute Powerplay period</t>
  </si>
  <si>
    <t>FRANCE IN 2026</t>
  </si>
  <si>
    <t>5 Fb</t>
  </si>
  <si>
    <t>Prs = Stade de France, Paris; Car = Principality Stadium, Cardiff</t>
  </si>
  <si>
    <t>Lle</t>
  </si>
  <si>
    <t>7 Mr</t>
  </si>
  <si>
    <t>14Mr</t>
  </si>
  <si>
    <t>14 Mr</t>
  </si>
  <si>
    <t>4 Jl</t>
  </si>
  <si>
    <t>tbc</t>
  </si>
  <si>
    <t>11 Jl</t>
  </si>
  <si>
    <t>NC</t>
  </si>
  <si>
    <t>6N = Six Nations; NC = Nations Championship</t>
  </si>
  <si>
    <t>NATIONS CHAMPS</t>
  </si>
  <si>
    <t>NCF</t>
  </si>
  <si>
    <t>tbc = To be confirmed</t>
  </si>
  <si>
    <t>21 Nv</t>
  </si>
  <si>
    <t>Tw = Allianz Stadium, London</t>
  </si>
  <si>
    <t>14 Fb</t>
  </si>
  <si>
    <t>21 Fb</t>
  </si>
  <si>
    <t>6 Mr</t>
  </si>
  <si>
    <t>Prs = Stade de France, Paris; Dbl = Aviva Stadium, Dublin; Tw = Allianz Stadium, London</t>
  </si>
  <si>
    <t>ENGLAND IN 2026</t>
  </si>
  <si>
    <t>7 Fb</t>
  </si>
  <si>
    <t>6N = Six Nations; INT = Test; NC = Nations Championship</t>
  </si>
  <si>
    <t>Tw = Allianz Stadium, London; Mfl = Scottish Gas Murrayfield, Edinburgh</t>
  </si>
  <si>
    <t>Rm = Stadio Olimpico, Rome; Prs = Stade de France, Paris</t>
  </si>
  <si>
    <t>WALES IN 2026</t>
  </si>
  <si>
    <t>Penalty Tries:</t>
  </si>
  <si>
    <t>NATIONS CHAMPIS</t>
  </si>
  <si>
    <t>Rm = Stadio Olimpico, Rome; Dbl = Aviva Stadium, Dublin</t>
  </si>
  <si>
    <t>ITALY IN 2026</t>
  </si>
  <si>
    <t>SCOTLAND IN 2026</t>
  </si>
  <si>
    <t>Rm = Stadio Olimpico, Rome; Mfl = Scottish Gas Murrayfield, Edinburgh;</t>
  </si>
  <si>
    <t>Car = Principality Stadium, Cardiff; Dbl = Aviva Stadium, Dublin;</t>
  </si>
  <si>
    <t>IRELAND IN 2026</t>
  </si>
  <si>
    <t>22-0</t>
  </si>
  <si>
    <t>INTERNATIONAL CHMPS</t>
  </si>
  <si>
    <t>NATIONS CHMPS</t>
  </si>
  <si>
    <t>TS</t>
  </si>
  <si>
    <t>Rd</t>
  </si>
  <si>
    <t>TRY TIMES</t>
  </si>
  <si>
    <t>Q1</t>
  </si>
  <si>
    <t>Q2</t>
  </si>
  <si>
    <t>H1</t>
  </si>
  <si>
    <t>Q3</t>
  </si>
  <si>
    <t>Q4</t>
  </si>
  <si>
    <t>H2</t>
  </si>
  <si>
    <t>FRA</t>
  </si>
  <si>
    <t>Ire</t>
  </si>
  <si>
    <t>Six Nations Round 1</t>
  </si>
  <si>
    <t>Stade de France, Paris</t>
  </si>
  <si>
    <t>james Doleman (Nzl)</t>
  </si>
  <si>
    <r>
      <rPr>
        <b/>
        <sz val="11"/>
        <color theme="1"/>
        <rFont val="Calibri"/>
        <family val="2"/>
        <scheme val="minor"/>
      </rPr>
      <t>ITA</t>
    </r>
    <r>
      <rPr>
        <sz val="11"/>
        <color theme="1"/>
        <rFont val="Calibri"/>
        <family val="2"/>
        <scheme val="minor"/>
      </rPr>
      <t xml:space="preserve"> v Sco (7 Fb)</t>
    </r>
  </si>
  <si>
    <t>Stadio Olimpico, Rome</t>
  </si>
  <si>
    <t>46m 32s</t>
  </si>
  <si>
    <t>Penalty Tries: v Wal (7 Fb)</t>
  </si>
  <si>
    <r>
      <rPr>
        <b/>
        <sz val="11"/>
        <color theme="1"/>
        <rFont val="Calibri"/>
        <family val="2"/>
        <scheme val="minor"/>
      </rPr>
      <t>ENG</t>
    </r>
    <r>
      <rPr>
        <sz val="11"/>
        <color theme="1"/>
        <rFont val="Calibri"/>
        <family val="2"/>
        <scheme val="minor"/>
      </rPr>
      <t xml:space="preserve"> v Wal (7 Fb)</t>
    </r>
  </si>
  <si>
    <t>35m 12s</t>
  </si>
  <si>
    <t>ENG</t>
  </si>
  <si>
    <t>7m 35s</t>
  </si>
  <si>
    <t>FASTEST TRIES (0-10 MINS)</t>
  </si>
  <si>
    <r>
      <rPr>
        <b/>
        <sz val="11"/>
        <color theme="1"/>
        <rFont val="Calibri"/>
        <family val="2"/>
        <scheme val="minor"/>
      </rPr>
      <t>ENG</t>
    </r>
    <r>
      <rPr>
        <sz val="11"/>
        <color theme="1"/>
        <rFont val="Calibri"/>
        <family val="2"/>
        <scheme val="minor"/>
      </rPr>
      <t xml:space="preserve"> (Arundell) v Wal, 7 Fb</t>
    </r>
  </si>
  <si>
    <t>7m 13s</t>
  </si>
  <si>
    <r>
      <rPr>
        <b/>
        <sz val="11"/>
        <color theme="1"/>
        <rFont val="Calibri"/>
        <family val="2"/>
        <scheme val="minor"/>
      </rPr>
      <t>ITA</t>
    </r>
    <r>
      <rPr>
        <sz val="11"/>
        <color theme="1"/>
        <rFont val="Calibri"/>
        <family val="2"/>
        <scheme val="minor"/>
      </rPr>
      <t xml:space="preserve"> (Lynagh) v Sco, 7 Fb</t>
    </r>
  </si>
  <si>
    <t>After Round 1 (7 Feb evening - 14 Feb morning)</t>
  </si>
  <si>
    <t>Allianz Stadium, London</t>
  </si>
  <si>
    <t>5-10</t>
  </si>
  <si>
    <t>10-5</t>
  </si>
  <si>
    <t>2026 NATIONS CHAMPIONSHIP</t>
  </si>
  <si>
    <t>After Round 1 (Jul 5 - Jul 10)</t>
  </si>
  <si>
    <t>After Round 2 (15 Feb evening - 21 Feb morning)</t>
  </si>
  <si>
    <t>Six Nations Round 2</t>
  </si>
  <si>
    <t>Aviva Stadium, Dublin</t>
  </si>
  <si>
    <t>Davidson became the first female referee in a Six Nations match on 14 Feb</t>
  </si>
  <si>
    <t>24-10</t>
  </si>
  <si>
    <t>10-24</t>
  </si>
  <si>
    <t>*Arundell</t>
  </si>
  <si>
    <r>
      <rPr>
        <b/>
        <sz val="11"/>
        <color theme="1"/>
        <rFont val="Calibri"/>
        <family val="2"/>
        <scheme val="minor"/>
      </rPr>
      <t>SCO</t>
    </r>
    <r>
      <rPr>
        <sz val="11"/>
        <color theme="1"/>
        <rFont val="Calibri"/>
        <family val="2"/>
        <scheme val="minor"/>
      </rPr>
      <t xml:space="preserve"> v Eng (14 Fb)</t>
    </r>
  </si>
  <si>
    <t>Tie-breakers: Points Difference; Tries Scored; If still cannot split, placed equally</t>
  </si>
  <si>
    <t>9m 42s</t>
  </si>
  <si>
    <r>
      <rPr>
        <b/>
        <sz val="11"/>
        <color theme="1"/>
        <rFont val="Calibri"/>
        <family val="2"/>
        <scheme val="minor"/>
      </rPr>
      <t>SCO</t>
    </r>
    <r>
      <rPr>
        <sz val="11"/>
        <color theme="1"/>
        <rFont val="Calibri"/>
        <family val="2"/>
        <scheme val="minor"/>
      </rPr>
      <t xml:space="preserve"> (Jones) v Eng, 14 Fb</t>
    </r>
  </si>
  <si>
    <t>52m 46s</t>
  </si>
  <si>
    <t>SCO</t>
  </si>
  <si>
    <t>Eng</t>
  </si>
  <si>
    <t>Scottish Gas Murrayfield, Edinburgh</t>
  </si>
  <si>
    <t>Crowd for France game lowest ever Six Nations attendance in Cardiff</t>
  </si>
  <si>
    <t>7-26</t>
  </si>
  <si>
    <t>26-7</t>
  </si>
  <si>
    <t>↑2</t>
  </si>
  <si>
    <t>↓1</t>
  </si>
  <si>
    <t>1m 29s</t>
  </si>
  <si>
    <r>
      <rPr>
        <b/>
        <sz val="11"/>
        <rFont val="Calibri"/>
        <family val="2"/>
        <scheme val="minor"/>
      </rPr>
      <t xml:space="preserve">FRA </t>
    </r>
    <r>
      <rPr>
        <sz val="11"/>
        <rFont val="Calibri"/>
        <family val="2"/>
        <scheme val="minor"/>
      </rPr>
      <t>(Gailleton) v Wal, 15 Fb</t>
    </r>
  </si>
  <si>
    <t>38m 19s</t>
  </si>
  <si>
    <t>Wal</t>
  </si>
  <si>
    <t>Principality Stadium, Cardiff</t>
  </si>
  <si>
    <t>Lle = Decathlon Arena Stade Pierre Mauroy, Lille; Car = Principality Stadium, Cardiff</t>
  </si>
  <si>
    <t>Lle = Decathlon Arena Stade Pierre Mauroy, Lille; Mfl = Scottish Gas Murrayfield, Edinburgh</t>
  </si>
  <si>
    <t>One New Zealand Stadium, Christchurch</t>
  </si>
  <si>
    <t>Allianz Stadium, Sydney</t>
  </si>
  <si>
    <t xml:space="preserve">Chichibunomiya Stadium, Tokyo </t>
  </si>
  <si>
    <t>Cardiff City Stadium, Cardiff</t>
  </si>
  <si>
    <t>Ellis Park, Johannesburg</t>
  </si>
  <si>
    <t>Estadio Mario Alberto Kempes, Cordoba</t>
  </si>
  <si>
    <t>Sky Stadium, Wellington</t>
  </si>
  <si>
    <t>Suncorp Stadium, Brisbane</t>
  </si>
  <si>
    <t>Hill Dickinson Stadium, Liverpool</t>
  </si>
  <si>
    <t>Loftus Versfeld, Pretoria</t>
  </si>
  <si>
    <t>Southern Hemisphere stadium tbc</t>
  </si>
  <si>
    <t>Estadio San Juan del Bicentenario, San Juan</t>
  </si>
  <si>
    <t>National Stadium, Tokyo</t>
  </si>
  <si>
    <t>Eden Park, Auckland</t>
  </si>
  <si>
    <t>HBF Park, Perth</t>
  </si>
  <si>
    <t>Estadio Unico Madre de Ciudades, Santiago del Estero</t>
  </si>
  <si>
    <t>NORTHERN HEMISPHERE POOL</t>
  </si>
  <si>
    <t>SOUTHERN HEMISPHERE POOL</t>
  </si>
  <si>
    <t>Round</t>
  </si>
  <si>
    <t>L Pts</t>
  </si>
  <si>
    <t>Saturday</t>
  </si>
  <si>
    <t>Jul</t>
  </si>
  <si>
    <t>Tot Pts</t>
  </si>
  <si>
    <t>If teams are level on points, tie-breakers are used in the following order:</t>
  </si>
  <si>
    <t>Try Bonus Points</t>
  </si>
  <si>
    <t>Tries Conceded</t>
  </si>
  <si>
    <t>Try Bonus Conc</t>
  </si>
  <si>
    <t>Rd-by-Rd</t>
  </si>
  <si>
    <t>TBC</t>
  </si>
  <si>
    <t>Round 1</t>
  </si>
  <si>
    <t>TIMES OF BONUS POINT TRIES (MINS)</t>
  </si>
  <si>
    <t xml:space="preserve">LGE = League Points </t>
  </si>
  <si>
    <t>At 03/07/26</t>
  </si>
  <si>
    <t>FINALS</t>
  </si>
  <si>
    <t>IRE</t>
  </si>
  <si>
    <t>ITA</t>
  </si>
  <si>
    <t>WAL</t>
  </si>
  <si>
    <t>Tbc</t>
  </si>
  <si>
    <t>Nov</t>
  </si>
  <si>
    <t>Friday</t>
  </si>
  <si>
    <t>Northern 6</t>
  </si>
  <si>
    <t>Northern 5</t>
  </si>
  <si>
    <t>Northern 4</t>
  </si>
  <si>
    <t>Northern 3</t>
  </si>
  <si>
    <t>Northern 2</t>
  </si>
  <si>
    <t>Northern 1</t>
  </si>
  <si>
    <t>Sunday</t>
  </si>
  <si>
    <t>Southern 6</t>
  </si>
  <si>
    <t>Southern 5</t>
  </si>
  <si>
    <t>Southern 4</t>
  </si>
  <si>
    <t>Southern 3</t>
  </si>
  <si>
    <t>Southern 2</t>
  </si>
  <si>
    <t>Southern 1</t>
  </si>
  <si>
    <t>Liv</t>
  </si>
  <si>
    <t xml:space="preserve">Sde = Estadio Unico Madre de Ciudades, Santiago del Estero </t>
  </si>
  <si>
    <t>Sde</t>
  </si>
  <si>
    <t>Game on 11 Jl a designated home game for Fiji within the Nations Championship</t>
  </si>
  <si>
    <t>7-22</t>
  </si>
  <si>
    <t>*Andrea Piardi (Ita)</t>
  </si>
  <si>
    <t>*Piardi suffered a knee injury in the first half &amp; was replaced by Pierre Brousset</t>
  </si>
  <si>
    <t>*Pierre Brousset (Fra)</t>
  </si>
  <si>
    <t>22-7</t>
  </si>
  <si>
    <t>Shyd = Allianz Stadium, Sydney; Akl = Eden Park, Auckland</t>
  </si>
  <si>
    <t>Casey, Osborne</t>
  </si>
  <si>
    <r>
      <rPr>
        <b/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ENG </t>
    </r>
    <r>
      <rPr>
        <sz val="11"/>
        <color theme="1"/>
        <rFont val="Calibri"/>
        <family val="2"/>
        <scheme val="minor"/>
      </rPr>
      <t>v Wal (7 Fb),</t>
    </r>
    <r>
      <rPr>
        <b/>
        <sz val="11"/>
        <color theme="1"/>
        <rFont val="Calibri"/>
        <family val="2"/>
        <scheme val="minor"/>
      </rPr>
      <t xml:space="preserve"> IRE</t>
    </r>
    <r>
      <rPr>
        <sz val="11"/>
        <color theme="1"/>
        <rFont val="Calibri"/>
        <family val="2"/>
        <scheme val="minor"/>
      </rPr>
      <t xml:space="preserve"> v Eng (21 Fb)</t>
    </r>
  </si>
  <si>
    <t>After Round 3 (22 Feb evening - 7 Mar afternoon)</t>
  </si>
  <si>
    <t>42m 21s</t>
  </si>
  <si>
    <t>Six Nations Round 3</t>
  </si>
  <si>
    <t>Ccy</t>
  </si>
  <si>
    <t>Dbl =m Aviav Stadium, Dublin; Ccy = Cardiff City Stadium</t>
  </si>
  <si>
    <t>Game on 4 Jl a designated home game for Fiji within the Nations Championship</t>
  </si>
  <si>
    <t>Sjn = Estadio San Juan del Bicentenario, San Juan; Dbn = Hollywoodbets Kings Park, Durban</t>
  </si>
  <si>
    <t>Hollywoodbets Kings Park, Durban</t>
  </si>
  <si>
    <t>17-5</t>
  </si>
  <si>
    <t>9m 06s</t>
  </si>
  <si>
    <r>
      <rPr>
        <b/>
        <sz val="11"/>
        <color theme="1"/>
        <rFont val="Calibri"/>
        <family val="2"/>
        <scheme val="minor"/>
      </rPr>
      <t xml:space="preserve">WAL </t>
    </r>
    <r>
      <rPr>
        <sz val="11"/>
        <color theme="1"/>
        <rFont val="Calibri"/>
        <family val="2"/>
        <scheme val="minor"/>
      </rPr>
      <t>(Carre) v Sco, 21 Fb</t>
    </r>
  </si>
  <si>
    <t>74m 06s</t>
  </si>
  <si>
    <t>19-8</t>
  </si>
  <si>
    <t>8-19</t>
  </si>
  <si>
    <t>Tky</t>
  </si>
  <si>
    <t>Tky = Chichibunomiya Stadium, Tokyo; Wl = Sky Stadium, Wellington</t>
  </si>
  <si>
    <t>Pth = HBF Park, Perth; Tw = Allianz Stadium, London</t>
  </si>
  <si>
    <t>Cc</t>
  </si>
  <si>
    <t>Cc = One New Zealand Stadium, Christchurch; Bb = Suncorp Stadium, Brisbane;</t>
  </si>
  <si>
    <t>Tok = National Stadium, Tokyo; Tw = Allianz Stadium, London</t>
  </si>
  <si>
    <t xml:space="preserve">Cor = Estadio Mario Alberto Kempes, Cordoba; Ptr = Loftus Versfeld, Pretoria; </t>
  </si>
  <si>
    <t>Cor</t>
  </si>
  <si>
    <t>Game on 18 Jl a designated home game for Fiji within the Nations Championship</t>
  </si>
  <si>
    <t>3m 06s</t>
  </si>
  <si>
    <r>
      <rPr>
        <b/>
        <sz val="11"/>
        <rFont val="Calibri"/>
        <family val="2"/>
        <scheme val="minor"/>
      </rPr>
      <t xml:space="preserve">FRA </t>
    </r>
    <r>
      <rPr>
        <sz val="11"/>
        <rFont val="Calibri"/>
        <family val="2"/>
        <scheme val="minor"/>
      </rPr>
      <t>(Bielle-Biarrey) v Ita, 22 Fb</t>
    </r>
  </si>
  <si>
    <t>71m 01s</t>
  </si>
  <si>
    <t>Ita</t>
  </si>
  <si>
    <t>Decathlon Arena Stade Pierre Mauroy, Lille</t>
  </si>
  <si>
    <t>Jbg = Ellis Park, Johannesburg; Liv = Hill Dickinson Stadium, Liverpool</t>
  </si>
  <si>
    <t>12-10</t>
  </si>
  <si>
    <t>10-12</t>
  </si>
  <si>
    <t>Hawkins, Lake, Plumtree, Smith, Thomas B, Williams</t>
  </si>
  <si>
    <t>at 13/03/26</t>
  </si>
  <si>
    <t>After Round 4 (6 Mar evening - 13 Mar morning)</t>
  </si>
  <si>
    <t>5m 23s</t>
  </si>
  <si>
    <r>
      <rPr>
        <b/>
        <sz val="11"/>
        <rFont val="Calibri"/>
        <family val="2"/>
        <scheme val="minor"/>
      </rPr>
      <t>IRE</t>
    </r>
    <r>
      <rPr>
        <sz val="11"/>
        <rFont val="Calibri"/>
        <family val="2"/>
        <scheme val="minor"/>
      </rPr>
      <t xml:space="preserve"> (Stockdale) v Wal, 6 Mr</t>
    </r>
  </si>
  <si>
    <t>67m 37s</t>
  </si>
  <si>
    <t>Six Nations Round 4</t>
  </si>
  <si>
    <t>as at 13/03/26</t>
  </si>
  <si>
    <t>14 Nv</t>
  </si>
  <si>
    <t>7 Nv</t>
  </si>
  <si>
    <t>6 Nv</t>
  </si>
  <si>
    <t>19-14</t>
  </si>
  <si>
    <t>Jalibert, Nouchi</t>
  </si>
  <si>
    <t>Bayliss, Turner</t>
  </si>
  <si>
    <r>
      <rPr>
        <b/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SCO </t>
    </r>
    <r>
      <rPr>
        <sz val="11"/>
        <color theme="1"/>
        <rFont val="Calibri"/>
        <family val="2"/>
        <scheme val="minor"/>
      </rPr>
      <t xml:space="preserve">v Eng (14 Fb), </t>
    </r>
    <r>
      <rPr>
        <b/>
        <sz val="11"/>
        <color theme="1"/>
        <rFont val="Calibri"/>
        <family val="2"/>
        <scheme val="minor"/>
      </rPr>
      <t>FRA</t>
    </r>
    <r>
      <rPr>
        <sz val="11"/>
        <color theme="1"/>
        <rFont val="Calibri"/>
        <family val="2"/>
        <scheme val="minor"/>
      </rPr>
      <t xml:space="preserve"> v Ita (22 Fb), </t>
    </r>
    <r>
      <rPr>
        <b/>
        <sz val="11"/>
        <color theme="1"/>
        <rFont val="Calibri"/>
        <family val="2"/>
        <scheme val="minor"/>
      </rPr>
      <t>SCO</t>
    </r>
    <r>
      <rPr>
        <sz val="11"/>
        <color theme="1"/>
        <rFont val="Calibri"/>
        <family val="2"/>
        <scheme val="minor"/>
      </rPr>
      <t xml:space="preserve"> v Fra (7 Mr), </t>
    </r>
    <r>
      <rPr>
        <b/>
        <sz val="11"/>
        <color theme="1"/>
        <rFont val="Calibri"/>
        <family val="2"/>
        <scheme val="minor"/>
      </rPr>
      <t>FRA</t>
    </r>
    <r>
      <rPr>
        <sz val="11"/>
        <color theme="1"/>
        <rFont val="Calibri"/>
        <family val="2"/>
        <scheme val="minor"/>
      </rPr>
      <t xml:space="preserve"> v Sco (7 Mr)</t>
    </r>
  </si>
  <si>
    <t>4m 40s</t>
  </si>
  <si>
    <r>
      <rPr>
        <b/>
        <sz val="11"/>
        <rFont val="Calibri"/>
        <family val="2"/>
        <scheme val="minor"/>
      </rPr>
      <t>SCO</t>
    </r>
    <r>
      <rPr>
        <sz val="11"/>
        <rFont val="Calibri"/>
        <family val="2"/>
        <scheme val="minor"/>
      </rPr>
      <t xml:space="preserve"> (Graham) v Fra, 7 Mr</t>
    </r>
  </si>
  <si>
    <t>43m 26s</t>
  </si>
  <si>
    <t>Fra</t>
  </si>
  <si>
    <t>74m 47s</t>
  </si>
  <si>
    <t>Sco</t>
  </si>
  <si>
    <t>Lynagh (2), Nicotera</t>
  </si>
  <si>
    <t>Itoje (2), Arundell, Curry T, Pollock, Steward, Underhill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</si>
</sst>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theme="3" tint="0.59999389629810485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9" tint="-0.249977111117893"/>
      <name val="Calibri"/>
      <family val="2"/>
      <scheme val="minor"/>
    </font>
    <font>
      <b/>
      <sz val="11"/>
      <color rgb="FF00843D"/>
      <name val="Calibri"/>
      <family val="2"/>
      <scheme val="minor"/>
    </font>
    <font>
      <sz val="11"/>
      <color rgb="FF00843D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00000"/>
      <name val="Calibri"/>
      <family val="2"/>
    </font>
    <font>
      <sz val="11"/>
      <color rgb="FF002060"/>
      <name val="Calibri"/>
      <family val="2"/>
      <scheme val="minor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60">
    <xf numFmtId="0" fontId="0" fillId="0" borderId="0" xfId="0"/>
    <xf numFmtId="0" fontId="23" fillId="4" borderId="2" xfId="0" applyFont="1" applyFill="1" applyBorder="1"/>
    <xf numFmtId="0" fontId="24" fillId="4" borderId="7" xfId="0" applyFont="1" applyFill="1" applyBorder="1"/>
    <xf numFmtId="49" fontId="24" fillId="4" borderId="7" xfId="0" applyNumberFormat="1" applyFont="1" applyFill="1" applyBorder="1"/>
    <xf numFmtId="0" fontId="24" fillId="4" borderId="8" xfId="0" applyFont="1" applyFill="1" applyBorder="1"/>
    <xf numFmtId="0" fontId="24" fillId="4" borderId="9" xfId="0" applyFont="1" applyFill="1" applyBorder="1"/>
    <xf numFmtId="0" fontId="23" fillId="4" borderId="1" xfId="0" applyFont="1" applyFill="1" applyBorder="1"/>
    <xf numFmtId="0" fontId="23" fillId="4" borderId="10" xfId="0" applyFont="1" applyFill="1" applyBorder="1" applyAlignment="1">
      <alignment vertical="center" wrapText="1"/>
    </xf>
    <xf numFmtId="0" fontId="23" fillId="4" borderId="5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vertical="center" wrapText="1"/>
    </xf>
    <xf numFmtId="0" fontId="23" fillId="3" borderId="0" xfId="0" applyFont="1" applyFill="1"/>
    <xf numFmtId="0" fontId="0" fillId="3" borderId="0" xfId="0" applyFill="1"/>
    <xf numFmtId="0" fontId="26" fillId="0" borderId="0" xfId="0" applyFont="1"/>
    <xf numFmtId="0" fontId="17" fillId="3" borderId="1" xfId="0" applyFont="1" applyFill="1" applyBorder="1"/>
    <xf numFmtId="0" fontId="17" fillId="3" borderId="5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0" fillId="3" borderId="7" xfId="0" applyFill="1" applyBorder="1"/>
    <xf numFmtId="49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23" fillId="4" borderId="11" xfId="0" applyFont="1" applyFill="1" applyBorder="1"/>
    <xf numFmtId="0" fontId="24" fillId="4" borderId="12" xfId="0" applyFont="1" applyFill="1" applyBorder="1"/>
    <xf numFmtId="0" fontId="23" fillId="7" borderId="1" xfId="0" applyFont="1" applyFill="1" applyBorder="1"/>
    <xf numFmtId="0" fontId="23" fillId="7" borderId="2" xfId="0" applyFont="1" applyFill="1" applyBorder="1"/>
    <xf numFmtId="0" fontId="23" fillId="7" borderId="11" xfId="0" applyFont="1" applyFill="1" applyBorder="1"/>
    <xf numFmtId="0" fontId="23" fillId="7" borderId="10" xfId="0" applyFont="1" applyFill="1" applyBorder="1" applyAlignment="1">
      <alignment vertical="center" wrapText="1"/>
    </xf>
    <xf numFmtId="0" fontId="23" fillId="7" borderId="5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4" fillId="7" borderId="7" xfId="0" applyFont="1" applyFill="1" applyBorder="1"/>
    <xf numFmtId="49" fontId="24" fillId="7" borderId="7" xfId="0" applyNumberFormat="1" applyFont="1" applyFill="1" applyBorder="1"/>
    <xf numFmtId="0" fontId="24" fillId="7" borderId="8" xfId="0" applyFont="1" applyFill="1" applyBorder="1"/>
    <xf numFmtId="0" fontId="24" fillId="7" borderId="12" xfId="0" applyFont="1" applyFill="1" applyBorder="1"/>
    <xf numFmtId="0" fontId="24" fillId="7" borderId="9" xfId="0" applyFont="1" applyFill="1" applyBorder="1"/>
    <xf numFmtId="0" fontId="23" fillId="11" borderId="1" xfId="0" applyFont="1" applyFill="1" applyBorder="1"/>
    <xf numFmtId="0" fontId="23" fillId="11" borderId="2" xfId="0" applyFont="1" applyFill="1" applyBorder="1"/>
    <xf numFmtId="0" fontId="23" fillId="11" borderId="11" xfId="0" applyFont="1" applyFill="1" applyBorder="1"/>
    <xf numFmtId="0" fontId="23" fillId="11" borderId="10" xfId="0" applyFont="1" applyFill="1" applyBorder="1" applyAlignment="1">
      <alignment vertical="center" wrapText="1"/>
    </xf>
    <xf numFmtId="0" fontId="23" fillId="11" borderId="5" xfId="0" applyFont="1" applyFill="1" applyBorder="1" applyAlignment="1">
      <alignment vertical="center" wrapText="1"/>
    </xf>
    <xf numFmtId="0" fontId="23" fillId="11" borderId="1" xfId="0" applyFont="1" applyFill="1" applyBorder="1" applyAlignment="1">
      <alignment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center" vertical="center" wrapText="1"/>
    </xf>
    <xf numFmtId="0" fontId="24" fillId="11" borderId="7" xfId="0" applyFont="1" applyFill="1" applyBorder="1"/>
    <xf numFmtId="49" fontId="24" fillId="11" borderId="7" xfId="0" applyNumberFormat="1" applyFont="1" applyFill="1" applyBorder="1"/>
    <xf numFmtId="0" fontId="24" fillId="11" borderId="8" xfId="0" applyFont="1" applyFill="1" applyBorder="1"/>
    <xf numFmtId="0" fontId="24" fillId="11" borderId="12" xfId="0" applyFont="1" applyFill="1" applyBorder="1"/>
    <xf numFmtId="0" fontId="24" fillId="11" borderId="9" xfId="0" applyFont="1" applyFill="1" applyBorder="1"/>
    <xf numFmtId="0" fontId="23" fillId="12" borderId="5" xfId="0" applyFont="1" applyFill="1" applyBorder="1" applyAlignment="1">
      <alignment vertical="center" wrapText="1"/>
    </xf>
    <xf numFmtId="0" fontId="29" fillId="6" borderId="1" xfId="0" applyFont="1" applyFill="1" applyBorder="1"/>
    <xf numFmtId="0" fontId="29" fillId="6" borderId="2" xfId="0" applyFont="1" applyFill="1" applyBorder="1"/>
    <xf numFmtId="0" fontId="29" fillId="6" borderId="11" xfId="0" applyFont="1" applyFill="1" applyBorder="1"/>
    <xf numFmtId="0" fontId="29" fillId="6" borderId="10" xfId="0" applyFont="1" applyFill="1" applyBorder="1" applyAlignment="1">
      <alignment vertical="center" wrapText="1"/>
    </xf>
    <xf numFmtId="0" fontId="29" fillId="6" borderId="5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30" fillId="6" borderId="7" xfId="0" applyFont="1" applyFill="1" applyBorder="1"/>
    <xf numFmtId="49" fontId="30" fillId="6" borderId="7" xfId="0" applyNumberFormat="1" applyFont="1" applyFill="1" applyBorder="1"/>
    <xf numFmtId="0" fontId="30" fillId="6" borderId="8" xfId="0" applyFont="1" applyFill="1" applyBorder="1"/>
    <xf numFmtId="0" fontId="30" fillId="6" borderId="12" xfId="0" applyFont="1" applyFill="1" applyBorder="1"/>
    <xf numFmtId="0" fontId="30" fillId="6" borderId="9" xfId="0" applyFont="1" applyFill="1" applyBorder="1"/>
    <xf numFmtId="0" fontId="27" fillId="2" borderId="1" xfId="0" applyFont="1" applyFill="1" applyBorder="1"/>
    <xf numFmtId="0" fontId="27" fillId="2" borderId="2" xfId="0" applyFont="1" applyFill="1" applyBorder="1"/>
    <xf numFmtId="0" fontId="27" fillId="2" borderId="10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/>
    <xf numFmtId="49" fontId="19" fillId="2" borderId="7" xfId="0" applyNumberFormat="1" applyFont="1" applyFill="1" applyBorder="1"/>
    <xf numFmtId="0" fontId="19" fillId="2" borderId="8" xfId="0" applyFont="1" applyFill="1" applyBorder="1"/>
    <xf numFmtId="0" fontId="23" fillId="10" borderId="1" xfId="0" applyFont="1" applyFill="1" applyBorder="1"/>
    <xf numFmtId="0" fontId="23" fillId="10" borderId="2" xfId="0" applyFont="1" applyFill="1" applyBorder="1"/>
    <xf numFmtId="0" fontId="23" fillId="10" borderId="11" xfId="0" applyFont="1" applyFill="1" applyBorder="1"/>
    <xf numFmtId="0" fontId="23" fillId="10" borderId="10" xfId="0" applyFont="1" applyFill="1" applyBorder="1" applyAlignment="1">
      <alignment vertical="center" wrapText="1"/>
    </xf>
    <xf numFmtId="0" fontId="23" fillId="10" borderId="5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24" fillId="10" borderId="7" xfId="0" applyFont="1" applyFill="1" applyBorder="1"/>
    <xf numFmtId="49" fontId="24" fillId="10" borderId="7" xfId="0" applyNumberFormat="1" applyFont="1" applyFill="1" applyBorder="1"/>
    <xf numFmtId="0" fontId="24" fillId="10" borderId="8" xfId="0" applyFont="1" applyFill="1" applyBorder="1"/>
    <xf numFmtId="0" fontId="24" fillId="10" borderId="12" xfId="0" applyFont="1" applyFill="1" applyBorder="1"/>
    <xf numFmtId="0" fontId="24" fillId="10" borderId="9" xfId="0" applyFont="1" applyFill="1" applyBorder="1"/>
    <xf numFmtId="0" fontId="20" fillId="12" borderId="10" xfId="0" applyFont="1" applyFill="1" applyBorder="1" applyAlignment="1">
      <alignment vertical="center" wrapText="1"/>
    </xf>
    <xf numFmtId="0" fontId="20" fillId="12" borderId="5" xfId="0" applyFont="1" applyFill="1" applyBorder="1" applyAlignment="1">
      <alignment vertical="center" wrapText="1"/>
    </xf>
    <xf numFmtId="0" fontId="20" fillId="12" borderId="1" xfId="0" applyFont="1" applyFill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1" fillId="12" borderId="7" xfId="0" applyFont="1" applyFill="1" applyBorder="1"/>
    <xf numFmtId="0" fontId="21" fillId="12" borderId="8" xfId="0" applyFont="1" applyFill="1" applyBorder="1"/>
    <xf numFmtId="0" fontId="21" fillId="12" borderId="9" xfId="0" applyFont="1" applyFill="1" applyBorder="1"/>
    <xf numFmtId="0" fontId="17" fillId="3" borderId="3" xfId="0" applyFont="1" applyFill="1" applyBorder="1" applyAlignment="1">
      <alignment horizontal="left" wrapText="1"/>
    </xf>
    <xf numFmtId="0" fontId="23" fillId="7" borderId="3" xfId="0" applyFont="1" applyFill="1" applyBorder="1" applyAlignment="1">
      <alignment horizontal="left" wrapText="1"/>
    </xf>
    <xf numFmtId="0" fontId="29" fillId="6" borderId="3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horizontal="left" wrapText="1"/>
    </xf>
    <xf numFmtId="0" fontId="23" fillId="10" borderId="3" xfId="0" applyFont="1" applyFill="1" applyBorder="1" applyAlignment="1">
      <alignment horizontal="left" wrapText="1"/>
    </xf>
    <xf numFmtId="0" fontId="23" fillId="11" borderId="3" xfId="0" applyFont="1" applyFill="1" applyBorder="1" applyAlignment="1">
      <alignment horizontal="left" wrapText="1"/>
    </xf>
    <xf numFmtId="0" fontId="20" fillId="12" borderId="3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left" wrapText="1"/>
    </xf>
    <xf numFmtId="0" fontId="23" fillId="4" borderId="3" xfId="0" applyFont="1" applyFill="1" applyBorder="1"/>
    <xf numFmtId="0" fontId="23" fillId="11" borderId="3" xfId="0" applyFont="1" applyFill="1" applyBorder="1"/>
    <xf numFmtId="0" fontId="29" fillId="6" borderId="3" xfId="0" applyFont="1" applyFill="1" applyBorder="1"/>
    <xf numFmtId="0" fontId="23" fillId="7" borderId="3" xfId="0" applyFont="1" applyFill="1" applyBorder="1"/>
    <xf numFmtId="0" fontId="0" fillId="3" borderId="1" xfId="0" applyFill="1" applyBorder="1"/>
    <xf numFmtId="0" fontId="19" fillId="2" borderId="1" xfId="0" applyFont="1" applyFill="1" applyBorder="1"/>
    <xf numFmtId="0" fontId="21" fillId="12" borderId="1" xfId="0" applyFont="1" applyFill="1" applyBorder="1"/>
    <xf numFmtId="0" fontId="0" fillId="0" borderId="4" xfId="0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right" vertical="center" wrapText="1"/>
    </xf>
    <xf numFmtId="0" fontId="17" fillId="3" borderId="6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1" fillId="3" borderId="6" xfId="0" applyFont="1" applyFill="1" applyBorder="1" applyAlignment="1">
      <alignment horizontal="right" vertical="center" wrapText="1"/>
    </xf>
    <xf numFmtId="1" fontId="20" fillId="3" borderId="0" xfId="0" applyNumberFormat="1" applyFont="1" applyFill="1" applyAlignment="1">
      <alignment horizontal="left" vertical="center" wrapText="1"/>
    </xf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right" vertical="center" wrapText="1"/>
    </xf>
    <xf numFmtId="0" fontId="23" fillId="4" borderId="6" xfId="0" applyFont="1" applyFill="1" applyBorder="1" applyAlignment="1">
      <alignment vertical="center" wrapText="1"/>
    </xf>
    <xf numFmtId="0" fontId="23" fillId="10" borderId="6" xfId="0" applyFont="1" applyFill="1" applyBorder="1" applyAlignment="1">
      <alignment vertical="center" wrapText="1"/>
    </xf>
    <xf numFmtId="0" fontId="23" fillId="7" borderId="6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17" fillId="17" borderId="1" xfId="0" applyFont="1" applyFill="1" applyBorder="1" applyAlignment="1">
      <alignment horizontal="right"/>
    </xf>
    <xf numFmtId="0" fontId="20" fillId="16" borderId="6" xfId="0" applyFont="1" applyFill="1" applyBorder="1" applyAlignment="1">
      <alignment vertical="center" wrapText="1"/>
    </xf>
    <xf numFmtId="0" fontId="20" fillId="16" borderId="1" xfId="0" applyFont="1" applyFill="1" applyBorder="1" applyAlignment="1">
      <alignment vertical="center" wrapText="1"/>
    </xf>
    <xf numFmtId="0" fontId="17" fillId="17" borderId="1" xfId="0" applyFont="1" applyFill="1" applyBorder="1"/>
    <xf numFmtId="0" fontId="17" fillId="15" borderId="5" xfId="0" applyFont="1" applyFill="1" applyBorder="1" applyAlignment="1">
      <alignment horizontal="right" vertical="center" wrapText="1"/>
    </xf>
    <xf numFmtId="0" fontId="20" fillId="15" borderId="5" xfId="0" applyFont="1" applyFill="1" applyBorder="1" applyAlignment="1">
      <alignment horizontal="right" vertical="center" wrapText="1"/>
    </xf>
    <xf numFmtId="0" fontId="20" fillId="15" borderId="5" xfId="0" applyFont="1" applyFill="1" applyBorder="1" applyAlignment="1">
      <alignment horizontal="left" vertical="center" wrapText="1"/>
    </xf>
    <xf numFmtId="0" fontId="17" fillId="15" borderId="5" xfId="0" applyFont="1" applyFill="1" applyBorder="1" applyAlignment="1">
      <alignment horizontal="left" vertical="center" wrapText="1"/>
    </xf>
    <xf numFmtId="0" fontId="20" fillId="16" borderId="6" xfId="0" applyFont="1" applyFill="1" applyBorder="1" applyAlignment="1">
      <alignment horizontal="right" vertical="center" wrapText="1"/>
    </xf>
    <xf numFmtId="0" fontId="20" fillId="16" borderId="1" xfId="0" applyFont="1" applyFill="1" applyBorder="1" applyAlignment="1">
      <alignment horizontal="righ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0" fillId="0" borderId="9" xfId="0" applyBorder="1"/>
    <xf numFmtId="0" fontId="17" fillId="0" borderId="0" xfId="0" applyFont="1"/>
    <xf numFmtId="0" fontId="17" fillId="8" borderId="7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0" fontId="17" fillId="8" borderId="1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17" fillId="0" borderId="11" xfId="0" applyFont="1" applyBorder="1"/>
    <xf numFmtId="0" fontId="17" fillId="0" borderId="4" xfId="0" applyFont="1" applyBorder="1"/>
    <xf numFmtId="0" fontId="17" fillId="0" borderId="14" xfId="0" applyFont="1" applyBorder="1"/>
    <xf numFmtId="0" fontId="17" fillId="5" borderId="1" xfId="0" applyFont="1" applyFill="1" applyBorder="1"/>
    <xf numFmtId="0" fontId="37" fillId="3" borderId="6" xfId="0" applyFont="1" applyFill="1" applyBorder="1" applyAlignment="1">
      <alignment vertical="center" wrapText="1"/>
    </xf>
    <xf numFmtId="0" fontId="37" fillId="3" borderId="5" xfId="0" applyFont="1" applyFill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4" xfId="0" applyFont="1" applyBorder="1" applyAlignment="1">
      <alignment horizontal="center" vertical="center" wrapText="1"/>
    </xf>
    <xf numFmtId="0" fontId="17" fillId="18" borderId="5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15" fontId="0" fillId="0" borderId="0" xfId="0" applyNumberFormat="1"/>
    <xf numFmtId="0" fontId="38" fillId="10" borderId="3" xfId="0" applyFont="1" applyFill="1" applyBorder="1" applyAlignment="1">
      <alignment horizontal="left" wrapText="1"/>
    </xf>
    <xf numFmtId="0" fontId="38" fillId="10" borderId="1" xfId="0" applyFont="1" applyFill="1" applyBorder="1"/>
    <xf numFmtId="0" fontId="38" fillId="10" borderId="2" xfId="0" applyFont="1" applyFill="1" applyBorder="1"/>
    <xf numFmtId="0" fontId="38" fillId="10" borderId="11" xfId="0" applyFont="1" applyFill="1" applyBorder="1"/>
    <xf numFmtId="0" fontId="38" fillId="10" borderId="3" xfId="0" applyFont="1" applyFill="1" applyBorder="1"/>
    <xf numFmtId="0" fontId="38" fillId="10" borderId="10" xfId="0" applyFont="1" applyFill="1" applyBorder="1" applyAlignment="1">
      <alignment vertical="center" wrapText="1"/>
    </xf>
    <xf numFmtId="0" fontId="38" fillId="10" borderId="5" xfId="0" applyFont="1" applyFill="1" applyBorder="1" applyAlignment="1">
      <alignment vertical="center" wrapText="1"/>
    </xf>
    <xf numFmtId="0" fontId="38" fillId="10" borderId="1" xfId="0" applyFont="1" applyFill="1" applyBorder="1" applyAlignment="1">
      <alignment vertical="center" wrapText="1"/>
    </xf>
    <xf numFmtId="0" fontId="38" fillId="10" borderId="1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9" fillId="10" borderId="7" xfId="0" applyFont="1" applyFill="1" applyBorder="1"/>
    <xf numFmtId="49" fontId="39" fillId="10" borderId="7" xfId="0" applyNumberFormat="1" applyFont="1" applyFill="1" applyBorder="1"/>
    <xf numFmtId="0" fontId="39" fillId="10" borderId="8" xfId="0" applyFont="1" applyFill="1" applyBorder="1"/>
    <xf numFmtId="0" fontId="39" fillId="10" borderId="1" xfId="0" applyFont="1" applyFill="1" applyBorder="1"/>
    <xf numFmtId="0" fontId="39" fillId="10" borderId="9" xfId="0" applyFont="1" applyFill="1" applyBorder="1"/>
    <xf numFmtId="0" fontId="40" fillId="3" borderId="0" xfId="0" applyFont="1" applyFill="1"/>
    <xf numFmtId="0" fontId="40" fillId="6" borderId="1" xfId="0" applyFont="1" applyFill="1" applyBorder="1" applyAlignment="1">
      <alignment horizontal="center" vertical="center" wrapText="1"/>
    </xf>
    <xf numFmtId="0" fontId="40" fillId="20" borderId="1" xfId="0" applyFont="1" applyFill="1" applyBorder="1" applyAlignment="1">
      <alignment horizontal="center" vertical="center" wrapText="1"/>
    </xf>
    <xf numFmtId="0" fontId="40" fillId="19" borderId="1" xfId="0" applyFont="1" applyFill="1" applyBorder="1" applyAlignment="1">
      <alignment horizontal="center" vertical="center" wrapText="1"/>
    </xf>
    <xf numFmtId="16" fontId="20" fillId="3" borderId="0" xfId="0" applyNumberFormat="1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42" fillId="0" borderId="0" xfId="0" applyFont="1"/>
    <xf numFmtId="0" fontId="41" fillId="3" borderId="0" xfId="0" applyFont="1" applyFill="1"/>
    <xf numFmtId="0" fontId="45" fillId="0" borderId="0" xfId="0" applyFont="1"/>
    <xf numFmtId="0" fontId="44" fillId="3" borderId="0" xfId="0" applyFont="1" applyFill="1"/>
    <xf numFmtId="49" fontId="21" fillId="12" borderId="7" xfId="0" applyNumberFormat="1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0" fontId="31" fillId="6" borderId="1" xfId="0" applyFont="1" applyFill="1" applyBorder="1" applyAlignment="1">
      <alignment horizontal="right"/>
    </xf>
    <xf numFmtId="0" fontId="23" fillId="11" borderId="1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15" fillId="0" borderId="0" xfId="0" applyNumberFormat="1" applyFont="1"/>
    <xf numFmtId="0" fontId="23" fillId="4" borderId="1" xfId="0" applyFont="1" applyFill="1" applyBorder="1" applyAlignment="1">
      <alignment horizontal="right"/>
    </xf>
    <xf numFmtId="0" fontId="23" fillId="10" borderId="1" xfId="0" applyFont="1" applyFill="1" applyBorder="1" applyAlignment="1">
      <alignment horizontal="right"/>
    </xf>
    <xf numFmtId="0" fontId="17" fillId="15" borderId="5" xfId="0" applyFont="1" applyFill="1" applyBorder="1"/>
    <xf numFmtId="0" fontId="35" fillId="18" borderId="6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7" fillId="3" borderId="0" xfId="0" applyFont="1" applyFill="1"/>
    <xf numFmtId="0" fontId="17" fillId="14" borderId="0" xfId="0" applyFont="1" applyFill="1"/>
    <xf numFmtId="0" fontId="17" fillId="21" borderId="0" xfId="0" applyFont="1" applyFill="1"/>
    <xf numFmtId="0" fontId="17" fillId="2" borderId="0" xfId="0" applyFont="1" applyFill="1"/>
    <xf numFmtId="0" fontId="0" fillId="2" borderId="0" xfId="0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21" fillId="2" borderId="0" xfId="0" applyFont="1" applyFill="1"/>
    <xf numFmtId="0" fontId="21" fillId="2" borderId="0" xfId="0" applyFont="1" applyFill="1" applyAlignment="1">
      <alignment vertical="center"/>
    </xf>
    <xf numFmtId="10" fontId="21" fillId="2" borderId="0" xfId="0" applyNumberFormat="1" applyFont="1" applyFill="1" applyAlignment="1">
      <alignment vertical="center"/>
    </xf>
    <xf numFmtId="0" fontId="17" fillId="0" borderId="1" xfId="0" applyFont="1" applyBorder="1" applyAlignment="1">
      <alignment vertical="center" wrapText="1"/>
    </xf>
    <xf numFmtId="0" fontId="36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36" fillId="0" borderId="6" xfId="0" applyFont="1" applyBorder="1" applyAlignment="1">
      <alignment horizontal="right" vertical="center" wrapText="1"/>
    </xf>
    <xf numFmtId="0" fontId="43" fillId="3" borderId="0" xfId="0" applyFont="1" applyFill="1"/>
    <xf numFmtId="0" fontId="23" fillId="7" borderId="0" xfId="0" applyFont="1" applyFill="1"/>
    <xf numFmtId="0" fontId="20" fillId="12" borderId="0" xfId="0" applyFont="1" applyFill="1"/>
    <xf numFmtId="0" fontId="21" fillId="0" borderId="0" xfId="0" applyFont="1"/>
    <xf numFmtId="0" fontId="47" fillId="10" borderId="0" xfId="0" applyFont="1" applyFill="1"/>
    <xf numFmtId="0" fontId="31" fillId="6" borderId="0" xfId="0" applyFont="1" applyFill="1"/>
    <xf numFmtId="0" fontId="28" fillId="13" borderId="0" xfId="0" applyFont="1" applyFill="1"/>
    <xf numFmtId="0" fontId="23" fillId="10" borderId="0" xfId="0" applyFont="1" applyFill="1"/>
    <xf numFmtId="0" fontId="23" fillId="11" borderId="0" xfId="0" applyFont="1" applyFill="1"/>
    <xf numFmtId="0" fontId="23" fillId="4" borderId="0" xfId="0" applyFont="1" applyFill="1"/>
    <xf numFmtId="0" fontId="24" fillId="0" borderId="0" xfId="0" applyFont="1"/>
    <xf numFmtId="0" fontId="23" fillId="6" borderId="4" xfId="0" applyFont="1" applyFill="1" applyBorder="1" applyAlignment="1">
      <alignment horizontal="center" vertical="center" wrapText="1"/>
    </xf>
    <xf numFmtId="0" fontId="23" fillId="20" borderId="4" xfId="0" applyFont="1" applyFill="1" applyBorder="1" applyAlignment="1">
      <alignment horizontal="center" vertical="center" wrapText="1"/>
    </xf>
    <xf numFmtId="0" fontId="23" fillId="19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38" fillId="10" borderId="1" xfId="0" applyFont="1" applyFill="1" applyBorder="1" applyAlignment="1">
      <alignment horizontal="right"/>
    </xf>
    <xf numFmtId="0" fontId="23" fillId="4" borderId="1" xfId="0" applyFont="1" applyFill="1" applyBorder="1" applyAlignment="1">
      <alignment horizontal="center"/>
    </xf>
    <xf numFmtId="0" fontId="23" fillId="11" borderId="1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/>
    </xf>
    <xf numFmtId="0" fontId="23" fillId="6" borderId="0" xfId="0" applyFont="1" applyFill="1"/>
    <xf numFmtId="0" fontId="24" fillId="6" borderId="0" xfId="0" applyFont="1" applyFill="1"/>
    <xf numFmtId="0" fontId="23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right" vertical="center"/>
    </xf>
    <xf numFmtId="0" fontId="24" fillId="6" borderId="0" xfId="0" applyFont="1" applyFill="1" applyAlignment="1">
      <alignment vertical="center"/>
    </xf>
    <xf numFmtId="10" fontId="24" fillId="6" borderId="0" xfId="0" applyNumberFormat="1" applyFont="1" applyFill="1" applyAlignment="1">
      <alignment vertical="center"/>
    </xf>
    <xf numFmtId="0" fontId="27" fillId="2" borderId="1" xfId="0" applyFont="1" applyFill="1" applyBorder="1" applyAlignment="1">
      <alignment horizontal="right"/>
    </xf>
    <xf numFmtId="0" fontId="23" fillId="19" borderId="1" xfId="0" applyFont="1" applyFill="1" applyBorder="1"/>
    <xf numFmtId="0" fontId="23" fillId="19" borderId="1" xfId="0" applyFont="1" applyFill="1" applyBorder="1" applyAlignment="1">
      <alignment horizontal="center" vertical="center" wrapText="1"/>
    </xf>
    <xf numFmtId="0" fontId="41" fillId="19" borderId="1" xfId="0" applyFont="1" applyFill="1" applyBorder="1"/>
    <xf numFmtId="0" fontId="40" fillId="19" borderId="1" xfId="0" applyFont="1" applyFill="1" applyBorder="1"/>
    <xf numFmtId="0" fontId="40" fillId="19" borderId="5" xfId="0" applyFont="1" applyFill="1" applyBorder="1"/>
    <xf numFmtId="0" fontId="14" fillId="0" borderId="0" xfId="0" applyFont="1"/>
    <xf numFmtId="0" fontId="17" fillId="18" borderId="5" xfId="0" applyFont="1" applyFill="1" applyBorder="1" applyAlignment="1">
      <alignment horizontal="right" vertical="center" wrapText="1"/>
    </xf>
    <xf numFmtId="0" fontId="23" fillId="13" borderId="3" xfId="0" applyFont="1" applyFill="1" applyBorder="1" applyAlignment="1">
      <alignment horizontal="left" wrapText="1"/>
    </xf>
    <xf numFmtId="0" fontId="23" fillId="13" borderId="1" xfId="0" applyFont="1" applyFill="1" applyBorder="1" applyAlignment="1">
      <alignment horizontal="center"/>
    </xf>
    <xf numFmtId="0" fontId="23" fillId="13" borderId="10" xfId="0" applyFont="1" applyFill="1" applyBorder="1" applyAlignment="1">
      <alignment vertical="center" wrapText="1"/>
    </xf>
    <xf numFmtId="0" fontId="23" fillId="13" borderId="5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 wrapText="1"/>
    </xf>
    <xf numFmtId="0" fontId="24" fillId="13" borderId="7" xfId="0" applyFont="1" applyFill="1" applyBorder="1"/>
    <xf numFmtId="49" fontId="24" fillId="13" borderId="7" xfId="0" applyNumberFormat="1" applyFont="1" applyFill="1" applyBorder="1"/>
    <xf numFmtId="0" fontId="24" fillId="13" borderId="8" xfId="0" applyFont="1" applyFill="1" applyBorder="1"/>
    <xf numFmtId="0" fontId="24" fillId="13" borderId="12" xfId="0" applyFont="1" applyFill="1" applyBorder="1"/>
    <xf numFmtId="0" fontId="24" fillId="13" borderId="9" xfId="0" applyFont="1" applyFill="1" applyBorder="1"/>
    <xf numFmtId="0" fontId="23" fillId="13" borderId="1" xfId="0" applyFont="1" applyFill="1" applyBorder="1" applyAlignment="1">
      <alignment horizontal="right"/>
    </xf>
    <xf numFmtId="1" fontId="23" fillId="19" borderId="4" xfId="0" applyNumberFormat="1" applyFont="1" applyFill="1" applyBorder="1" applyAlignment="1">
      <alignment horizontal="center" vertical="center" wrapText="1"/>
    </xf>
    <xf numFmtId="0" fontId="18" fillId="0" borderId="0" xfId="0" applyFont="1"/>
    <xf numFmtId="16" fontId="23" fillId="20" borderId="5" xfId="0" applyNumberFormat="1" applyFont="1" applyFill="1" applyBorder="1" applyAlignment="1">
      <alignment horizontal="left" vertical="center" wrapText="1"/>
    </xf>
    <xf numFmtId="0" fontId="23" fillId="20" borderId="6" xfId="0" applyFont="1" applyFill="1" applyBorder="1" applyAlignment="1">
      <alignment horizontal="left" vertical="center" wrapText="1"/>
    </xf>
    <xf numFmtId="0" fontId="23" fillId="20" borderId="6" xfId="0" applyFont="1" applyFill="1" applyBorder="1" applyAlignment="1">
      <alignment vertical="center" wrapText="1"/>
    </xf>
    <xf numFmtId="0" fontId="23" fillId="20" borderId="6" xfId="0" applyFont="1" applyFill="1" applyBorder="1" applyAlignment="1">
      <alignment horizontal="center" vertical="center" wrapText="1"/>
    </xf>
    <xf numFmtId="1" fontId="23" fillId="20" borderId="6" xfId="0" applyNumberFormat="1" applyFont="1" applyFill="1" applyBorder="1" applyAlignment="1">
      <alignment horizontal="center" vertical="center" wrapText="1"/>
    </xf>
    <xf numFmtId="0" fontId="24" fillId="20" borderId="1" xfId="0" applyFont="1" applyFill="1" applyBorder="1"/>
    <xf numFmtId="0" fontId="24" fillId="20" borderId="2" xfId="0" applyFont="1" applyFill="1" applyBorder="1"/>
    <xf numFmtId="0" fontId="24" fillId="20" borderId="3" xfId="0" applyFont="1" applyFill="1" applyBorder="1"/>
    <xf numFmtId="0" fontId="23" fillId="20" borderId="1" xfId="0" applyFont="1" applyFill="1" applyBorder="1"/>
    <xf numFmtId="0" fontId="24" fillId="20" borderId="7" xfId="0" applyFont="1" applyFill="1" applyBorder="1"/>
    <xf numFmtId="49" fontId="49" fillId="20" borderId="7" xfId="0" applyNumberFormat="1" applyFont="1" applyFill="1" applyBorder="1" applyAlignment="1">
      <alignment horizontal="center"/>
    </xf>
    <xf numFmtId="0" fontId="24" fillId="20" borderId="8" xfId="0" applyFont="1" applyFill="1" applyBorder="1"/>
    <xf numFmtId="0" fontId="24" fillId="20" borderId="9" xfId="0" applyFont="1" applyFill="1" applyBorder="1"/>
    <xf numFmtId="49" fontId="48" fillId="20" borderId="7" xfId="0" applyNumberFormat="1" applyFont="1" applyFill="1" applyBorder="1" applyAlignment="1">
      <alignment horizontal="center"/>
    </xf>
    <xf numFmtId="0" fontId="23" fillId="20" borderId="5" xfId="0" applyFont="1" applyFill="1" applyBorder="1" applyAlignment="1">
      <alignment vertical="center" wrapText="1"/>
    </xf>
    <xf numFmtId="0" fontId="23" fillId="20" borderId="1" xfId="0" applyFont="1" applyFill="1" applyBorder="1" applyAlignment="1">
      <alignment vertical="center" wrapText="1"/>
    </xf>
    <xf numFmtId="16" fontId="23" fillId="20" borderId="1" xfId="0" applyNumberFormat="1" applyFont="1" applyFill="1" applyBorder="1" applyAlignment="1">
      <alignment horizontal="left" vertical="center" wrapText="1"/>
    </xf>
    <xf numFmtId="0" fontId="23" fillId="20" borderId="1" xfId="0" applyFont="1" applyFill="1" applyBorder="1" applyAlignment="1">
      <alignment horizontal="center" vertical="center" wrapText="1"/>
    </xf>
    <xf numFmtId="49" fontId="48" fillId="20" borderId="1" xfId="0" applyNumberFormat="1" applyFont="1" applyFill="1" applyBorder="1" applyAlignment="1">
      <alignment horizontal="center"/>
    </xf>
    <xf numFmtId="0" fontId="24" fillId="20" borderId="4" xfId="0" applyFont="1" applyFill="1" applyBorder="1"/>
    <xf numFmtId="49" fontId="51" fillId="20" borderId="7" xfId="0" applyNumberFormat="1" applyFont="1" applyFill="1" applyBorder="1" applyAlignment="1">
      <alignment horizontal="center"/>
    </xf>
    <xf numFmtId="16" fontId="23" fillId="6" borderId="5" xfId="0" applyNumberFormat="1" applyFont="1" applyFill="1" applyBorder="1" applyAlignment="1">
      <alignment horizontal="left" vertical="center" wrapText="1"/>
    </xf>
    <xf numFmtId="0" fontId="23" fillId="6" borderId="6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4" fillId="6" borderId="7" xfId="0" applyFont="1" applyFill="1" applyBorder="1"/>
    <xf numFmtId="49" fontId="48" fillId="6" borderId="7" xfId="0" applyNumberFormat="1" applyFont="1" applyFill="1" applyBorder="1" applyAlignment="1">
      <alignment horizontal="center"/>
    </xf>
    <xf numFmtId="0" fontId="24" fillId="6" borderId="8" xfId="0" applyFont="1" applyFill="1" applyBorder="1"/>
    <xf numFmtId="0" fontId="24" fillId="6" borderId="1" xfId="0" applyFont="1" applyFill="1" applyBorder="1"/>
    <xf numFmtId="0" fontId="24" fillId="6" borderId="9" xfId="0" applyFont="1" applyFill="1" applyBorder="1"/>
    <xf numFmtId="49" fontId="48" fillId="6" borderId="1" xfId="0" applyNumberFormat="1" applyFont="1" applyFill="1" applyBorder="1" applyAlignment="1">
      <alignment horizontal="center"/>
    </xf>
    <xf numFmtId="0" fontId="24" fillId="6" borderId="2" xfId="0" applyFont="1" applyFill="1" applyBorder="1"/>
    <xf numFmtId="0" fontId="24" fillId="6" borderId="3" xfId="0" applyFont="1" applyFill="1" applyBorder="1"/>
    <xf numFmtId="0" fontId="23" fillId="6" borderId="6" xfId="0" applyFont="1" applyFill="1" applyBorder="1" applyAlignment="1">
      <alignment horizontal="left" vertical="center" wrapText="1"/>
    </xf>
    <xf numFmtId="1" fontId="23" fillId="6" borderId="6" xfId="0" applyNumberFormat="1" applyFont="1" applyFill="1" applyBorder="1" applyAlignment="1">
      <alignment horizontal="center" vertical="center" wrapText="1"/>
    </xf>
    <xf numFmtId="49" fontId="49" fillId="6" borderId="7" xfId="0" applyNumberFormat="1" applyFont="1" applyFill="1" applyBorder="1" applyAlignment="1">
      <alignment horizontal="center"/>
    </xf>
    <xf numFmtId="49" fontId="51" fillId="6" borderId="7" xfId="0" applyNumberFormat="1" applyFont="1" applyFill="1" applyBorder="1" applyAlignment="1">
      <alignment horizontal="center"/>
    </xf>
    <xf numFmtId="16" fontId="23" fillId="6" borderId="1" xfId="0" applyNumberFormat="1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6" borderId="4" xfId="0" applyFont="1" applyFill="1" applyBorder="1"/>
    <xf numFmtId="0" fontId="23" fillId="6" borderId="2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vertical="center" wrapText="1"/>
    </xf>
    <xf numFmtId="49" fontId="49" fillId="6" borderId="1" xfId="0" applyNumberFormat="1" applyFont="1" applyFill="1" applyBorder="1" applyAlignment="1">
      <alignment horizontal="center"/>
    </xf>
    <xf numFmtId="0" fontId="23" fillId="6" borderId="13" xfId="0" applyFont="1" applyFill="1" applyBorder="1"/>
    <xf numFmtId="0" fontId="23" fillId="20" borderId="16" xfId="0" applyFont="1" applyFill="1" applyBorder="1" applyAlignment="1">
      <alignment vertical="center" wrapText="1"/>
    </xf>
    <xf numFmtId="0" fontId="21" fillId="3" borderId="0" xfId="0" applyFont="1" applyFill="1"/>
    <xf numFmtId="0" fontId="23" fillId="19" borderId="6" xfId="0" applyFont="1" applyFill="1" applyBorder="1" applyAlignment="1">
      <alignment horizontal="center" vertical="center" wrapText="1"/>
    </xf>
    <xf numFmtId="0" fontId="23" fillId="19" borderId="4" xfId="0" applyFont="1" applyFill="1" applyBorder="1"/>
    <xf numFmtId="49" fontId="49" fillId="20" borderId="1" xfId="0" applyNumberFormat="1" applyFont="1" applyFill="1" applyBorder="1" applyAlignment="1">
      <alignment horizontal="center"/>
    </xf>
    <xf numFmtId="0" fontId="24" fillId="19" borderId="1" xfId="0" applyFont="1" applyFill="1" applyBorder="1"/>
    <xf numFmtId="16" fontId="23" fillId="19" borderId="5" xfId="0" applyNumberFormat="1" applyFont="1" applyFill="1" applyBorder="1" applyAlignment="1">
      <alignment horizontal="left" vertical="center" wrapText="1"/>
    </xf>
    <xf numFmtId="0" fontId="23" fillId="19" borderId="6" xfId="0" applyFont="1" applyFill="1" applyBorder="1" applyAlignment="1">
      <alignment vertical="center" wrapText="1"/>
    </xf>
    <xf numFmtId="0" fontId="24" fillId="19" borderId="7" xfId="0" applyFont="1" applyFill="1" applyBorder="1"/>
    <xf numFmtId="0" fontId="24" fillId="19" borderId="8" xfId="0" applyFont="1" applyFill="1" applyBorder="1"/>
    <xf numFmtId="0" fontId="24" fillId="19" borderId="9" xfId="0" applyFont="1" applyFill="1" applyBorder="1"/>
    <xf numFmtId="49" fontId="49" fillId="19" borderId="7" xfId="0" applyNumberFormat="1" applyFont="1" applyFill="1" applyBorder="1" applyAlignment="1">
      <alignment horizontal="center"/>
    </xf>
    <xf numFmtId="0" fontId="23" fillId="0" borderId="0" xfId="0" applyFont="1"/>
    <xf numFmtId="0" fontId="52" fillId="19" borderId="6" xfId="0" applyFont="1" applyFill="1" applyBorder="1" applyAlignment="1">
      <alignment horizontal="center" vertical="center" wrapText="1"/>
    </xf>
    <xf numFmtId="0" fontId="53" fillId="0" borderId="0" xfId="0" applyFont="1"/>
    <xf numFmtId="0" fontId="52" fillId="3" borderId="0" xfId="0" applyFont="1" applyFill="1"/>
    <xf numFmtId="0" fontId="52" fillId="19" borderId="5" xfId="0" applyFont="1" applyFill="1" applyBorder="1"/>
    <xf numFmtId="0" fontId="52" fillId="19" borderId="4" xfId="0" applyFont="1" applyFill="1" applyBorder="1" applyAlignment="1">
      <alignment horizontal="center" vertical="center" wrapText="1"/>
    </xf>
    <xf numFmtId="0" fontId="52" fillId="6" borderId="4" xfId="0" applyFont="1" applyFill="1" applyBorder="1" applyAlignment="1">
      <alignment horizontal="center" vertical="center" wrapText="1"/>
    </xf>
    <xf numFmtId="0" fontId="52" fillId="20" borderId="4" xfId="0" applyFont="1" applyFill="1" applyBorder="1" applyAlignment="1">
      <alignment horizontal="center" vertical="center" wrapText="1"/>
    </xf>
    <xf numFmtId="16" fontId="52" fillId="3" borderId="0" xfId="0" applyNumberFormat="1" applyFont="1" applyFill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2" fillId="19" borderId="1" xfId="0" applyFont="1" applyFill="1" applyBorder="1"/>
    <xf numFmtId="16" fontId="23" fillId="3" borderId="0" xfId="0" applyNumberFormat="1" applyFont="1" applyFill="1" applyAlignment="1">
      <alignment horizontal="left" vertical="center" wrapText="1"/>
    </xf>
    <xf numFmtId="0" fontId="52" fillId="19" borderId="5" xfId="0" applyFont="1" applyFill="1" applyBorder="1" applyAlignment="1">
      <alignment horizontal="center" vertical="center" wrapText="1"/>
    </xf>
    <xf numFmtId="0" fontId="52" fillId="6" borderId="6" xfId="0" applyFont="1" applyFill="1" applyBorder="1" applyAlignment="1">
      <alignment horizontal="center" vertical="center" wrapText="1"/>
    </xf>
    <xf numFmtId="0" fontId="52" fillId="20" borderId="6" xfId="0" applyFont="1" applyFill="1" applyBorder="1" applyAlignment="1">
      <alignment horizontal="center" vertical="center" wrapText="1"/>
    </xf>
    <xf numFmtId="0" fontId="52" fillId="0" borderId="0" xfId="0" applyFont="1"/>
    <xf numFmtId="16" fontId="23" fillId="19" borderId="1" xfId="0" applyNumberFormat="1" applyFont="1" applyFill="1" applyBorder="1" applyAlignment="1">
      <alignment horizontal="left" vertical="center" wrapText="1"/>
    </xf>
    <xf numFmtId="0" fontId="23" fillId="19" borderId="1" xfId="0" applyFont="1" applyFill="1" applyBorder="1" applyAlignment="1">
      <alignment vertical="center" wrapText="1"/>
    </xf>
    <xf numFmtId="49" fontId="49" fillId="19" borderId="1" xfId="0" applyNumberFormat="1" applyFont="1" applyFill="1" applyBorder="1" applyAlignment="1">
      <alignment horizontal="center"/>
    </xf>
    <xf numFmtId="0" fontId="33" fillId="0" borderId="0" xfId="0" applyFont="1"/>
    <xf numFmtId="0" fontId="23" fillId="6" borderId="5" xfId="0" applyFont="1" applyFill="1" applyBorder="1" applyAlignment="1">
      <alignment vertical="center" wrapText="1"/>
    </xf>
    <xf numFmtId="49" fontId="51" fillId="19" borderId="7" xfId="0" applyNumberFormat="1" applyFont="1" applyFill="1" applyBorder="1" applyAlignment="1">
      <alignment horizontal="center"/>
    </xf>
    <xf numFmtId="0" fontId="23" fillId="19" borderId="4" xfId="0" applyFont="1" applyFill="1" applyBorder="1" applyAlignment="1">
      <alignment horizontal="right" vertical="center" wrapText="1"/>
    </xf>
    <xf numFmtId="0" fontId="23" fillId="6" borderId="4" xfId="0" applyFont="1" applyFill="1" applyBorder="1" applyAlignment="1">
      <alignment horizontal="right" vertical="center" wrapText="1"/>
    </xf>
    <xf numFmtId="0" fontId="23" fillId="20" borderId="4" xfId="0" applyFont="1" applyFill="1" applyBorder="1" applyAlignment="1">
      <alignment horizontal="right" vertical="center" wrapText="1"/>
    </xf>
    <xf numFmtId="0" fontId="40" fillId="19" borderId="1" xfId="0" applyFont="1" applyFill="1" applyBorder="1" applyAlignment="1">
      <alignment horizontal="right" vertical="center" wrapText="1"/>
    </xf>
    <xf numFmtId="0" fontId="40" fillId="6" borderId="1" xfId="0" applyFont="1" applyFill="1" applyBorder="1" applyAlignment="1">
      <alignment horizontal="right" vertical="center" wrapText="1"/>
    </xf>
    <xf numFmtId="0" fontId="40" fillId="20" borderId="1" xfId="0" applyFont="1" applyFill="1" applyBorder="1" applyAlignment="1">
      <alignment horizontal="right" vertical="center" wrapText="1"/>
    </xf>
    <xf numFmtId="0" fontId="52" fillId="19" borderId="5" xfId="0" applyFont="1" applyFill="1" applyBorder="1" applyAlignment="1">
      <alignment horizontal="right" vertical="center" wrapText="1"/>
    </xf>
    <xf numFmtId="0" fontId="52" fillId="19" borderId="6" xfId="0" applyFont="1" applyFill="1" applyBorder="1" applyAlignment="1">
      <alignment horizontal="right" vertical="center" wrapText="1"/>
    </xf>
    <xf numFmtId="0" fontId="52" fillId="6" borderId="6" xfId="0" applyFont="1" applyFill="1" applyBorder="1" applyAlignment="1">
      <alignment horizontal="right" vertical="center" wrapText="1"/>
    </xf>
    <xf numFmtId="0" fontId="52" fillId="20" borderId="6" xfId="0" applyFont="1" applyFill="1" applyBorder="1" applyAlignment="1">
      <alignment horizontal="right" vertical="center" wrapText="1"/>
    </xf>
    <xf numFmtId="0" fontId="23" fillId="10" borderId="3" xfId="0" applyFont="1" applyFill="1" applyBorder="1"/>
    <xf numFmtId="16" fontId="0" fillId="0" borderId="0" xfId="0" applyNumberFormat="1"/>
    <xf numFmtId="49" fontId="24" fillId="20" borderId="7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1" fontId="13" fillId="0" borderId="0" xfId="0" applyNumberFormat="1" applyFont="1" applyAlignment="1">
      <alignment horizontal="right"/>
    </xf>
    <xf numFmtId="0" fontId="20" fillId="15" borderId="1" xfId="0" applyFont="1" applyFill="1" applyBorder="1" applyAlignment="1">
      <alignment horizontal="left" vertical="center" wrapText="1"/>
    </xf>
    <xf numFmtId="16" fontId="21" fillId="3" borderId="0" xfId="0" applyNumberFormat="1" applyFont="1" applyFill="1" applyAlignment="1">
      <alignment horizontal="left" vertical="center" wrapText="1"/>
    </xf>
    <xf numFmtId="16" fontId="23" fillId="6" borderId="10" xfId="0" applyNumberFormat="1" applyFont="1" applyFill="1" applyBorder="1" applyAlignment="1">
      <alignment horizontal="left" vertical="center" wrapText="1"/>
    </xf>
    <xf numFmtId="1" fontId="13" fillId="0" borderId="0" xfId="0" applyNumberFormat="1" applyFont="1"/>
    <xf numFmtId="49" fontId="50" fillId="20" borderId="7" xfId="0" applyNumberFormat="1" applyFont="1" applyFill="1" applyBorder="1" applyAlignment="1">
      <alignment horizontal="center"/>
    </xf>
    <xf numFmtId="0" fontId="41" fillId="19" borderId="6" xfId="0" applyFont="1" applyFill="1" applyBorder="1" applyAlignment="1">
      <alignment horizontal="center" vertical="center" wrapText="1"/>
    </xf>
    <xf numFmtId="0" fontId="42" fillId="19" borderId="1" xfId="0" applyFont="1" applyFill="1" applyBorder="1"/>
    <xf numFmtId="0" fontId="56" fillId="6" borderId="5" xfId="0" applyFont="1" applyFill="1" applyBorder="1" applyAlignment="1">
      <alignment vertical="center" wrapText="1"/>
    </xf>
    <xf numFmtId="0" fontId="25" fillId="8" borderId="5" xfId="0" applyFont="1" applyFill="1" applyBorder="1" applyAlignment="1">
      <alignment vertical="center" wrapText="1"/>
    </xf>
    <xf numFmtId="0" fontId="41" fillId="19" borderId="4" xfId="0" applyFont="1" applyFill="1" applyBorder="1" applyAlignment="1">
      <alignment horizontal="center"/>
    </xf>
    <xf numFmtId="0" fontId="23" fillId="19" borderId="6" xfId="0" applyFont="1" applyFill="1" applyBorder="1" applyAlignment="1">
      <alignment horizontal="left" vertical="center" wrapText="1"/>
    </xf>
    <xf numFmtId="49" fontId="48" fillId="19" borderId="7" xfId="0" applyNumberFormat="1" applyFont="1" applyFill="1" applyBorder="1" applyAlignment="1">
      <alignment horizontal="center"/>
    </xf>
    <xf numFmtId="0" fontId="23" fillId="19" borderId="1" xfId="0" applyFont="1" applyFill="1" applyBorder="1" applyAlignment="1">
      <alignment horizontal="left" vertical="center" wrapText="1"/>
    </xf>
    <xf numFmtId="0" fontId="23" fillId="19" borderId="16" xfId="0" applyFont="1" applyFill="1" applyBorder="1" applyAlignment="1">
      <alignment vertical="center" wrapText="1"/>
    </xf>
    <xf numFmtId="0" fontId="23" fillId="19" borderId="5" xfId="0" applyFont="1" applyFill="1" applyBorder="1" applyAlignment="1">
      <alignment vertical="center" wrapText="1"/>
    </xf>
    <xf numFmtId="0" fontId="0" fillId="6" borderId="0" xfId="0" applyFill="1"/>
    <xf numFmtId="0" fontId="0" fillId="20" borderId="0" xfId="0" applyFill="1"/>
    <xf numFmtId="0" fontId="0" fillId="19" borderId="0" xfId="0" applyFill="1"/>
    <xf numFmtId="0" fontId="24" fillId="6" borderId="0" xfId="0" applyFont="1" applyFill="1" applyAlignment="1">
      <alignment horizontal="right"/>
    </xf>
    <xf numFmtId="0" fontId="23" fillId="6" borderId="0" xfId="0" applyFont="1" applyFill="1" applyAlignment="1">
      <alignment horizontal="right"/>
    </xf>
    <xf numFmtId="2" fontId="17" fillId="0" borderId="18" xfId="0" applyNumberFormat="1" applyFont="1" applyBorder="1" applyAlignment="1">
      <alignment horizontal="right"/>
    </xf>
    <xf numFmtId="2" fontId="17" fillId="0" borderId="19" xfId="0" applyNumberFormat="1" applyFont="1" applyBorder="1" applyAlignment="1">
      <alignment horizontal="right"/>
    </xf>
    <xf numFmtId="0" fontId="23" fillId="6" borderId="1" xfId="0" applyFont="1" applyFill="1" applyBorder="1" applyAlignment="1">
      <alignment horizontal="right"/>
    </xf>
    <xf numFmtId="16" fontId="23" fillId="20" borderId="10" xfId="0" applyNumberFormat="1" applyFont="1" applyFill="1" applyBorder="1" applyAlignment="1">
      <alignment horizontal="left" vertical="center" wrapText="1"/>
    </xf>
    <xf numFmtId="0" fontId="37" fillId="7" borderId="3" xfId="0" applyFont="1" applyFill="1" applyBorder="1" applyAlignment="1">
      <alignment horizontal="left" wrapText="1"/>
    </xf>
    <xf numFmtId="0" fontId="37" fillId="7" borderId="1" xfId="0" applyFont="1" applyFill="1" applyBorder="1" applyAlignment="1">
      <alignment horizontal="center"/>
    </xf>
    <xf numFmtId="0" fontId="37" fillId="7" borderId="2" xfId="0" applyFont="1" applyFill="1" applyBorder="1"/>
    <xf numFmtId="0" fontId="37" fillId="7" borderId="1" xfId="0" applyFont="1" applyFill="1" applyBorder="1"/>
    <xf numFmtId="0" fontId="37" fillId="7" borderId="10" xfId="0" applyFont="1" applyFill="1" applyBorder="1" applyAlignment="1">
      <alignment vertical="center" wrapText="1"/>
    </xf>
    <xf numFmtId="0" fontId="37" fillId="7" borderId="5" xfId="0" applyFont="1" applyFill="1" applyBorder="1" applyAlignment="1">
      <alignment vertical="center" wrapText="1"/>
    </xf>
    <xf numFmtId="0" fontId="37" fillId="7" borderId="1" xfId="0" applyFont="1" applyFill="1" applyBorder="1" applyAlignment="1">
      <alignment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43" fillId="7" borderId="7" xfId="0" applyFont="1" applyFill="1" applyBorder="1"/>
    <xf numFmtId="49" fontId="43" fillId="7" borderId="7" xfId="0" applyNumberFormat="1" applyFont="1" applyFill="1" applyBorder="1"/>
    <xf numFmtId="0" fontId="43" fillId="7" borderId="8" xfId="0" applyFont="1" applyFill="1" applyBorder="1"/>
    <xf numFmtId="0" fontId="43" fillId="7" borderId="1" xfId="0" applyFont="1" applyFill="1" applyBorder="1"/>
    <xf numFmtId="0" fontId="37" fillId="7" borderId="1" xfId="0" applyFont="1" applyFill="1" applyBorder="1" applyAlignment="1">
      <alignment horizontal="right"/>
    </xf>
    <xf numFmtId="16" fontId="23" fillId="19" borderId="10" xfId="0" applyNumberFormat="1" applyFont="1" applyFill="1" applyBorder="1" applyAlignment="1">
      <alignment horizontal="left" vertical="center" wrapText="1"/>
    </xf>
    <xf numFmtId="0" fontId="23" fillId="12" borderId="6" xfId="0" applyFont="1" applyFill="1" applyBorder="1" applyAlignment="1">
      <alignment vertical="center" wrapText="1"/>
    </xf>
    <xf numFmtId="0" fontId="23" fillId="11" borderId="6" xfId="0" applyFont="1" applyFill="1" applyBorder="1" applyAlignment="1">
      <alignment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0" fontId="24" fillId="3" borderId="0" xfId="0" applyFont="1" applyFill="1"/>
    <xf numFmtId="0" fontId="23" fillId="3" borderId="0" xfId="0" applyFont="1" applyFill="1" applyAlignment="1">
      <alignment horizontal="right" vertical="center" wrapText="1"/>
    </xf>
    <xf numFmtId="49" fontId="23" fillId="6" borderId="7" xfId="0" applyNumberFormat="1" applyFont="1" applyFill="1" applyBorder="1" applyAlignment="1">
      <alignment horizontal="center"/>
    </xf>
    <xf numFmtId="0" fontId="58" fillId="0" borderId="0" xfId="0" applyFont="1"/>
    <xf numFmtId="0" fontId="57" fillId="3" borderId="0" xfId="0" applyFont="1" applyFill="1"/>
    <xf numFmtId="0" fontId="57" fillId="19" borderId="5" xfId="0" applyFont="1" applyFill="1" applyBorder="1"/>
    <xf numFmtId="0" fontId="59" fillId="19" borderId="6" xfId="0" applyFont="1" applyFill="1" applyBorder="1" applyAlignment="1">
      <alignment horizontal="center" vertical="center" wrapText="1"/>
    </xf>
    <xf numFmtId="0" fontId="60" fillId="0" borderId="0" xfId="0" applyFont="1"/>
    <xf numFmtId="0" fontId="59" fillId="3" borderId="0" xfId="0" applyFont="1" applyFill="1"/>
    <xf numFmtId="0" fontId="59" fillId="19" borderId="5" xfId="0" applyFont="1" applyFill="1" applyBorder="1"/>
    <xf numFmtId="0" fontId="59" fillId="19" borderId="5" xfId="0" applyFont="1" applyFill="1" applyBorder="1" applyAlignment="1">
      <alignment horizontal="center" vertical="center" wrapText="1"/>
    </xf>
    <xf numFmtId="0" fontId="59" fillId="6" borderId="6" xfId="0" applyFont="1" applyFill="1" applyBorder="1" applyAlignment="1">
      <alignment horizontal="center" vertical="center" wrapText="1"/>
    </xf>
    <xf numFmtId="0" fontId="59" fillId="20" borderId="6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vertical="center" wrapText="1"/>
    </xf>
    <xf numFmtId="0" fontId="47" fillId="4" borderId="3" xfId="0" applyFont="1" applyFill="1" applyBorder="1" applyAlignment="1">
      <alignment horizontal="left" wrapText="1"/>
    </xf>
    <xf numFmtId="0" fontId="47" fillId="4" borderId="1" xfId="0" applyFont="1" applyFill="1" applyBorder="1"/>
    <xf numFmtId="0" fontId="47" fillId="4" borderId="10" xfId="0" applyFont="1" applyFill="1" applyBorder="1" applyAlignment="1">
      <alignment vertical="center" wrapText="1"/>
    </xf>
    <xf numFmtId="0" fontId="47" fillId="4" borderId="5" xfId="0" applyFont="1" applyFill="1" applyBorder="1" applyAlignment="1">
      <alignment vertical="center" wrapText="1"/>
    </xf>
    <xf numFmtId="0" fontId="47" fillId="4" borderId="1" xfId="0" applyFont="1" applyFill="1" applyBorder="1" applyAlignment="1">
      <alignment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7" fillId="4" borderId="6" xfId="0" applyFont="1" applyFill="1" applyBorder="1" applyAlignment="1">
      <alignment horizontal="center" vertical="center" wrapText="1"/>
    </xf>
    <xf numFmtId="0" fontId="61" fillId="4" borderId="7" xfId="0" applyFont="1" applyFill="1" applyBorder="1"/>
    <xf numFmtId="49" fontId="61" fillId="4" borderId="7" xfId="0" applyNumberFormat="1" applyFont="1" applyFill="1" applyBorder="1"/>
    <xf numFmtId="0" fontId="61" fillId="4" borderId="8" xfId="0" applyFont="1" applyFill="1" applyBorder="1"/>
    <xf numFmtId="0" fontId="61" fillId="4" borderId="1" xfId="0" applyFont="1" applyFill="1" applyBorder="1"/>
    <xf numFmtId="0" fontId="61" fillId="4" borderId="9" xfId="0" applyFont="1" applyFill="1" applyBorder="1"/>
    <xf numFmtId="0" fontId="47" fillId="4" borderId="1" xfId="0" applyFont="1" applyFill="1" applyBorder="1" applyAlignment="1">
      <alignment horizontal="right"/>
    </xf>
    <xf numFmtId="49" fontId="23" fillId="3" borderId="0" xfId="0" applyNumberFormat="1" applyFont="1" applyFill="1" applyAlignment="1">
      <alignment horizontal="center"/>
    </xf>
    <xf numFmtId="0" fontId="52" fillId="19" borderId="6" xfId="0" applyFont="1" applyFill="1" applyBorder="1" applyAlignment="1">
      <alignment horizontal="center"/>
    </xf>
    <xf numFmtId="0" fontId="52" fillId="6" borderId="6" xfId="0" applyFont="1" applyFill="1" applyBorder="1" applyAlignment="1">
      <alignment horizontal="center"/>
    </xf>
    <xf numFmtId="0" fontId="52" fillId="20" borderId="6" xfId="0" applyFont="1" applyFill="1" applyBorder="1" applyAlignment="1">
      <alignment horizontal="center"/>
    </xf>
    <xf numFmtId="0" fontId="21" fillId="2" borderId="0" xfId="0" applyFont="1" applyFill="1" applyAlignment="1">
      <alignment horizontal="right" vertical="center"/>
    </xf>
    <xf numFmtId="0" fontId="57" fillId="3" borderId="0" xfId="0" applyFont="1" applyFill="1" applyAlignment="1">
      <alignment horizontal="left" vertical="center" wrapText="1"/>
    </xf>
    <xf numFmtId="0" fontId="57" fillId="19" borderId="5" xfId="0" applyFont="1" applyFill="1" applyBorder="1" applyAlignment="1">
      <alignment horizontal="center" vertical="center" wrapText="1"/>
    </xf>
    <xf numFmtId="0" fontId="42" fillId="3" borderId="8" xfId="0" applyFont="1" applyFill="1" applyBorder="1"/>
    <xf numFmtId="0" fontId="42" fillId="3" borderId="20" xfId="0" applyFont="1" applyFill="1" applyBorder="1"/>
    <xf numFmtId="49" fontId="55" fillId="3" borderId="9" xfId="0" applyNumberFormat="1" applyFont="1" applyFill="1" applyBorder="1" applyAlignment="1">
      <alignment horizontal="center"/>
    </xf>
    <xf numFmtId="0" fontId="42" fillId="3" borderId="9" xfId="0" applyFont="1" applyFill="1" applyBorder="1"/>
    <xf numFmtId="49" fontId="51" fillId="20" borderId="1" xfId="0" applyNumberFormat="1" applyFont="1" applyFill="1" applyBorder="1" applyAlignment="1">
      <alignment horizontal="center"/>
    </xf>
    <xf numFmtId="0" fontId="27" fillId="2" borderId="0" xfId="0" applyFont="1" applyFill="1"/>
    <xf numFmtId="0" fontId="24" fillId="10" borderId="0" xfId="0" applyFont="1" applyFill="1"/>
    <xf numFmtId="0" fontId="23" fillId="10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right" vertical="center"/>
    </xf>
    <xf numFmtId="0" fontId="24" fillId="10" borderId="0" xfId="0" applyFont="1" applyFill="1" applyAlignment="1">
      <alignment vertical="center"/>
    </xf>
    <xf numFmtId="10" fontId="24" fillId="10" borderId="0" xfId="0" applyNumberFormat="1" applyFont="1" applyFill="1" applyAlignment="1">
      <alignment vertical="center"/>
    </xf>
    <xf numFmtId="1" fontId="23" fillId="10" borderId="0" xfId="0" applyNumberFormat="1" applyFont="1" applyFill="1"/>
    <xf numFmtId="0" fontId="23" fillId="10" borderId="0" xfId="0" applyFont="1" applyFill="1" applyAlignment="1">
      <alignment horizontal="right"/>
    </xf>
    <xf numFmtId="0" fontId="0" fillId="10" borderId="0" xfId="0" applyFill="1"/>
    <xf numFmtId="0" fontId="43" fillId="7" borderId="0" xfId="0" applyFont="1" applyFill="1"/>
    <xf numFmtId="0" fontId="37" fillId="7" borderId="0" xfId="0" applyFont="1" applyFill="1"/>
    <xf numFmtId="0" fontId="34" fillId="0" borderId="1" xfId="0" applyFont="1" applyBorder="1" applyAlignment="1">
      <alignment vertical="center" wrapText="1"/>
    </xf>
    <xf numFmtId="0" fontId="35" fillId="0" borderId="4" xfId="0" applyFont="1" applyBorder="1" applyAlignment="1">
      <alignment horizontal="right" vertical="center" wrapText="1"/>
    </xf>
    <xf numFmtId="0" fontId="34" fillId="0" borderId="5" xfId="0" applyFont="1" applyBorder="1" applyAlignment="1">
      <alignment vertical="center" wrapText="1"/>
    </xf>
    <xf numFmtId="0" fontId="35" fillId="0" borderId="6" xfId="0" applyFont="1" applyBorder="1" applyAlignment="1">
      <alignment horizontal="right" vertical="center" wrapText="1"/>
    </xf>
    <xf numFmtId="0" fontId="43" fillId="10" borderId="0" xfId="0" applyFont="1" applyFill="1"/>
    <xf numFmtId="0" fontId="23" fillId="22" borderId="3" xfId="0" applyFont="1" applyFill="1" applyBorder="1" applyAlignment="1">
      <alignment horizontal="left" wrapText="1"/>
    </xf>
    <xf numFmtId="0" fontId="23" fillId="22" borderId="1" xfId="0" applyFont="1" applyFill="1" applyBorder="1" applyAlignment="1">
      <alignment horizontal="center"/>
    </xf>
    <xf numFmtId="0" fontId="23" fillId="22" borderId="2" xfId="0" applyFont="1" applyFill="1" applyBorder="1"/>
    <xf numFmtId="0" fontId="23" fillId="22" borderId="1" xfId="0" applyFont="1" applyFill="1" applyBorder="1"/>
    <xf numFmtId="0" fontId="23" fillId="22" borderId="10" xfId="0" applyFont="1" applyFill="1" applyBorder="1" applyAlignment="1">
      <alignment vertical="center" wrapText="1"/>
    </xf>
    <xf numFmtId="0" fontId="23" fillId="22" borderId="5" xfId="0" applyFont="1" applyFill="1" applyBorder="1" applyAlignment="1">
      <alignment vertical="center" wrapText="1"/>
    </xf>
    <xf numFmtId="0" fontId="23" fillId="22" borderId="1" xfId="0" applyFont="1" applyFill="1" applyBorder="1" applyAlignment="1">
      <alignment vertical="center" wrapText="1"/>
    </xf>
    <xf numFmtId="0" fontId="23" fillId="22" borderId="1" xfId="0" applyFont="1" applyFill="1" applyBorder="1" applyAlignment="1">
      <alignment horizontal="center" vertical="center" wrapText="1"/>
    </xf>
    <xf numFmtId="0" fontId="23" fillId="22" borderId="6" xfId="0" applyFont="1" applyFill="1" applyBorder="1" applyAlignment="1">
      <alignment horizontal="center" vertical="center" wrapText="1"/>
    </xf>
    <xf numFmtId="0" fontId="24" fillId="22" borderId="7" xfId="0" applyFont="1" applyFill="1" applyBorder="1"/>
    <xf numFmtId="49" fontId="24" fillId="22" borderId="7" xfId="0" applyNumberFormat="1" applyFont="1" applyFill="1" applyBorder="1"/>
    <xf numFmtId="0" fontId="24" fillId="22" borderId="1" xfId="0" applyFont="1" applyFill="1" applyBorder="1"/>
    <xf numFmtId="0" fontId="23" fillId="22" borderId="1" xfId="0" applyFont="1" applyFill="1" applyBorder="1" applyAlignment="1">
      <alignment horizontal="right"/>
    </xf>
    <xf numFmtId="0" fontId="23" fillId="22" borderId="0" xfId="0" applyFont="1" applyFill="1"/>
    <xf numFmtId="49" fontId="50" fillId="6" borderId="1" xfId="0" applyNumberFormat="1" applyFont="1" applyFill="1" applyBorder="1" applyAlignment="1">
      <alignment horizontal="center"/>
    </xf>
    <xf numFmtId="0" fontId="40" fillId="19" borderId="5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3" fillId="23" borderId="3" xfId="0" applyFont="1" applyFill="1" applyBorder="1" applyAlignment="1">
      <alignment horizontal="left" wrapText="1"/>
    </xf>
    <xf numFmtId="0" fontId="23" fillId="23" borderId="1" xfId="0" applyFont="1" applyFill="1" applyBorder="1" applyAlignment="1">
      <alignment horizontal="center"/>
    </xf>
    <xf numFmtId="0" fontId="23" fillId="23" borderId="2" xfId="0" applyFont="1" applyFill="1" applyBorder="1"/>
    <xf numFmtId="0" fontId="23" fillId="23" borderId="1" xfId="0" applyFont="1" applyFill="1" applyBorder="1"/>
    <xf numFmtId="0" fontId="23" fillId="23" borderId="11" xfId="0" applyFont="1" applyFill="1" applyBorder="1"/>
    <xf numFmtId="0" fontId="23" fillId="23" borderId="3" xfId="0" applyFont="1" applyFill="1" applyBorder="1"/>
    <xf numFmtId="0" fontId="23" fillId="23" borderId="10" xfId="0" applyFont="1" applyFill="1" applyBorder="1" applyAlignment="1">
      <alignment vertical="center" wrapText="1"/>
    </xf>
    <xf numFmtId="0" fontId="23" fillId="23" borderId="5" xfId="0" applyFont="1" applyFill="1" applyBorder="1" applyAlignment="1">
      <alignment vertical="center" wrapText="1"/>
    </xf>
    <xf numFmtId="0" fontId="23" fillId="23" borderId="1" xfId="0" applyFont="1" applyFill="1" applyBorder="1" applyAlignment="1">
      <alignment vertical="center" wrapText="1"/>
    </xf>
    <xf numFmtId="0" fontId="23" fillId="23" borderId="1" xfId="0" applyFont="1" applyFill="1" applyBorder="1" applyAlignment="1">
      <alignment horizontal="center" vertical="center" wrapText="1"/>
    </xf>
    <xf numFmtId="0" fontId="23" fillId="23" borderId="6" xfId="0" applyFont="1" applyFill="1" applyBorder="1" applyAlignment="1">
      <alignment horizontal="center" vertical="center" wrapText="1"/>
    </xf>
    <xf numFmtId="0" fontId="24" fillId="23" borderId="7" xfId="0" applyFont="1" applyFill="1" applyBorder="1"/>
    <xf numFmtId="49" fontId="24" fillId="23" borderId="7" xfId="0" applyNumberFormat="1" applyFont="1" applyFill="1" applyBorder="1" applyAlignment="1">
      <alignment horizontal="center"/>
    </xf>
    <xf numFmtId="0" fontId="24" fillId="23" borderId="8" xfId="0" applyFont="1" applyFill="1" applyBorder="1"/>
    <xf numFmtId="0" fontId="24" fillId="23" borderId="12" xfId="0" applyFont="1" applyFill="1" applyBorder="1"/>
    <xf numFmtId="0" fontId="24" fillId="23" borderId="9" xfId="0" applyFont="1" applyFill="1" applyBorder="1"/>
    <xf numFmtId="0" fontId="23" fillId="23" borderId="1" xfId="0" applyFont="1" applyFill="1" applyBorder="1" applyAlignment="1">
      <alignment horizontal="right"/>
    </xf>
    <xf numFmtId="0" fontId="23" fillId="23" borderId="0" xfId="0" applyFont="1" applyFill="1"/>
    <xf numFmtId="0" fontId="23" fillId="20" borderId="1" xfId="0" applyFont="1" applyFill="1" applyBorder="1" applyAlignment="1">
      <alignment horizontal="left" vertical="center" wrapText="1"/>
    </xf>
    <xf numFmtId="0" fontId="37" fillId="3" borderId="4" xfId="0" applyFont="1" applyFill="1" applyBorder="1" applyAlignment="1">
      <alignment horizontal="left" wrapText="1"/>
    </xf>
    <xf numFmtId="0" fontId="37" fillId="3" borderId="1" xfId="0" applyFont="1" applyFill="1" applyBorder="1" applyAlignment="1">
      <alignment horizontal="center"/>
    </xf>
    <xf numFmtId="0" fontId="37" fillId="3" borderId="1" xfId="0" applyFont="1" applyFill="1" applyBorder="1"/>
    <xf numFmtId="0" fontId="37" fillId="3" borderId="10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7" xfId="0" applyFont="1" applyFill="1" applyBorder="1"/>
    <xf numFmtId="49" fontId="37" fillId="3" borderId="7" xfId="0" applyNumberFormat="1" applyFont="1" applyFill="1" applyBorder="1"/>
    <xf numFmtId="0" fontId="37" fillId="3" borderId="8" xfId="0" applyFont="1" applyFill="1" applyBorder="1"/>
    <xf numFmtId="0" fontId="37" fillId="3" borderId="9" xfId="0" applyFont="1" applyFill="1" applyBorder="1"/>
    <xf numFmtId="0" fontId="37" fillId="3" borderId="1" xfId="0" applyFont="1" applyFill="1" applyBorder="1" applyAlignment="1">
      <alignment horizontal="right"/>
    </xf>
    <xf numFmtId="0" fontId="37" fillId="3" borderId="0" xfId="0" applyFont="1" applyFill="1"/>
    <xf numFmtId="0" fontId="23" fillId="6" borderId="16" xfId="0" applyFont="1" applyFill="1" applyBorder="1" applyAlignment="1">
      <alignment vertical="center" wrapText="1"/>
    </xf>
    <xf numFmtId="0" fontId="23" fillId="6" borderId="6" xfId="0" applyFont="1" applyFill="1" applyBorder="1"/>
    <xf numFmtId="0" fontId="17" fillId="6" borderId="0" xfId="0" applyFont="1" applyFill="1"/>
    <xf numFmtId="0" fontId="23" fillId="13" borderId="6" xfId="0" applyFont="1" applyFill="1" applyBorder="1" applyAlignment="1">
      <alignment vertical="center" wrapText="1"/>
    </xf>
    <xf numFmtId="0" fontId="62" fillId="0" borderId="0" xfId="0" applyFont="1"/>
    <xf numFmtId="0" fontId="6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2" fontId="17" fillId="0" borderId="11" xfId="0" applyNumberFormat="1" applyFont="1" applyBorder="1" applyAlignment="1">
      <alignment horizontal="right"/>
    </xf>
    <xf numFmtId="2" fontId="17" fillId="0" borderId="4" xfId="0" applyNumberFormat="1" applyFont="1" applyBorder="1" applyAlignment="1">
      <alignment horizontal="right"/>
    </xf>
    <xf numFmtId="0" fontId="63" fillId="0" borderId="1" xfId="0" applyFont="1" applyBorder="1" applyAlignment="1">
      <alignment vertical="center" wrapText="1"/>
    </xf>
    <xf numFmtId="0" fontId="63" fillId="0" borderId="4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4" fillId="18" borderId="5" xfId="0" applyFont="1" applyFill="1" applyBorder="1" applyAlignment="1">
      <alignment horizontal="right" vertical="center" wrapText="1"/>
    </xf>
    <xf numFmtId="0" fontId="63" fillId="18" borderId="6" xfId="0" applyFont="1" applyFill="1" applyBorder="1" applyAlignment="1">
      <alignment vertical="center" wrapText="1"/>
    </xf>
    <xf numFmtId="0" fontId="63" fillId="18" borderId="6" xfId="0" applyFont="1" applyFill="1" applyBorder="1" applyAlignment="1">
      <alignment horizontal="right" vertical="center" wrapText="1"/>
    </xf>
    <xf numFmtId="0" fontId="64" fillId="18" borderId="6" xfId="0" applyFont="1" applyFill="1" applyBorder="1" applyAlignment="1">
      <alignment horizontal="right" vertical="center" wrapText="1"/>
    </xf>
    <xf numFmtId="0" fontId="12" fillId="0" borderId="0" xfId="0" applyFont="1"/>
    <xf numFmtId="0" fontId="41" fillId="6" borderId="4" xfId="0" applyFont="1" applyFill="1" applyBorder="1" applyAlignment="1">
      <alignment horizontal="center"/>
    </xf>
    <xf numFmtId="0" fontId="41" fillId="20" borderId="4" xfId="0" applyFont="1" applyFill="1" applyBorder="1" applyAlignment="1">
      <alignment horizontal="center"/>
    </xf>
    <xf numFmtId="0" fontId="41" fillId="19" borderId="4" xfId="0" applyFont="1" applyFill="1" applyBorder="1" applyAlignment="1">
      <alignment horizontal="center" vertical="center" wrapText="1"/>
    </xf>
    <xf numFmtId="0" fontId="41" fillId="6" borderId="4" xfId="0" applyFont="1" applyFill="1" applyBorder="1" applyAlignment="1">
      <alignment horizontal="center" vertical="center" wrapText="1"/>
    </xf>
    <xf numFmtId="0" fontId="41" fillId="20" borderId="4" xfId="0" applyFont="1" applyFill="1" applyBorder="1" applyAlignment="1">
      <alignment horizontal="center" vertical="center" wrapText="1"/>
    </xf>
    <xf numFmtId="0" fontId="47" fillId="19" borderId="4" xfId="0" applyFont="1" applyFill="1" applyBorder="1" applyAlignment="1">
      <alignment horizontal="center" vertical="center" wrapText="1"/>
    </xf>
    <xf numFmtId="0" fontId="61" fillId="0" borderId="0" xfId="0" applyFont="1"/>
    <xf numFmtId="0" fontId="47" fillId="3" borderId="0" xfId="0" applyFont="1" applyFill="1"/>
    <xf numFmtId="0" fontId="47" fillId="19" borderId="5" xfId="0" applyFont="1" applyFill="1" applyBorder="1"/>
    <xf numFmtId="0" fontId="47" fillId="6" borderId="4" xfId="0" applyFont="1" applyFill="1" applyBorder="1" applyAlignment="1">
      <alignment horizontal="center" vertical="center" wrapText="1"/>
    </xf>
    <xf numFmtId="0" fontId="47" fillId="20" borderId="4" xfId="0" applyFont="1" applyFill="1" applyBorder="1" applyAlignment="1">
      <alignment horizontal="center" vertical="center" wrapText="1"/>
    </xf>
    <xf numFmtId="0" fontId="23" fillId="20" borderId="2" xfId="0" applyFont="1" applyFill="1" applyBorder="1" applyAlignment="1">
      <alignment vertical="center" wrapText="1"/>
    </xf>
    <xf numFmtId="0" fontId="47" fillId="19" borderId="1" xfId="0" applyFont="1" applyFill="1" applyBorder="1"/>
    <xf numFmtId="0" fontId="52" fillId="19" borderId="1" xfId="0" applyFont="1" applyFill="1" applyBorder="1" applyAlignment="1">
      <alignment horizontal="center" vertical="center" wrapText="1"/>
    </xf>
    <xf numFmtId="0" fontId="66" fillId="19" borderId="6" xfId="0" applyFont="1" applyFill="1" applyBorder="1" applyAlignment="1">
      <alignment horizontal="center" vertical="center" wrapText="1"/>
    </xf>
    <xf numFmtId="0" fontId="67" fillId="0" borderId="0" xfId="0" applyFont="1"/>
    <xf numFmtId="0" fontId="66" fillId="3" borderId="0" xfId="0" applyFont="1" applyFill="1"/>
    <xf numFmtId="0" fontId="66" fillId="19" borderId="5" xfId="0" applyFont="1" applyFill="1" applyBorder="1"/>
    <xf numFmtId="0" fontId="66" fillId="19" borderId="5" xfId="0" applyFont="1" applyFill="1" applyBorder="1" applyAlignment="1">
      <alignment horizontal="center" vertical="center" wrapText="1"/>
    </xf>
    <xf numFmtId="0" fontId="66" fillId="6" borderId="6" xfId="0" applyFont="1" applyFill="1" applyBorder="1" applyAlignment="1">
      <alignment horizontal="center" vertical="center" wrapText="1"/>
    </xf>
    <xf numFmtId="0" fontId="66" fillId="20" borderId="6" xfId="0" applyFont="1" applyFill="1" applyBorder="1" applyAlignment="1">
      <alignment horizontal="center" vertical="center" wrapText="1"/>
    </xf>
    <xf numFmtId="0" fontId="59" fillId="19" borderId="1" xfId="0" applyFont="1" applyFill="1" applyBorder="1"/>
    <xf numFmtId="0" fontId="40" fillId="19" borderId="4" xfId="0" applyFont="1" applyFill="1" applyBorder="1" applyAlignment="1">
      <alignment horizontal="center" vertical="center" wrapText="1"/>
    </xf>
    <xf numFmtId="0" fontId="40" fillId="0" borderId="0" xfId="0" applyFont="1"/>
    <xf numFmtId="0" fontId="40" fillId="6" borderId="4" xfId="0" applyFont="1" applyFill="1" applyBorder="1" applyAlignment="1">
      <alignment horizontal="center" vertical="center" wrapText="1"/>
    </xf>
    <xf numFmtId="0" fontId="40" fillId="20" borderId="4" xfId="0" applyFont="1" applyFill="1" applyBorder="1" applyAlignment="1">
      <alignment horizontal="center" vertical="center" wrapText="1"/>
    </xf>
    <xf numFmtId="0" fontId="47" fillId="19" borderId="1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7" fillId="20" borderId="1" xfId="0" applyFont="1" applyFill="1" applyBorder="1" applyAlignment="1">
      <alignment horizontal="center" vertical="center" wrapText="1"/>
    </xf>
    <xf numFmtId="0" fontId="47" fillId="19" borderId="6" xfId="0" applyFont="1" applyFill="1" applyBorder="1" applyAlignment="1">
      <alignment horizontal="center" vertical="center" wrapText="1"/>
    </xf>
    <xf numFmtId="0" fontId="61" fillId="3" borderId="0" xfId="0" applyFont="1" applyFill="1"/>
    <xf numFmtId="49" fontId="68" fillId="3" borderId="0" xfId="0" applyNumberFormat="1" applyFont="1" applyFill="1" applyAlignment="1">
      <alignment horizontal="center"/>
    </xf>
    <xf numFmtId="0" fontId="47" fillId="19" borderId="4" xfId="0" applyFont="1" applyFill="1" applyBorder="1" applyAlignment="1">
      <alignment horizontal="center"/>
    </xf>
    <xf numFmtId="0" fontId="40" fillId="19" borderId="6" xfId="0" applyFont="1" applyFill="1" applyBorder="1" applyAlignment="1">
      <alignment horizontal="center" vertical="center" wrapText="1"/>
    </xf>
    <xf numFmtId="0" fontId="69" fillId="3" borderId="0" xfId="0" applyFont="1" applyFill="1"/>
    <xf numFmtId="49" fontId="70" fillId="3" borderId="0" xfId="0" applyNumberFormat="1" applyFont="1" applyFill="1" applyAlignment="1">
      <alignment horizontal="center"/>
    </xf>
    <xf numFmtId="0" fontId="40" fillId="19" borderId="4" xfId="0" applyFont="1" applyFill="1" applyBorder="1" applyAlignment="1">
      <alignment horizontal="center"/>
    </xf>
    <xf numFmtId="0" fontId="40" fillId="6" borderId="4" xfId="0" applyFont="1" applyFill="1" applyBorder="1" applyAlignment="1">
      <alignment horizontal="center"/>
    </xf>
    <xf numFmtId="0" fontId="40" fillId="20" borderId="4" xfId="0" applyFont="1" applyFill="1" applyBorder="1" applyAlignment="1">
      <alignment horizontal="center"/>
    </xf>
    <xf numFmtId="0" fontId="69" fillId="0" borderId="0" xfId="0" applyFont="1"/>
    <xf numFmtId="0" fontId="40" fillId="6" borderId="6" xfId="0" applyFont="1" applyFill="1" applyBorder="1" applyAlignment="1">
      <alignment horizontal="center" vertical="center" wrapText="1"/>
    </xf>
    <xf numFmtId="0" fontId="40" fillId="20" borderId="6" xfId="0" applyFont="1" applyFill="1" applyBorder="1" applyAlignment="1">
      <alignment horizontal="center" vertical="center" wrapText="1"/>
    </xf>
    <xf numFmtId="0" fontId="23" fillId="19" borderId="10" xfId="0" applyFont="1" applyFill="1" applyBorder="1" applyAlignment="1">
      <alignment vertical="center" wrapText="1"/>
    </xf>
    <xf numFmtId="0" fontId="42" fillId="3" borderId="0" xfId="0" applyFont="1" applyFill="1"/>
    <xf numFmtId="49" fontId="41" fillId="3" borderId="0" xfId="0" applyNumberFormat="1" applyFont="1" applyFill="1" applyAlignment="1">
      <alignment horizontal="center"/>
    </xf>
    <xf numFmtId="0" fontId="42" fillId="19" borderId="5" xfId="0" applyFont="1" applyFill="1" applyBorder="1"/>
    <xf numFmtId="0" fontId="41" fillId="19" borderId="6" xfId="0" applyFont="1" applyFill="1" applyBorder="1" applyAlignment="1">
      <alignment horizontal="center"/>
    </xf>
    <xf numFmtId="0" fontId="41" fillId="6" borderId="6" xfId="0" applyFont="1" applyFill="1" applyBorder="1" applyAlignment="1">
      <alignment horizontal="center"/>
    </xf>
    <xf numFmtId="0" fontId="41" fillId="20" borderId="6" xfId="0" applyFont="1" applyFill="1" applyBorder="1" applyAlignment="1">
      <alignment horizontal="center"/>
    </xf>
    <xf numFmtId="0" fontId="23" fillId="6" borderId="0" xfId="0" applyFont="1" applyFill="1" applyAlignment="1">
      <alignment vertical="center" wrapText="1"/>
    </xf>
    <xf numFmtId="49" fontId="50" fillId="20" borderId="1" xfId="0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left" vertical="center" wrapText="1"/>
    </xf>
    <xf numFmtId="49" fontId="51" fillId="6" borderId="1" xfId="0" applyNumberFormat="1" applyFont="1" applyFill="1" applyBorder="1" applyAlignment="1">
      <alignment horizontal="center"/>
    </xf>
    <xf numFmtId="16" fontId="23" fillId="20" borderId="18" xfId="0" applyNumberFormat="1" applyFont="1" applyFill="1" applyBorder="1" applyAlignment="1">
      <alignment horizontal="left" vertical="center" wrapText="1"/>
    </xf>
    <xf numFmtId="0" fontId="24" fillId="20" borderId="1" xfId="0" applyFont="1" applyFill="1" applyBorder="1" applyAlignment="1">
      <alignment horizontal="left"/>
    </xf>
    <xf numFmtId="49" fontId="49" fillId="3" borderId="0" xfId="0" applyNumberFormat="1" applyFont="1" applyFill="1" applyAlignment="1">
      <alignment horizontal="center"/>
    </xf>
    <xf numFmtId="0" fontId="40" fillId="19" borderId="1" xfId="0" applyFont="1" applyFill="1" applyBorder="1" applyAlignment="1">
      <alignment horizontal="left"/>
    </xf>
    <xf numFmtId="0" fontId="17" fillId="15" borderId="1" xfId="0" applyFont="1" applyFill="1" applyBorder="1" applyAlignment="1">
      <alignment horizontal="right" vertical="center" wrapText="1"/>
    </xf>
    <xf numFmtId="0" fontId="17" fillId="15" borderId="1" xfId="0" applyFont="1" applyFill="1" applyBorder="1"/>
    <xf numFmtId="0" fontId="0" fillId="0" borderId="18" xfId="0" applyBorder="1"/>
    <xf numFmtId="0" fontId="41" fillId="3" borderId="18" xfId="0" applyFont="1" applyFill="1" applyBorder="1" applyAlignment="1">
      <alignment horizontal="center"/>
    </xf>
    <xf numFmtId="0" fontId="23" fillId="6" borderId="1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" fontId="12" fillId="0" borderId="0" xfId="0" applyNumberFormat="1" applyFont="1"/>
    <xf numFmtId="0" fontId="66" fillId="3" borderId="13" xfId="0" applyFont="1" applyFill="1" applyBorder="1"/>
    <xf numFmtId="0" fontId="24" fillId="20" borderId="0" xfId="0" applyFont="1" applyFill="1"/>
    <xf numFmtId="0" fontId="24" fillId="20" borderId="5" xfId="0" applyFont="1" applyFill="1" applyBorder="1"/>
    <xf numFmtId="0" fontId="20" fillId="3" borderId="5" xfId="0" applyFont="1" applyFill="1" applyBorder="1" applyAlignment="1">
      <alignment vertical="center" wrapText="1"/>
    </xf>
    <xf numFmtId="2" fontId="0" fillId="0" borderId="11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47" fillId="4" borderId="0" xfId="0" applyFont="1" applyFill="1"/>
    <xf numFmtId="0" fontId="57" fillId="6" borderId="5" xfId="0" applyFont="1" applyFill="1" applyBorder="1" applyAlignment="1">
      <alignment horizontal="center" vertical="center" wrapText="1"/>
    </xf>
    <xf numFmtId="0" fontId="57" fillId="20" borderId="5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5" xfId="0" applyBorder="1"/>
    <xf numFmtId="0" fontId="0" fillId="3" borderId="18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2" fontId="17" fillId="3" borderId="13" xfId="0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vertical="center" wrapText="1"/>
    </xf>
    <xf numFmtId="2" fontId="17" fillId="0" borderId="13" xfId="0" applyNumberFormat="1" applyFont="1" applyBorder="1" applyAlignment="1">
      <alignment horizontal="right"/>
    </xf>
    <xf numFmtId="2" fontId="17" fillId="3" borderId="12" xfId="0" applyNumberFormat="1" applyFont="1" applyFill="1" applyBorder="1" applyAlignment="1">
      <alignment horizontal="right"/>
    </xf>
    <xf numFmtId="2" fontId="17" fillId="0" borderId="17" xfId="0" applyNumberFormat="1" applyFont="1" applyBorder="1" applyAlignment="1">
      <alignment horizontal="right"/>
    </xf>
    <xf numFmtId="2" fontId="17" fillId="0" borderId="22" xfId="0" applyNumberFormat="1" applyFont="1" applyBorder="1" applyAlignment="1">
      <alignment horizontal="right"/>
    </xf>
    <xf numFmtId="49" fontId="49" fillId="20" borderId="5" xfId="0" applyNumberFormat="1" applyFont="1" applyFill="1" applyBorder="1" applyAlignment="1">
      <alignment horizontal="center"/>
    </xf>
    <xf numFmtId="0" fontId="18" fillId="3" borderId="3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center"/>
    </xf>
    <xf numFmtId="0" fontId="18" fillId="3" borderId="10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/>
    <xf numFmtId="49" fontId="16" fillId="3" borderId="7" xfId="0" applyNumberFormat="1" applyFont="1" applyFill="1" applyBorder="1"/>
    <xf numFmtId="0" fontId="46" fillId="3" borderId="8" xfId="0" applyFont="1" applyFill="1" applyBorder="1"/>
    <xf numFmtId="0" fontId="16" fillId="3" borderId="8" xfId="0" applyFont="1" applyFill="1" applyBorder="1"/>
    <xf numFmtId="0" fontId="16" fillId="3" borderId="12" xfId="0" applyFont="1" applyFill="1" applyBorder="1"/>
    <xf numFmtId="0" fontId="16" fillId="3" borderId="9" xfId="0" applyFont="1" applyFill="1" applyBorder="1"/>
    <xf numFmtId="0" fontId="18" fillId="3" borderId="1" xfId="0" applyFont="1" applyFill="1" applyBorder="1" applyAlignment="1">
      <alignment horizontal="right"/>
    </xf>
    <xf numFmtId="0" fontId="18" fillId="3" borderId="0" xfId="0" applyFont="1" applyFill="1"/>
    <xf numFmtId="49" fontId="24" fillId="20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right"/>
    </xf>
    <xf numFmtId="0" fontId="18" fillId="24" borderId="1" xfId="0" applyFont="1" applyFill="1" applyBorder="1" applyAlignment="1">
      <alignment vertical="center" wrapText="1"/>
    </xf>
    <xf numFmtId="0" fontId="20" fillId="25" borderId="4" xfId="0" applyFont="1" applyFill="1" applyBorder="1" applyAlignment="1">
      <alignment horizontal="center" vertical="center" wrapText="1"/>
    </xf>
    <xf numFmtId="49" fontId="20" fillId="25" borderId="4" xfId="0" applyNumberFormat="1" applyFont="1" applyFill="1" applyBorder="1" applyAlignment="1">
      <alignment vertical="center" wrapText="1"/>
    </xf>
    <xf numFmtId="49" fontId="20" fillId="26" borderId="4" xfId="0" applyNumberFormat="1" applyFont="1" applyFill="1" applyBorder="1" applyAlignment="1">
      <alignment vertical="center" wrapText="1"/>
    </xf>
    <xf numFmtId="0" fontId="20" fillId="26" borderId="4" xfId="0" applyFont="1" applyFill="1" applyBorder="1" applyAlignment="1">
      <alignment vertical="center" wrapText="1"/>
    </xf>
    <xf numFmtId="0" fontId="23" fillId="6" borderId="4" xfId="0" applyFont="1" applyFill="1" applyBorder="1" applyAlignment="1">
      <alignment vertical="center" wrapText="1"/>
    </xf>
    <xf numFmtId="0" fontId="20" fillId="27" borderId="4" xfId="0" applyFont="1" applyFill="1" applyBorder="1" applyAlignment="1">
      <alignment vertical="center" wrapText="1"/>
    </xf>
    <xf numFmtId="0" fontId="20" fillId="28" borderId="4" xfId="0" applyFont="1" applyFill="1" applyBorder="1" applyAlignment="1">
      <alignment vertical="center" wrapText="1"/>
    </xf>
    <xf numFmtId="0" fontId="20" fillId="25" borderId="4" xfId="0" applyFont="1" applyFill="1" applyBorder="1" applyAlignment="1">
      <alignment vertical="center" wrapText="1"/>
    </xf>
    <xf numFmtId="0" fontId="21" fillId="25" borderId="6" xfId="0" applyFont="1" applyFill="1" applyBorder="1" applyAlignment="1">
      <alignment horizontal="right" vertical="center" wrapText="1"/>
    </xf>
    <xf numFmtId="0" fontId="21" fillId="25" borderId="6" xfId="0" applyFont="1" applyFill="1" applyBorder="1" applyAlignment="1">
      <alignment vertical="center" wrapText="1"/>
    </xf>
    <xf numFmtId="0" fontId="21" fillId="26" borderId="6" xfId="0" applyFont="1" applyFill="1" applyBorder="1" applyAlignment="1">
      <alignment vertical="center" wrapText="1"/>
    </xf>
    <xf numFmtId="0" fontId="21" fillId="26" borderId="6" xfId="0" applyFont="1" applyFill="1" applyBorder="1" applyAlignment="1">
      <alignment horizontal="right" vertical="center" wrapText="1"/>
    </xf>
    <xf numFmtId="0" fontId="24" fillId="6" borderId="6" xfId="0" applyFont="1" applyFill="1" applyBorder="1" applyAlignment="1">
      <alignment vertical="center" wrapText="1"/>
    </xf>
    <xf numFmtId="0" fontId="21" fillId="27" borderId="6" xfId="0" applyFont="1" applyFill="1" applyBorder="1" applyAlignment="1">
      <alignment horizontal="right" vertical="center" wrapText="1"/>
    </xf>
    <xf numFmtId="0" fontId="21" fillId="27" borderId="6" xfId="0" applyFont="1" applyFill="1" applyBorder="1" applyAlignment="1">
      <alignment vertical="center" wrapText="1"/>
    </xf>
    <xf numFmtId="0" fontId="21" fillId="28" borderId="6" xfId="0" applyFont="1" applyFill="1" applyBorder="1" applyAlignment="1">
      <alignment vertical="center" wrapText="1"/>
    </xf>
    <xf numFmtId="0" fontId="21" fillId="28" borderId="6" xfId="0" applyFont="1" applyFill="1" applyBorder="1" applyAlignment="1">
      <alignment horizontal="right" vertical="center" wrapText="1"/>
    </xf>
    <xf numFmtId="0" fontId="24" fillId="6" borderId="0" xfId="0" applyFont="1" applyFill="1" applyAlignment="1">
      <alignment horizontal="right" vertical="center" wrapText="1"/>
    </xf>
    <xf numFmtId="0" fontId="18" fillId="24" borderId="5" xfId="0" applyFont="1" applyFill="1" applyBorder="1" applyAlignment="1">
      <alignment vertical="center" wrapText="1"/>
    </xf>
    <xf numFmtId="0" fontId="20" fillId="25" borderId="6" xfId="0" applyFont="1" applyFill="1" applyBorder="1" applyAlignment="1">
      <alignment horizontal="center" vertical="center" wrapText="1"/>
    </xf>
    <xf numFmtId="0" fontId="20" fillId="26" borderId="6" xfId="0" applyFont="1" applyFill="1" applyBorder="1" applyAlignment="1">
      <alignment horizontal="center" vertical="center" wrapText="1"/>
    </xf>
    <xf numFmtId="0" fontId="20" fillId="27" borderId="6" xfId="0" applyFont="1" applyFill="1" applyBorder="1" applyAlignment="1">
      <alignment horizontal="center" vertical="center" wrapText="1"/>
    </xf>
    <xf numFmtId="0" fontId="20" fillId="28" borderId="6" xfId="0" applyFont="1" applyFill="1" applyBorder="1" applyAlignment="1">
      <alignment horizontal="center" vertical="center" wrapText="1"/>
    </xf>
    <xf numFmtId="14" fontId="18" fillId="0" borderId="0" xfId="0" applyNumberFormat="1" applyFont="1" applyAlignment="1">
      <alignment horizontal="left"/>
    </xf>
    <xf numFmtId="0" fontId="20" fillId="25" borderId="4" xfId="0" applyFont="1" applyFill="1" applyBorder="1" applyAlignment="1">
      <alignment horizontal="right" vertical="center" wrapText="1"/>
    </xf>
    <xf numFmtId="0" fontId="20" fillId="26" borderId="4" xfId="0" applyFont="1" applyFill="1" applyBorder="1" applyAlignment="1">
      <alignment horizontal="right" vertical="center" wrapText="1"/>
    </xf>
    <xf numFmtId="0" fontId="20" fillId="3" borderId="18" xfId="0" applyFont="1" applyFill="1" applyBorder="1" applyAlignment="1">
      <alignment vertical="center" wrapText="1"/>
    </xf>
    <xf numFmtId="0" fontId="24" fillId="6" borderId="16" xfId="0" applyFont="1" applyFill="1" applyBorder="1" applyAlignment="1">
      <alignment vertical="center" wrapText="1"/>
    </xf>
    <xf numFmtId="0" fontId="24" fillId="3" borderId="0" xfId="0" applyFont="1" applyFill="1" applyAlignment="1">
      <alignment vertical="center" wrapText="1"/>
    </xf>
    <xf numFmtId="0" fontId="21" fillId="28" borderId="1" xfId="0" applyFont="1" applyFill="1" applyBorder="1" applyAlignment="1">
      <alignment horizontal="right" vertical="center" wrapText="1"/>
    </xf>
    <xf numFmtId="0" fontId="21" fillId="28" borderId="5" xfId="0" applyFont="1" applyFill="1" applyBorder="1" applyAlignment="1">
      <alignment horizontal="right" vertical="center" wrapText="1"/>
    </xf>
    <xf numFmtId="0" fontId="17" fillId="6" borderId="3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20" fillId="25" borderId="6" xfId="0" applyFont="1" applyFill="1" applyBorder="1" applyAlignment="1">
      <alignment horizontal="right" vertical="center" wrapText="1"/>
    </xf>
    <xf numFmtId="0" fontId="20" fillId="26" borderId="6" xfId="0" applyFont="1" applyFill="1" applyBorder="1" applyAlignment="1">
      <alignment horizontal="right" vertical="center" wrapText="1"/>
    </xf>
    <xf numFmtId="0" fontId="23" fillId="6" borderId="6" xfId="0" applyFont="1" applyFill="1" applyBorder="1" applyAlignment="1">
      <alignment horizontal="right" vertical="center" wrapText="1"/>
    </xf>
    <xf numFmtId="0" fontId="24" fillId="6" borderId="6" xfId="0" applyFont="1" applyFill="1" applyBorder="1" applyAlignment="1">
      <alignment horizontal="right" vertical="center" wrapText="1"/>
    </xf>
    <xf numFmtId="0" fontId="23" fillId="6" borderId="7" xfId="0" applyFont="1" applyFill="1" applyBorder="1"/>
    <xf numFmtId="0" fontId="23" fillId="6" borderId="21" xfId="0" applyFont="1" applyFill="1" applyBorder="1"/>
    <xf numFmtId="0" fontId="23" fillId="6" borderId="9" xfId="0" applyFont="1" applyFill="1" applyBorder="1" applyAlignment="1">
      <alignment vertical="center" wrapText="1"/>
    </xf>
    <xf numFmtId="0" fontId="23" fillId="6" borderId="20" xfId="0" applyFont="1" applyFill="1" applyBorder="1" applyAlignment="1">
      <alignment horizontal="right"/>
    </xf>
    <xf numFmtId="0" fontId="24" fillId="6" borderId="16" xfId="0" applyFont="1" applyFill="1" applyBorder="1" applyAlignment="1">
      <alignment horizontal="right" vertical="center" wrapText="1"/>
    </xf>
    <xf numFmtId="0" fontId="17" fillId="3" borderId="0" xfId="0" applyFont="1" applyFill="1" applyAlignment="1">
      <alignment horizontal="left"/>
    </xf>
    <xf numFmtId="0" fontId="17" fillId="6" borderId="2" xfId="0" applyFont="1" applyFill="1" applyBorder="1" applyAlignment="1">
      <alignment horizontal="left"/>
    </xf>
    <xf numFmtId="1" fontId="0" fillId="0" borderId="6" xfId="0" applyNumberFormat="1" applyBorder="1"/>
    <xf numFmtId="0" fontId="71" fillId="4" borderId="3" xfId="0" applyFont="1" applyFill="1" applyBorder="1" applyAlignment="1">
      <alignment horizontal="left" wrapText="1"/>
    </xf>
    <xf numFmtId="0" fontId="71" fillId="4" borderId="1" xfId="0" applyFont="1" applyFill="1" applyBorder="1" applyAlignment="1">
      <alignment horizontal="center"/>
    </xf>
    <xf numFmtId="0" fontId="71" fillId="4" borderId="2" xfId="0" applyFont="1" applyFill="1" applyBorder="1"/>
    <xf numFmtId="0" fontId="71" fillId="4" borderId="1" xfId="0" applyFont="1" applyFill="1" applyBorder="1"/>
    <xf numFmtId="0" fontId="71" fillId="4" borderId="11" xfId="0" applyFont="1" applyFill="1" applyBorder="1"/>
    <xf numFmtId="0" fontId="71" fillId="4" borderId="3" xfId="0" applyFont="1" applyFill="1" applyBorder="1"/>
    <xf numFmtId="0" fontId="71" fillId="4" borderId="10" xfId="0" applyFont="1" applyFill="1" applyBorder="1" applyAlignment="1">
      <alignment vertical="center" wrapText="1"/>
    </xf>
    <xf numFmtId="0" fontId="71" fillId="4" borderId="5" xfId="0" applyFont="1" applyFill="1" applyBorder="1" applyAlignment="1">
      <alignment vertical="center" wrapText="1"/>
    </xf>
    <xf numFmtId="0" fontId="71" fillId="4" borderId="1" xfId="0" applyFont="1" applyFill="1" applyBorder="1" applyAlignment="1">
      <alignment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1" fillId="4" borderId="6" xfId="0" applyFont="1" applyFill="1" applyBorder="1" applyAlignment="1">
      <alignment horizontal="center" vertical="center" wrapText="1"/>
    </xf>
    <xf numFmtId="0" fontId="72" fillId="4" borderId="7" xfId="0" applyFont="1" applyFill="1" applyBorder="1"/>
    <xf numFmtId="49" fontId="72" fillId="4" borderId="7" xfId="0" applyNumberFormat="1" applyFont="1" applyFill="1" applyBorder="1"/>
    <xf numFmtId="0" fontId="72" fillId="4" borderId="8" xfId="0" applyFont="1" applyFill="1" applyBorder="1"/>
    <xf numFmtId="0" fontId="72" fillId="4" borderId="12" xfId="0" applyFont="1" applyFill="1" applyBorder="1"/>
    <xf numFmtId="0" fontId="72" fillId="4" borderId="9" xfId="0" applyFont="1" applyFill="1" applyBorder="1"/>
    <xf numFmtId="0" fontId="71" fillId="4" borderId="1" xfId="0" applyFont="1" applyFill="1" applyBorder="1" applyAlignment="1">
      <alignment horizontal="right"/>
    </xf>
    <xf numFmtId="0" fontId="71" fillId="4" borderId="0" xfId="0" applyFont="1" applyFill="1"/>
    <xf numFmtId="0" fontId="24" fillId="20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36" fillId="0" borderId="1" xfId="0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49" fontId="49" fillId="6" borderId="0" xfId="0" applyNumberFormat="1" applyFont="1" applyFill="1" applyAlignment="1">
      <alignment horizontal="center"/>
    </xf>
    <xf numFmtId="0" fontId="24" fillId="19" borderId="6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72" fillId="20" borderId="6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left" vertical="center" wrapText="1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2" fontId="17" fillId="0" borderId="11" xfId="0" applyNumberFormat="1" applyFont="1" applyBorder="1"/>
    <xf numFmtId="2" fontId="17" fillId="0" borderId="4" xfId="0" applyNumberFormat="1" applyFont="1" applyBorder="1"/>
    <xf numFmtId="0" fontId="22" fillId="3" borderId="0" xfId="0" applyFont="1" applyFill="1"/>
    <xf numFmtId="0" fontId="21" fillId="2" borderId="0" xfId="0" applyFont="1" applyFill="1" applyAlignment="1">
      <alignment horizontal="right"/>
    </xf>
    <xf numFmtId="0" fontId="73" fillId="0" borderId="0" xfId="0" applyFont="1"/>
    <xf numFmtId="49" fontId="50" fillId="6" borderId="7" xfId="0" applyNumberFormat="1" applyFont="1" applyFill="1" applyBorder="1" applyAlignment="1">
      <alignment horizontal="center"/>
    </xf>
    <xf numFmtId="49" fontId="24" fillId="19" borderId="1" xfId="0" applyNumberFormat="1" applyFont="1" applyFill="1" applyBorder="1" applyAlignment="1">
      <alignment horizontal="center"/>
    </xf>
    <xf numFmtId="0" fontId="23" fillId="20" borderId="10" xfId="0" applyFont="1" applyFill="1" applyBorder="1" applyAlignment="1">
      <alignment vertical="center" wrapText="1"/>
    </xf>
    <xf numFmtId="0" fontId="11" fillId="0" borderId="0" xfId="0" applyFont="1"/>
    <xf numFmtId="1" fontId="24" fillId="6" borderId="6" xfId="0" applyNumberFormat="1" applyFont="1" applyFill="1" applyBorder="1" applyAlignment="1">
      <alignment horizontal="center" vertical="center" wrapText="1"/>
    </xf>
    <xf numFmtId="1" fontId="24" fillId="20" borderId="6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right"/>
    </xf>
    <xf numFmtId="0" fontId="24" fillId="6" borderId="4" xfId="0" applyFont="1" applyFill="1" applyBorder="1" applyAlignment="1">
      <alignment horizontal="right"/>
    </xf>
    <xf numFmtId="0" fontId="24" fillId="20" borderId="1" xfId="0" applyFont="1" applyFill="1" applyBorder="1" applyAlignment="1">
      <alignment horizontal="right"/>
    </xf>
    <xf numFmtId="0" fontId="24" fillId="20" borderId="4" xfId="0" applyFont="1" applyFill="1" applyBorder="1" applyAlignment="1">
      <alignment horizontal="right"/>
    </xf>
    <xf numFmtId="0" fontId="24" fillId="19" borderId="1" xfId="0" applyFont="1" applyFill="1" applyBorder="1" applyAlignment="1">
      <alignment horizontal="right"/>
    </xf>
    <xf numFmtId="0" fontId="24" fillId="19" borderId="4" xfId="0" applyFont="1" applyFill="1" applyBorder="1" applyAlignment="1">
      <alignment horizontal="right"/>
    </xf>
    <xf numFmtId="0" fontId="24" fillId="20" borderId="6" xfId="0" applyFont="1" applyFill="1" applyBorder="1"/>
    <xf numFmtId="0" fontId="23" fillId="19" borderId="0" xfId="0" applyFont="1" applyFill="1" applyAlignment="1">
      <alignment vertical="center" wrapText="1"/>
    </xf>
    <xf numFmtId="49" fontId="23" fillId="19" borderId="1" xfId="0" applyNumberFormat="1" applyFont="1" applyFill="1" applyBorder="1" applyAlignment="1">
      <alignment horizontal="center"/>
    </xf>
    <xf numFmtId="0" fontId="24" fillId="19" borderId="4" xfId="0" applyFont="1" applyFill="1" applyBorder="1"/>
    <xf numFmtId="0" fontId="24" fillId="20" borderId="1" xfId="0" applyFont="1" applyFill="1" applyBorder="1" applyAlignment="1">
      <alignment horizontal="center"/>
    </xf>
    <xf numFmtId="0" fontId="18" fillId="29" borderId="1" xfId="0" applyFont="1" applyFill="1" applyBorder="1" applyAlignment="1">
      <alignment vertical="center" wrapText="1"/>
    </xf>
    <xf numFmtId="0" fontId="18" fillId="29" borderId="5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center" vertical="center" wrapText="1"/>
    </xf>
    <xf numFmtId="49" fontId="23" fillId="6" borderId="1" xfId="0" applyNumberFormat="1" applyFont="1" applyFill="1" applyBorder="1" applyAlignment="1">
      <alignment horizontal="center"/>
    </xf>
    <xf numFmtId="0" fontId="20" fillId="3" borderId="6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horizontal="left" wrapText="1"/>
    </xf>
    <xf numFmtId="0" fontId="18" fillId="10" borderId="1" xfId="0" applyFont="1" applyFill="1" applyBorder="1"/>
    <xf numFmtId="0" fontId="18" fillId="10" borderId="10" xfId="0" applyFont="1" applyFill="1" applyBorder="1" applyAlignment="1">
      <alignment vertical="center" wrapText="1"/>
    </xf>
    <xf numFmtId="0" fontId="18" fillId="10" borderId="5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/>
    <xf numFmtId="49" fontId="16" fillId="10" borderId="7" xfId="0" applyNumberFormat="1" applyFont="1" applyFill="1" applyBorder="1"/>
    <xf numFmtId="0" fontId="16" fillId="10" borderId="8" xfId="0" applyFont="1" applyFill="1" applyBorder="1"/>
    <xf numFmtId="0" fontId="16" fillId="10" borderId="1" xfId="0" applyFont="1" applyFill="1" applyBorder="1"/>
    <xf numFmtId="0" fontId="16" fillId="10" borderId="9" xfId="0" applyFont="1" applyFill="1" applyBorder="1"/>
    <xf numFmtId="0" fontId="18" fillId="10" borderId="1" xfId="0" applyFont="1" applyFill="1" applyBorder="1" applyAlignment="1">
      <alignment horizontal="right"/>
    </xf>
    <xf numFmtId="0" fontId="18" fillId="10" borderId="0" xfId="0" applyFont="1" applyFill="1"/>
    <xf numFmtId="0" fontId="18" fillId="10" borderId="6" xfId="0" applyFont="1" applyFill="1" applyBorder="1" applyAlignment="1">
      <alignment vertical="center" wrapText="1"/>
    </xf>
    <xf numFmtId="0" fontId="23" fillId="6" borderId="20" xfId="0" applyFont="1" applyFill="1" applyBorder="1" applyAlignment="1">
      <alignment vertical="center" wrapText="1"/>
    </xf>
    <xf numFmtId="0" fontId="24" fillId="6" borderId="13" xfId="0" applyFont="1" applyFill="1" applyBorder="1" applyAlignment="1">
      <alignment horizontal="right" vertical="center" wrapText="1"/>
    </xf>
    <xf numFmtId="0" fontId="24" fillId="26" borderId="9" xfId="0" applyFont="1" applyFill="1" applyBorder="1"/>
    <xf numFmtId="0" fontId="24" fillId="26" borderId="20" xfId="0" applyFont="1" applyFill="1" applyBorder="1"/>
    <xf numFmtId="0" fontId="18" fillId="26" borderId="1" xfId="0" applyFont="1" applyFill="1" applyBorder="1" applyAlignment="1">
      <alignment vertical="center" wrapText="1"/>
    </xf>
    <xf numFmtId="0" fontId="23" fillId="26" borderId="0" xfId="0" applyFont="1" applyFill="1"/>
    <xf numFmtId="0" fontId="24" fillId="26" borderId="0" xfId="0" applyFont="1" applyFill="1"/>
    <xf numFmtId="0" fontId="20" fillId="26" borderId="8" xfId="0" applyFont="1" applyFill="1" applyBorder="1"/>
    <xf numFmtId="0" fontId="20" fillId="26" borderId="0" xfId="0" applyFont="1" applyFill="1"/>
    <xf numFmtId="0" fontId="21" fillId="26" borderId="0" xfId="0" applyFont="1" applyFill="1"/>
    <xf numFmtId="0" fontId="17" fillId="26" borderId="0" xfId="0" applyFont="1" applyFill="1"/>
    <xf numFmtId="0" fontId="0" fillId="26" borderId="0" xfId="0" applyFill="1"/>
    <xf numFmtId="0" fontId="34" fillId="26" borderId="0" xfId="0" applyFont="1" applyFill="1" applyAlignment="1">
      <alignment horizontal="right" vertical="center"/>
    </xf>
    <xf numFmtId="0" fontId="17" fillId="26" borderId="0" xfId="0" applyFont="1" applyFill="1" applyAlignment="1">
      <alignment horizontal="right"/>
    </xf>
    <xf numFmtId="16" fontId="17" fillId="26" borderId="0" xfId="0" applyNumberFormat="1" applyFont="1" applyFill="1"/>
    <xf numFmtId="0" fontId="17" fillId="26" borderId="0" xfId="0" applyFont="1" applyFill="1" applyAlignment="1">
      <alignment horizontal="center"/>
    </xf>
    <xf numFmtId="0" fontId="17" fillId="26" borderId="0" xfId="0" applyFont="1" applyFill="1" applyAlignment="1">
      <alignment horizontal="left"/>
    </xf>
    <xf numFmtId="0" fontId="34" fillId="26" borderId="0" xfId="0" applyFont="1" applyFill="1" applyAlignment="1">
      <alignment horizontal="left" vertical="center"/>
    </xf>
    <xf numFmtId="0" fontId="24" fillId="20" borderId="13" xfId="0" applyFont="1" applyFill="1" applyBorder="1" applyAlignment="1">
      <alignment horizontal="right"/>
    </xf>
    <xf numFmtId="0" fontId="24" fillId="6" borderId="13" xfId="0" applyFont="1" applyFill="1" applyBorder="1" applyAlignment="1">
      <alignment horizontal="right"/>
    </xf>
    <xf numFmtId="0" fontId="24" fillId="19" borderId="13" xfId="0" applyFont="1" applyFill="1" applyBorder="1" applyAlignment="1">
      <alignment horizontal="right"/>
    </xf>
    <xf numFmtId="0" fontId="10" fillId="0" borderId="0" xfId="0" applyFont="1"/>
    <xf numFmtId="0" fontId="24" fillId="20" borderId="3" xfId="0" applyFont="1" applyFill="1" applyBorder="1" applyAlignment="1">
      <alignment horizontal="left"/>
    </xf>
    <xf numFmtId="0" fontId="23" fillId="20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2" fontId="17" fillId="0" borderId="8" xfId="0" applyNumberFormat="1" applyFont="1" applyBorder="1" applyAlignment="1">
      <alignment horizontal="right"/>
    </xf>
    <xf numFmtId="2" fontId="17" fillId="0" borderId="23" xfId="0" applyNumberFormat="1" applyFont="1" applyBorder="1" applyAlignment="1">
      <alignment horizontal="right"/>
    </xf>
    <xf numFmtId="2" fontId="17" fillId="0" borderId="21" xfId="0" applyNumberFormat="1" applyFont="1" applyBorder="1" applyAlignment="1">
      <alignment horizontal="right"/>
    </xf>
    <xf numFmtId="2" fontId="17" fillId="0" borderId="10" xfId="0" applyNumberFormat="1" applyFont="1" applyBorder="1" applyAlignment="1">
      <alignment horizontal="right"/>
    </xf>
    <xf numFmtId="2" fontId="17" fillId="0" borderId="5" xfId="0" applyNumberFormat="1" applyFont="1" applyBorder="1" applyAlignment="1">
      <alignment horizontal="right"/>
    </xf>
    <xf numFmtId="2" fontId="17" fillId="0" borderId="7" xfId="0" applyNumberFormat="1" applyFont="1" applyBorder="1" applyAlignment="1">
      <alignment horizontal="right"/>
    </xf>
    <xf numFmtId="1" fontId="20" fillId="3" borderId="0" xfId="0" applyNumberFormat="1" applyFont="1" applyFill="1" applyAlignment="1">
      <alignment horizontal="right" vertical="center" wrapText="1"/>
    </xf>
    <xf numFmtId="0" fontId="34" fillId="0" borderId="1" xfId="0" applyFont="1" applyBorder="1" applyAlignment="1">
      <alignment horizontal="right" vertical="center" wrapText="1"/>
    </xf>
    <xf numFmtId="0" fontId="23" fillId="4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3" fillId="1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2" fontId="17" fillId="0" borderId="18" xfId="0" applyNumberFormat="1" applyFont="1" applyBorder="1"/>
    <xf numFmtId="2" fontId="17" fillId="0" borderId="19" xfId="0" applyNumberFormat="1" applyFont="1" applyBorder="1"/>
    <xf numFmtId="0" fontId="47" fillId="4" borderId="2" xfId="0" applyFont="1" applyFill="1" applyBorder="1" applyAlignment="1">
      <alignment horizontal="center"/>
    </xf>
    <xf numFmtId="0" fontId="9" fillId="0" borderId="0" xfId="0" applyFont="1"/>
    <xf numFmtId="0" fontId="23" fillId="13" borderId="11" xfId="0" applyFont="1" applyFill="1" applyBorder="1" applyAlignment="1">
      <alignment horizontal="center"/>
    </xf>
    <xf numFmtId="0" fontId="23" fillId="13" borderId="3" xfId="0" applyFont="1" applyFill="1" applyBorder="1" applyAlignment="1">
      <alignment horizontal="center"/>
    </xf>
    <xf numFmtId="0" fontId="74" fillId="0" borderId="0" xfId="0" applyFont="1"/>
    <xf numFmtId="0" fontId="18" fillId="3" borderId="11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24" fillId="19" borderId="13" xfId="0" applyFont="1" applyFill="1" applyBorder="1"/>
    <xf numFmtId="49" fontId="50" fillId="19" borderId="7" xfId="0" applyNumberFormat="1" applyFont="1" applyFill="1" applyBorder="1" applyAlignment="1">
      <alignment horizontal="center"/>
    </xf>
    <xf numFmtId="0" fontId="8" fillId="0" borderId="0" xfId="0" applyFont="1"/>
    <xf numFmtId="0" fontId="47" fillId="4" borderId="1" xfId="0" applyFont="1" applyFill="1" applyBorder="1" applyAlignment="1">
      <alignment horizontal="center"/>
    </xf>
    <xf numFmtId="0" fontId="47" fillId="4" borderId="11" xfId="0" applyFont="1" applyFill="1" applyBorder="1" applyAlignment="1">
      <alignment horizontal="center"/>
    </xf>
    <xf numFmtId="0" fontId="47" fillId="4" borderId="3" xfId="0" applyFont="1" applyFill="1" applyBorder="1" applyAlignment="1">
      <alignment horizontal="center"/>
    </xf>
    <xf numFmtId="0" fontId="24" fillId="6" borderId="6" xfId="0" applyFont="1" applyFill="1" applyBorder="1"/>
    <xf numFmtId="0" fontId="7" fillId="0" borderId="0" xfId="0" applyFont="1"/>
    <xf numFmtId="0" fontId="24" fillId="6" borderId="1" xfId="0" applyFont="1" applyFill="1" applyBorder="1" applyAlignment="1">
      <alignment horizontal="center" vertical="center" wrapText="1"/>
    </xf>
    <xf numFmtId="0" fontId="24" fillId="19" borderId="3" xfId="0" applyFont="1" applyFill="1" applyBorder="1"/>
    <xf numFmtId="49" fontId="50" fillId="19" borderId="1" xfId="0" applyNumberFormat="1" applyFont="1" applyFill="1" applyBorder="1" applyAlignment="1">
      <alignment horizontal="center"/>
    </xf>
    <xf numFmtId="1" fontId="23" fillId="19" borderId="6" xfId="0" applyNumberFormat="1" applyFont="1" applyFill="1" applyBorder="1" applyAlignment="1">
      <alignment horizontal="center" vertical="center" wrapText="1"/>
    </xf>
    <xf numFmtId="1" fontId="24" fillId="19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24" fillId="20" borderId="5" xfId="0" applyFont="1" applyFill="1" applyBorder="1" applyAlignment="1">
      <alignment horizontal="right"/>
    </xf>
    <xf numFmtId="0" fontId="24" fillId="20" borderId="6" xfId="0" applyFont="1" applyFill="1" applyBorder="1" applyAlignment="1">
      <alignment horizontal="right"/>
    </xf>
    <xf numFmtId="0" fontId="47" fillId="19" borderId="6" xfId="0" applyFont="1" applyFill="1" applyBorder="1" applyAlignment="1">
      <alignment horizontal="right" vertical="center" wrapText="1"/>
    </xf>
    <xf numFmtId="0" fontId="47" fillId="6" borderId="6" xfId="0" applyFont="1" applyFill="1" applyBorder="1" applyAlignment="1">
      <alignment horizontal="right" vertical="center" wrapText="1"/>
    </xf>
    <xf numFmtId="0" fontId="47" fillId="20" borderId="6" xfId="0" applyFont="1" applyFill="1" applyBorder="1" applyAlignment="1">
      <alignment horizontal="right" vertical="center" wrapText="1"/>
    </xf>
    <xf numFmtId="49" fontId="48" fillId="19" borderId="1" xfId="0" applyNumberFormat="1" applyFont="1" applyFill="1" applyBorder="1" applyAlignment="1">
      <alignment horizontal="center"/>
    </xf>
    <xf numFmtId="0" fontId="67" fillId="3" borderId="0" xfId="0" applyFont="1" applyFill="1"/>
    <xf numFmtId="49" fontId="75" fillId="3" borderId="0" xfId="0" applyNumberFormat="1" applyFont="1" applyFill="1" applyAlignment="1">
      <alignment horizontal="center"/>
    </xf>
    <xf numFmtId="0" fontId="66" fillId="19" borderId="5" xfId="0" applyFont="1" applyFill="1" applyBorder="1" applyAlignment="1">
      <alignment horizontal="left"/>
    </xf>
    <xf numFmtId="0" fontId="66" fillId="19" borderId="6" xfId="0" applyFont="1" applyFill="1" applyBorder="1" applyAlignment="1">
      <alignment horizontal="center"/>
    </xf>
    <xf numFmtId="0" fontId="66" fillId="6" borderId="6" xfId="0" applyFont="1" applyFill="1" applyBorder="1" applyAlignment="1">
      <alignment horizontal="center"/>
    </xf>
    <xf numFmtId="0" fontId="66" fillId="20" borderId="6" xfId="0" applyFont="1" applyFill="1" applyBorder="1" applyAlignment="1">
      <alignment horizontal="center"/>
    </xf>
    <xf numFmtId="0" fontId="47" fillId="6" borderId="6" xfId="0" applyFont="1" applyFill="1" applyBorder="1" applyAlignment="1">
      <alignment horizontal="center" vertical="center" wrapText="1"/>
    </xf>
    <xf numFmtId="0" fontId="47" fillId="20" borderId="6" xfId="0" applyFont="1" applyFill="1" applyBorder="1" applyAlignment="1">
      <alignment horizontal="center" vertical="center" wrapText="1"/>
    </xf>
    <xf numFmtId="0" fontId="76" fillId="9" borderId="4" xfId="0" applyFont="1" applyFill="1" applyBorder="1" applyAlignment="1">
      <alignment horizontal="left" wrapText="1"/>
    </xf>
    <xf numFmtId="0" fontId="76" fillId="9" borderId="1" xfId="0" applyFont="1" applyFill="1" applyBorder="1" applyAlignment="1">
      <alignment horizontal="center"/>
    </xf>
    <xf numFmtId="0" fontId="76" fillId="9" borderId="2" xfId="0" applyFont="1" applyFill="1" applyBorder="1"/>
    <xf numFmtId="0" fontId="76" fillId="9" borderId="1" xfId="0" applyFont="1" applyFill="1" applyBorder="1"/>
    <xf numFmtId="0" fontId="76" fillId="9" borderId="11" xfId="0" applyFont="1" applyFill="1" applyBorder="1"/>
    <xf numFmtId="0" fontId="76" fillId="9" borderId="3" xfId="0" applyFont="1" applyFill="1" applyBorder="1"/>
    <xf numFmtId="0" fontId="76" fillId="9" borderId="10" xfId="0" applyFont="1" applyFill="1" applyBorder="1" applyAlignment="1">
      <alignment vertical="center" wrapText="1"/>
    </xf>
    <xf numFmtId="0" fontId="76" fillId="9" borderId="5" xfId="0" applyFont="1" applyFill="1" applyBorder="1" applyAlignment="1">
      <alignment vertical="center" wrapText="1"/>
    </xf>
    <xf numFmtId="0" fontId="76" fillId="9" borderId="1" xfId="0" applyFont="1" applyFill="1" applyBorder="1" applyAlignment="1">
      <alignment vertical="center" wrapText="1"/>
    </xf>
    <xf numFmtId="0" fontId="76" fillId="9" borderId="1" xfId="0" applyFont="1" applyFill="1" applyBorder="1" applyAlignment="1">
      <alignment horizontal="center" vertical="center" wrapText="1"/>
    </xf>
    <xf numFmtId="0" fontId="76" fillId="9" borderId="6" xfId="0" applyFont="1" applyFill="1" applyBorder="1" applyAlignment="1">
      <alignment horizontal="center" vertical="center" wrapText="1"/>
    </xf>
    <xf numFmtId="0" fontId="77" fillId="9" borderId="7" xfId="0" applyFont="1" applyFill="1" applyBorder="1"/>
    <xf numFmtId="49" fontId="77" fillId="9" borderId="7" xfId="0" applyNumberFormat="1" applyFont="1" applyFill="1" applyBorder="1"/>
    <xf numFmtId="0" fontId="77" fillId="9" borderId="8" xfId="0" applyFont="1" applyFill="1" applyBorder="1"/>
    <xf numFmtId="0" fontId="77" fillId="9" borderId="1" xfId="0" applyFont="1" applyFill="1" applyBorder="1"/>
    <xf numFmtId="0" fontId="77" fillId="9" borderId="9" xfId="0" applyFont="1" applyFill="1" applyBorder="1"/>
    <xf numFmtId="0" fontId="76" fillId="9" borderId="1" xfId="0" applyFont="1" applyFill="1" applyBorder="1" applyAlignment="1">
      <alignment horizontal="right"/>
    </xf>
    <xf numFmtId="0" fontId="76" fillId="8" borderId="0" xfId="0" applyFont="1" applyFill="1"/>
    <xf numFmtId="0" fontId="76" fillId="8" borderId="5" xfId="0" applyFont="1" applyFill="1" applyBorder="1" applyAlignment="1">
      <alignment vertical="center" wrapText="1"/>
    </xf>
    <xf numFmtId="0" fontId="76" fillId="8" borderId="6" xfId="0" applyFont="1" applyFill="1" applyBorder="1" applyAlignment="1">
      <alignment vertical="center" wrapText="1"/>
    </xf>
    <xf numFmtId="0" fontId="77" fillId="0" borderId="0" xfId="0" applyFont="1"/>
    <xf numFmtId="14" fontId="17" fillId="0" borderId="0" xfId="0" applyNumberFormat="1" applyFont="1" applyAlignment="1">
      <alignment horizontal="left"/>
    </xf>
    <xf numFmtId="49" fontId="48" fillId="20" borderId="5" xfId="0" applyNumberFormat="1" applyFont="1" applyFill="1" applyBorder="1" applyAlignment="1">
      <alignment horizontal="center"/>
    </xf>
    <xf numFmtId="49" fontId="51" fillId="19" borderId="1" xfId="0" applyNumberFormat="1" applyFont="1" applyFill="1" applyBorder="1" applyAlignment="1">
      <alignment horizontal="center"/>
    </xf>
    <xf numFmtId="2" fontId="17" fillId="3" borderId="17" xfId="0" applyNumberFormat="1" applyFont="1" applyFill="1" applyBorder="1" applyAlignment="1">
      <alignment horizontal="right"/>
    </xf>
    <xf numFmtId="0" fontId="17" fillId="8" borderId="1" xfId="0" applyFont="1" applyFill="1" applyBorder="1" applyAlignment="1">
      <alignment horizontal="center"/>
    </xf>
    <xf numFmtId="49" fontId="50" fillId="20" borderId="5" xfId="0" applyNumberFormat="1" applyFont="1" applyFill="1" applyBorder="1" applyAlignment="1">
      <alignment horizontal="center"/>
    </xf>
    <xf numFmtId="0" fontId="24" fillId="19" borderId="6" xfId="0" applyFont="1" applyFill="1" applyBorder="1"/>
    <xf numFmtId="0" fontId="5" fillId="0" borderId="0" xfId="0" applyFont="1"/>
    <xf numFmtId="0" fontId="78" fillId="6" borderId="6" xfId="0" applyFont="1" applyFill="1" applyBorder="1" applyAlignment="1">
      <alignment horizontal="center" vertical="center" wrapText="1"/>
    </xf>
    <xf numFmtId="0" fontId="24" fillId="6" borderId="13" xfId="0" applyFont="1" applyFill="1" applyBorder="1"/>
    <xf numFmtId="0" fontId="24" fillId="20" borderId="13" xfId="0" applyFont="1" applyFill="1" applyBorder="1"/>
    <xf numFmtId="0" fontId="56" fillId="4" borderId="5" xfId="0" applyFont="1" applyFill="1" applyBorder="1" applyAlignment="1">
      <alignment vertical="center" wrapText="1"/>
    </xf>
    <xf numFmtId="49" fontId="24" fillId="6" borderId="7" xfId="0" applyNumberFormat="1" applyFont="1" applyFill="1" applyBorder="1" applyAlignment="1">
      <alignment horizontal="right"/>
    </xf>
    <xf numFmtId="0" fontId="24" fillId="6" borderId="7" xfId="0" applyFont="1" applyFill="1" applyBorder="1" applyAlignment="1">
      <alignment horizontal="right"/>
    </xf>
    <xf numFmtId="0" fontId="24" fillId="20" borderId="7" xfId="0" applyFont="1" applyFill="1" applyBorder="1" applyAlignment="1">
      <alignment horizontal="right"/>
    </xf>
    <xf numFmtId="0" fontId="24" fillId="19" borderId="7" xfId="0" applyFont="1" applyFill="1" applyBorder="1" applyAlignment="1">
      <alignment horizontal="right"/>
    </xf>
    <xf numFmtId="0" fontId="23" fillId="6" borderId="3" xfId="0" applyFont="1" applyFill="1" applyBorder="1"/>
    <xf numFmtId="0" fontId="71" fillId="19" borderId="1" xfId="0" applyFont="1" applyFill="1" applyBorder="1" applyAlignment="1">
      <alignment horizontal="center" vertical="center" wrapText="1"/>
    </xf>
    <xf numFmtId="0" fontId="72" fillId="0" borderId="0" xfId="0" applyFont="1"/>
    <xf numFmtId="0" fontId="71" fillId="3" borderId="0" xfId="0" applyFont="1" applyFill="1"/>
    <xf numFmtId="0" fontId="71" fillId="19" borderId="1" xfId="0" applyFont="1" applyFill="1" applyBorder="1"/>
    <xf numFmtId="0" fontId="71" fillId="6" borderId="1" xfId="0" applyFont="1" applyFill="1" applyBorder="1" applyAlignment="1">
      <alignment horizontal="center" vertical="center" wrapText="1"/>
    </xf>
    <xf numFmtId="0" fontId="71" fillId="20" borderId="1" xfId="0" applyFont="1" applyFill="1" applyBorder="1" applyAlignment="1">
      <alignment horizontal="center" vertical="center" wrapText="1"/>
    </xf>
    <xf numFmtId="0" fontId="71" fillId="19" borderId="5" xfId="0" applyFont="1" applyFill="1" applyBorder="1"/>
    <xf numFmtId="0" fontId="23" fillId="25" borderId="2" xfId="0" applyFont="1" applyFill="1" applyBorder="1" applyAlignment="1">
      <alignment vertical="center" wrapText="1"/>
    </xf>
    <xf numFmtId="0" fontId="23" fillId="25" borderId="4" xfId="0" applyFont="1" applyFill="1" applyBorder="1" applyAlignment="1">
      <alignment horizontal="center" vertical="center" wrapText="1"/>
    </xf>
    <xf numFmtId="0" fontId="23" fillId="25" borderId="6" xfId="0" applyFont="1" applyFill="1" applyBorder="1" applyAlignment="1">
      <alignment horizontal="center" vertical="center" wrapText="1"/>
    </xf>
    <xf numFmtId="0" fontId="24" fillId="25" borderId="6" xfId="0" applyFont="1" applyFill="1" applyBorder="1" applyAlignment="1">
      <alignment horizontal="center" vertical="center" wrapText="1"/>
    </xf>
    <xf numFmtId="0" fontId="24" fillId="25" borderId="1" xfId="0" applyFont="1" applyFill="1" applyBorder="1"/>
    <xf numFmtId="0" fontId="24" fillId="25" borderId="4" xfId="0" applyFont="1" applyFill="1" applyBorder="1"/>
    <xf numFmtId="16" fontId="23" fillId="25" borderId="5" xfId="0" applyNumberFormat="1" applyFont="1" applyFill="1" applyBorder="1" applyAlignment="1">
      <alignment horizontal="left" vertical="center" wrapText="1"/>
    </xf>
    <xf numFmtId="0" fontId="23" fillId="25" borderId="6" xfId="0" applyFont="1" applyFill="1" applyBorder="1" applyAlignment="1">
      <alignment vertical="center" wrapText="1"/>
    </xf>
    <xf numFmtId="0" fontId="72" fillId="25" borderId="6" xfId="0" applyFont="1" applyFill="1" applyBorder="1" applyAlignment="1">
      <alignment horizontal="center" vertical="center" wrapText="1"/>
    </xf>
    <xf numFmtId="49" fontId="48" fillId="25" borderId="1" xfId="0" applyNumberFormat="1" applyFont="1" applyFill="1" applyBorder="1" applyAlignment="1">
      <alignment horizontal="center"/>
    </xf>
    <xf numFmtId="49" fontId="23" fillId="25" borderId="1" xfId="0" applyNumberFormat="1" applyFont="1" applyFill="1" applyBorder="1" applyAlignment="1">
      <alignment horizontal="center"/>
    </xf>
    <xf numFmtId="0" fontId="23" fillId="25" borderId="1" xfId="0" applyFont="1" applyFill="1" applyBorder="1" applyAlignment="1">
      <alignment vertical="center" wrapText="1"/>
    </xf>
    <xf numFmtId="16" fontId="23" fillId="25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71" fillId="0" borderId="0" xfId="0" applyFont="1"/>
    <xf numFmtId="0" fontId="23" fillId="25" borderId="1" xfId="0" applyFont="1" applyFill="1" applyBorder="1" applyAlignment="1">
      <alignment horizontal="center" vertical="center" wrapText="1"/>
    </xf>
    <xf numFmtId="49" fontId="49" fillId="25" borderId="1" xfId="0" applyNumberFormat="1" applyFont="1" applyFill="1" applyBorder="1" applyAlignment="1">
      <alignment horizontal="center"/>
    </xf>
    <xf numFmtId="0" fontId="24" fillId="25" borderId="9" xfId="0" applyFont="1" applyFill="1" applyBorder="1"/>
    <xf numFmtId="0" fontId="23" fillId="25" borderId="6" xfId="0" applyFont="1" applyFill="1" applyBorder="1" applyAlignment="1">
      <alignment horizontal="left" vertical="center" wrapText="1"/>
    </xf>
    <xf numFmtId="0" fontId="71" fillId="19" borderId="5" xfId="0" applyFont="1" applyFill="1" applyBorder="1" applyAlignment="1">
      <alignment horizontal="center" vertical="center" wrapText="1"/>
    </xf>
    <xf numFmtId="0" fontId="23" fillId="25" borderId="16" xfId="0" applyFont="1" applyFill="1" applyBorder="1" applyAlignment="1">
      <alignment vertical="center" wrapText="1"/>
    </xf>
    <xf numFmtId="0" fontId="71" fillId="6" borderId="0" xfId="0" applyFont="1" applyFill="1"/>
    <xf numFmtId="0" fontId="72" fillId="6" borderId="0" xfId="0" applyFont="1" applyFill="1"/>
    <xf numFmtId="0" fontId="71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horizontal="right" vertical="center"/>
    </xf>
    <xf numFmtId="0" fontId="72" fillId="6" borderId="0" xfId="0" applyFont="1" applyFill="1" applyAlignment="1">
      <alignment vertical="center"/>
    </xf>
    <xf numFmtId="10" fontId="72" fillId="6" borderId="0" xfId="0" applyNumberFormat="1" applyFont="1" applyFill="1" applyAlignment="1">
      <alignment vertical="center"/>
    </xf>
    <xf numFmtId="0" fontId="72" fillId="6" borderId="0" xfId="0" applyFont="1" applyFill="1" applyAlignment="1">
      <alignment horizontal="right"/>
    </xf>
    <xf numFmtId="0" fontId="79" fillId="6" borderId="0" xfId="0" applyFont="1" applyFill="1"/>
    <xf numFmtId="0" fontId="40" fillId="6" borderId="0" xfId="0" applyFont="1" applyFill="1"/>
    <xf numFmtId="0" fontId="80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21" fillId="3" borderId="0" xfId="0" applyFont="1" applyFill="1" applyAlignment="1">
      <alignment horizontal="center"/>
    </xf>
    <xf numFmtId="0" fontId="3" fillId="0" borderId="0" xfId="0" applyFont="1"/>
    <xf numFmtId="0" fontId="17" fillId="0" borderId="0" xfId="0" applyFont="1" applyAlignment="1">
      <alignment horizontal="center"/>
    </xf>
    <xf numFmtId="0" fontId="20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center" wrapText="1"/>
    </xf>
    <xf numFmtId="0" fontId="20" fillId="3" borderId="0" xfId="0" applyFont="1" applyFill="1" applyAlignment="1">
      <alignment horizontal="center" vertical="center" wrapText="1"/>
    </xf>
    <xf numFmtId="20" fontId="71" fillId="6" borderId="0" xfId="0" applyNumberFormat="1" applyFont="1" applyFill="1"/>
    <xf numFmtId="0" fontId="71" fillId="6" borderId="0" xfId="0" applyFont="1" applyFill="1" applyAlignment="1">
      <alignment horizontal="left"/>
    </xf>
    <xf numFmtId="0" fontId="71" fillId="6" borderId="0" xfId="0" applyFont="1" applyFill="1" applyAlignment="1">
      <alignment horizontal="center"/>
    </xf>
    <xf numFmtId="0" fontId="71" fillId="6" borderId="0" xfId="0" applyFont="1" applyFill="1" applyAlignment="1">
      <alignment vertical="center"/>
    </xf>
    <xf numFmtId="49" fontId="71" fillId="6" borderId="0" xfId="0" applyNumberFormat="1" applyFont="1" applyFill="1"/>
    <xf numFmtId="0" fontId="72" fillId="3" borderId="0" xfId="0" applyFont="1" applyFill="1"/>
    <xf numFmtId="0" fontId="20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 vertical="center" wrapText="1"/>
    </xf>
    <xf numFmtId="2" fontId="17" fillId="0" borderId="1" xfId="0" applyNumberFormat="1" applyFont="1" applyBorder="1" applyAlignment="1">
      <alignment horizontal="right"/>
    </xf>
    <xf numFmtId="0" fontId="71" fillId="6" borderId="7" xfId="0" applyFont="1" applyFill="1" applyBorder="1"/>
    <xf numFmtId="0" fontId="17" fillId="0" borderId="1" xfId="0" applyFont="1" applyBorder="1"/>
    <xf numFmtId="0" fontId="17" fillId="8" borderId="24" xfId="0" applyFont="1" applyFill="1" applyBorder="1" applyAlignment="1">
      <alignment horizontal="center"/>
    </xf>
    <xf numFmtId="0" fontId="81" fillId="18" borderId="6" xfId="0" applyFont="1" applyFill="1" applyBorder="1" applyAlignment="1">
      <alignment vertical="center" wrapText="1"/>
    </xf>
    <xf numFmtId="0" fontId="65" fillId="10" borderId="6" xfId="0" applyFont="1" applyFill="1" applyBorder="1" applyAlignment="1">
      <alignment vertical="center" wrapText="1"/>
    </xf>
    <xf numFmtId="0" fontId="65" fillId="7" borderId="6" xfId="0" applyFont="1" applyFill="1" applyBorder="1" applyAlignment="1">
      <alignment vertical="center" wrapText="1"/>
    </xf>
    <xf numFmtId="0" fontId="65" fillId="4" borderId="6" xfId="0" applyFont="1" applyFill="1" applyBorder="1" applyAlignment="1">
      <alignment vertical="center" wrapText="1"/>
    </xf>
    <xf numFmtId="0" fontId="40" fillId="6" borderId="0" xfId="0" applyFont="1" applyFill="1" applyAlignment="1">
      <alignment horizontal="right" vertical="center"/>
    </xf>
    <xf numFmtId="0" fontId="69" fillId="6" borderId="0" xfId="0" applyFont="1" applyFill="1"/>
    <xf numFmtId="0" fontId="40" fillId="6" borderId="0" xfId="0" applyFont="1" applyFill="1" applyAlignment="1">
      <alignment horizontal="right"/>
    </xf>
    <xf numFmtId="0" fontId="40" fillId="6" borderId="0" xfId="0" applyFont="1" applyFill="1" applyAlignment="1">
      <alignment horizontal="center"/>
    </xf>
    <xf numFmtId="0" fontId="40" fillId="6" borderId="0" xfId="0" applyFont="1" applyFill="1" applyAlignment="1">
      <alignment horizontal="left"/>
    </xf>
    <xf numFmtId="0" fontId="80" fillId="6" borderId="0" xfId="0" applyFont="1" applyFill="1" applyAlignment="1">
      <alignment horizontal="center"/>
    </xf>
    <xf numFmtId="0" fontId="20" fillId="27" borderId="4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7" fillId="18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1" fontId="0" fillId="3" borderId="0" xfId="0" applyNumberFormat="1" applyFill="1"/>
    <xf numFmtId="49" fontId="0" fillId="3" borderId="0" xfId="0" applyNumberFormat="1" applyFill="1"/>
    <xf numFmtId="1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center"/>
    </xf>
    <xf numFmtId="1" fontId="21" fillId="3" borderId="0" xfId="0" applyNumberFormat="1" applyFont="1" applyFill="1" applyAlignment="1">
      <alignment horizontal="right"/>
    </xf>
    <xf numFmtId="1" fontId="40" fillId="6" borderId="0" xfId="0" applyNumberFormat="1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center"/>
    </xf>
    <xf numFmtId="0" fontId="18" fillId="24" borderId="4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30" borderId="4" xfId="0" applyFont="1" applyFill="1" applyBorder="1" applyAlignment="1">
      <alignment vertical="center" wrapText="1"/>
    </xf>
    <xf numFmtId="0" fontId="18" fillId="31" borderId="4" xfId="0" applyFont="1" applyFill="1" applyBorder="1" applyAlignment="1">
      <alignment vertical="center" wrapText="1"/>
    </xf>
    <xf numFmtId="0" fontId="21" fillId="24" borderId="6" xfId="0" applyFont="1" applyFill="1" applyBorder="1" applyAlignment="1">
      <alignment horizontal="right" vertical="center" wrapText="1"/>
    </xf>
    <xf numFmtId="0" fontId="21" fillId="5" borderId="6" xfId="0" applyFont="1" applyFill="1" applyBorder="1" applyAlignment="1">
      <alignment horizontal="right" vertical="center" wrapText="1"/>
    </xf>
    <xf numFmtId="0" fontId="21" fillId="30" borderId="6" xfId="0" applyFont="1" applyFill="1" applyBorder="1" applyAlignment="1">
      <alignment horizontal="right" vertical="center" wrapText="1"/>
    </xf>
    <xf numFmtId="0" fontId="21" fillId="31" borderId="6" xfId="0" applyFont="1" applyFill="1" applyBorder="1" applyAlignment="1">
      <alignment horizontal="right" vertical="center" wrapText="1"/>
    </xf>
    <xf numFmtId="0" fontId="82" fillId="3" borderId="0" xfId="0" applyFont="1" applyFill="1"/>
    <xf numFmtId="49" fontId="20" fillId="25" borderId="4" xfId="0" applyNumberFormat="1" applyFont="1" applyFill="1" applyBorder="1" applyAlignment="1">
      <alignment horizontal="center" vertical="center" wrapText="1"/>
    </xf>
    <xf numFmtId="0" fontId="20" fillId="26" borderId="4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right"/>
    </xf>
    <xf numFmtId="0" fontId="80" fillId="0" borderId="0" xfId="0" applyFont="1"/>
    <xf numFmtId="0" fontId="21" fillId="24" borderId="0" xfId="0" applyFont="1" applyFill="1" applyAlignment="1">
      <alignment horizontal="right"/>
    </xf>
    <xf numFmtId="0" fontId="21" fillId="24" borderId="0" xfId="0" applyFont="1" applyFill="1" applyAlignment="1">
      <alignment horizontal="center"/>
    </xf>
    <xf numFmtId="0" fontId="2" fillId="0" borderId="0" xfId="0" applyFont="1"/>
    <xf numFmtId="0" fontId="17" fillId="6" borderId="2" xfId="0" applyFont="1" applyFill="1" applyBorder="1"/>
    <xf numFmtId="0" fontId="23" fillId="6" borderId="5" xfId="0" applyFont="1" applyFill="1" applyBorder="1"/>
    <xf numFmtId="14" fontId="20" fillId="0" borderId="0" xfId="0" applyNumberFormat="1" applyFont="1" applyAlignment="1">
      <alignment horizontal="left"/>
    </xf>
    <xf numFmtId="0" fontId="40" fillId="6" borderId="0" xfId="0" applyFont="1" applyFill="1" applyAlignment="1">
      <alignment horizontal="right" vertical="center" wrapText="1"/>
    </xf>
    <xf numFmtId="0" fontId="21" fillId="6" borderId="0" xfId="0" applyFont="1" applyFill="1"/>
    <xf numFmtId="0" fontId="40" fillId="6" borderId="3" xfId="0" applyFont="1" applyFill="1" applyBorder="1"/>
    <xf numFmtId="0" fontId="69" fillId="6" borderId="3" xfId="0" applyFont="1" applyFill="1" applyBorder="1"/>
    <xf numFmtId="0" fontId="69" fillId="6" borderId="4" xfId="0" applyFont="1" applyFill="1" applyBorder="1"/>
    <xf numFmtId="0" fontId="0" fillId="3" borderId="18" xfId="0" applyFill="1" applyBorder="1"/>
    <xf numFmtId="0" fontId="20" fillId="6" borderId="0" xfId="0" applyFont="1" applyFill="1"/>
    <xf numFmtId="0" fontId="18" fillId="6" borderId="1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vertical="center" wrapText="1"/>
    </xf>
    <xf numFmtId="0" fontId="69" fillId="6" borderId="1" xfId="0" applyFont="1" applyFill="1" applyBorder="1" applyAlignment="1">
      <alignment horizontal="right" vertical="center" wrapText="1"/>
    </xf>
    <xf numFmtId="0" fontId="69" fillId="6" borderId="5" xfId="0" applyFont="1" applyFill="1" applyBorder="1" applyAlignment="1">
      <alignment horizontal="right" vertical="center" wrapText="1"/>
    </xf>
    <xf numFmtId="0" fontId="69" fillId="6" borderId="6" xfId="0" applyFont="1" applyFill="1" applyBorder="1" applyAlignment="1">
      <alignment vertical="center" wrapText="1"/>
    </xf>
    <xf numFmtId="0" fontId="40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vertical="center" wrapText="1"/>
    </xf>
    <xf numFmtId="0" fontId="69" fillId="6" borderId="0" xfId="0" applyFont="1" applyFill="1" applyAlignment="1">
      <alignment horizontal="right" vertical="center" wrapText="1"/>
    </xf>
    <xf numFmtId="0" fontId="40" fillId="6" borderId="8" xfId="0" applyFont="1" applyFill="1" applyBorder="1"/>
    <xf numFmtId="0" fontId="69" fillId="6" borderId="9" xfId="0" applyFont="1" applyFill="1" applyBorder="1"/>
    <xf numFmtId="0" fontId="82" fillId="6" borderId="9" xfId="0" applyFont="1" applyFill="1" applyBorder="1"/>
    <xf numFmtId="0" fontId="82" fillId="6" borderId="20" xfId="0" applyFont="1" applyFill="1" applyBorder="1"/>
    <xf numFmtId="0" fontId="23" fillId="6" borderId="13" xfId="0" applyFont="1" applyFill="1" applyBorder="1" applyAlignment="1">
      <alignment vertical="center" wrapText="1"/>
    </xf>
    <xf numFmtId="0" fontId="0" fillId="6" borderId="20" xfId="0" applyFill="1" applyBorder="1"/>
    <xf numFmtId="0" fontId="23" fillId="6" borderId="13" xfId="0" applyFont="1" applyFill="1" applyBorder="1" applyAlignment="1">
      <alignment horizontal="right"/>
    </xf>
    <xf numFmtId="0" fontId="20" fillId="3" borderId="0" xfId="0" applyFont="1" applyFill="1" applyAlignment="1">
      <alignment vertical="center" wrapText="1"/>
    </xf>
    <xf numFmtId="0" fontId="40" fillId="6" borderId="2" xfId="0" applyFont="1" applyFill="1" applyBorder="1"/>
    <xf numFmtId="0" fontId="21" fillId="6" borderId="3" xfId="0" applyFont="1" applyFill="1" applyBorder="1"/>
    <xf numFmtId="0" fontId="17" fillId="6" borderId="0" xfId="0" applyFont="1" applyFill="1" applyAlignment="1">
      <alignment horizontal="center"/>
    </xf>
    <xf numFmtId="0" fontId="1" fillId="0" borderId="0" xfId="0" applyFont="1"/>
    <xf numFmtId="0" fontId="21" fillId="32" borderId="0" xfId="0" applyFont="1" applyFill="1"/>
    <xf numFmtId="0" fontId="0" fillId="32" borderId="0" xfId="0" applyFill="1"/>
    <xf numFmtId="0" fontId="21" fillId="33" borderId="0" xfId="0" applyFont="1" applyFill="1"/>
    <xf numFmtId="0" fontId="0" fillId="33" borderId="0" xfId="0" applyFill="1"/>
    <xf numFmtId="0" fontId="0" fillId="33" borderId="0" xfId="0" applyFill="1" applyAlignment="1">
      <alignment horizontal="center"/>
    </xf>
    <xf numFmtId="0" fontId="17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20" fillId="32" borderId="0" xfId="0" applyFont="1" applyFill="1" applyAlignment="1">
      <alignment horizontal="center"/>
    </xf>
    <xf numFmtId="0" fontId="0" fillId="32" borderId="0" xfId="0" applyFill="1" applyAlignment="1">
      <alignment horizontal="center"/>
    </xf>
    <xf numFmtId="0" fontId="17" fillId="32" borderId="0" xfId="0" applyFont="1" applyFill="1" applyAlignment="1">
      <alignment horizontal="center"/>
    </xf>
    <xf numFmtId="0" fontId="21" fillId="32" borderId="0" xfId="0" applyFont="1" applyFill="1" applyAlignment="1">
      <alignment horizontal="center"/>
    </xf>
    <xf numFmtId="0" fontId="20" fillId="13" borderId="3" xfId="0" applyFont="1" applyFill="1" applyBorder="1" applyAlignment="1">
      <alignment horizontal="left" wrapText="1"/>
    </xf>
    <xf numFmtId="0" fontId="20" fillId="13" borderId="1" xfId="0" applyFont="1" applyFill="1" applyBorder="1" applyAlignment="1">
      <alignment horizontal="center"/>
    </xf>
    <xf numFmtId="0" fontId="20" fillId="13" borderId="2" xfId="0" applyFont="1" applyFill="1" applyBorder="1"/>
    <xf numFmtId="0" fontId="20" fillId="13" borderId="1" xfId="0" applyFont="1" applyFill="1" applyBorder="1"/>
    <xf numFmtId="0" fontId="20" fillId="13" borderId="11" xfId="0" applyFont="1" applyFill="1" applyBorder="1"/>
    <xf numFmtId="0" fontId="20" fillId="13" borderId="3" xfId="0" applyFont="1" applyFill="1" applyBorder="1"/>
    <xf numFmtId="0" fontId="20" fillId="13" borderId="10" xfId="0" applyFont="1" applyFill="1" applyBorder="1" applyAlignment="1">
      <alignment vertical="center" wrapText="1"/>
    </xf>
    <xf numFmtId="0" fontId="20" fillId="13" borderId="5" xfId="0" applyFont="1" applyFill="1" applyBorder="1" applyAlignment="1">
      <alignment vertical="center" wrapText="1"/>
    </xf>
    <xf numFmtId="0" fontId="20" fillId="13" borderId="1" xfId="0" applyFont="1" applyFill="1" applyBorder="1" applyAlignment="1">
      <alignment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 vertical="center" wrapText="1"/>
    </xf>
    <xf numFmtId="0" fontId="21" fillId="13" borderId="7" xfId="0" applyFont="1" applyFill="1" applyBorder="1"/>
    <xf numFmtId="49" fontId="21" fillId="13" borderId="7" xfId="0" applyNumberFormat="1" applyFont="1" applyFill="1" applyBorder="1"/>
    <xf numFmtId="0" fontId="21" fillId="13" borderId="8" xfId="0" applyFont="1" applyFill="1" applyBorder="1"/>
    <xf numFmtId="0" fontId="21" fillId="13" borderId="12" xfId="0" applyFont="1" applyFill="1" applyBorder="1"/>
    <xf numFmtId="0" fontId="21" fillId="13" borderId="9" xfId="0" applyFont="1" applyFill="1" applyBorder="1"/>
    <xf numFmtId="0" fontId="20" fillId="13" borderId="1" xfId="0" applyFont="1" applyFill="1" applyBorder="1" applyAlignment="1">
      <alignment horizontal="right"/>
    </xf>
    <xf numFmtId="0" fontId="20" fillId="13" borderId="0" xfId="0" applyFont="1" applyFill="1"/>
    <xf numFmtId="0" fontId="20" fillId="13" borderId="6" xfId="0" applyFont="1" applyFill="1" applyBorder="1" applyAlignment="1">
      <alignment vertical="center" wrapText="1"/>
    </xf>
    <xf numFmtId="0" fontId="83" fillId="13" borderId="6" xfId="0" applyFont="1" applyFill="1" applyBorder="1" applyAlignment="1">
      <alignment vertical="center" wrapText="1"/>
    </xf>
    <xf numFmtId="0" fontId="32" fillId="16" borderId="2" xfId="0" applyFont="1" applyFill="1" applyBorder="1" applyAlignment="1">
      <alignment horizontal="center" vertical="center" wrapText="1"/>
    </xf>
    <xf numFmtId="0" fontId="32" fillId="16" borderId="4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8" borderId="4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32" fillId="15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1" fillId="6" borderId="0" xfId="0" applyFont="1" applyFill="1" applyAlignment="1">
      <alignment horizontal="left" vertical="center"/>
    </xf>
    <xf numFmtId="0" fontId="71" fillId="6" borderId="0" xfId="0" applyFont="1" applyFill="1" applyAlignment="1">
      <alignment horizontal="left"/>
    </xf>
    <xf numFmtId="0" fontId="72" fillId="6" borderId="0" xfId="0" applyFont="1" applyFill="1" applyAlignment="1">
      <alignment horizontal="left"/>
    </xf>
    <xf numFmtId="0" fontId="71" fillId="6" borderId="0" xfId="0" applyFont="1" applyFill="1" applyAlignment="1">
      <alignment horizontal="right" vertical="center"/>
    </xf>
    <xf numFmtId="0" fontId="72" fillId="6" borderId="0" xfId="0" applyFont="1" applyFill="1"/>
    <xf numFmtId="0" fontId="71" fillId="6" borderId="0" xfId="0" applyFont="1" applyFill="1"/>
    <xf numFmtId="0" fontId="71" fillId="6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18" fillId="0" borderId="0" xfId="0" applyFont="1"/>
    <xf numFmtId="0" fontId="71" fillId="6" borderId="0" xfId="0" applyFont="1" applyFill="1" applyAlignment="1">
      <alignment horizontal="center"/>
    </xf>
    <xf numFmtId="0" fontId="72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0" fillId="28" borderId="2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20" fillId="2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2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/>
    <xf numFmtId="0" fontId="24" fillId="6" borderId="4" xfId="0" applyFont="1" applyFill="1" applyBorder="1"/>
    <xf numFmtId="0" fontId="40" fillId="6" borderId="0" xfId="0" applyFont="1" applyFill="1" applyAlignment="1">
      <alignment vertical="center"/>
    </xf>
    <xf numFmtId="0" fontId="69" fillId="6" borderId="0" xfId="0" applyFont="1" applyFill="1"/>
    <xf numFmtId="0" fontId="0" fillId="3" borderId="0" xfId="0" applyFill="1" applyAlignment="1">
      <alignment horizontal="center"/>
    </xf>
    <xf numFmtId="0" fontId="21" fillId="3" borderId="0" xfId="0" applyFont="1" applyFill="1"/>
    <xf numFmtId="0" fontId="0" fillId="0" borderId="0" xfId="0"/>
    <xf numFmtId="0" fontId="21" fillId="3" borderId="0" xfId="0" applyFont="1" applyFill="1" applyAlignment="1">
      <alignment wrapText="1"/>
    </xf>
    <xf numFmtId="0" fontId="23" fillId="23" borderId="2" xfId="0" applyFont="1" applyFill="1" applyBorder="1" applyAlignment="1">
      <alignment horizontal="center" wrapText="1"/>
    </xf>
    <xf numFmtId="0" fontId="23" fillId="23" borderId="4" xfId="0" applyFont="1" applyFill="1" applyBorder="1" applyAlignment="1">
      <alignment horizontal="center" wrapText="1"/>
    </xf>
    <xf numFmtId="0" fontId="23" fillId="23" borderId="3" xfId="0" applyFont="1" applyFill="1" applyBorder="1" applyAlignment="1">
      <alignment horizontal="center" wrapText="1"/>
    </xf>
    <xf numFmtId="0" fontId="23" fillId="23" borderId="2" xfId="0" applyFont="1" applyFill="1" applyBorder="1" applyAlignment="1">
      <alignment horizontal="left" wrapText="1"/>
    </xf>
    <xf numFmtId="0" fontId="23" fillId="23" borderId="3" xfId="0" applyFont="1" applyFill="1" applyBorder="1" applyAlignment="1">
      <alignment horizontal="left" wrapText="1"/>
    </xf>
    <xf numFmtId="0" fontId="23" fillId="23" borderId="2" xfId="0" applyFont="1" applyFill="1" applyBorder="1" applyAlignment="1">
      <alignment horizontal="center" vertical="center" wrapText="1"/>
    </xf>
    <xf numFmtId="0" fontId="23" fillId="23" borderId="3" xfId="0" applyFont="1" applyFill="1" applyBorder="1" applyAlignment="1">
      <alignment horizontal="center" vertical="center" wrapText="1"/>
    </xf>
    <xf numFmtId="0" fontId="23" fillId="23" borderId="4" xfId="0" applyFont="1" applyFill="1" applyBorder="1" applyAlignment="1">
      <alignment horizontal="center" vertical="center" wrapText="1"/>
    </xf>
    <xf numFmtId="0" fontId="23" fillId="23" borderId="2" xfId="0" applyFont="1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23" fillId="23" borderId="16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52" fillId="19" borderId="2" xfId="0" applyFont="1" applyFill="1" applyBorder="1" applyAlignment="1">
      <alignment horizontal="left" vertical="center" wrapText="1"/>
    </xf>
    <xf numFmtId="0" fontId="53" fillId="0" borderId="3" xfId="0" applyFont="1" applyBorder="1" applyAlignment="1">
      <alignment horizontal="left" vertical="center" wrapText="1"/>
    </xf>
    <xf numFmtId="0" fontId="53" fillId="0" borderId="4" xfId="0" applyFont="1" applyBorder="1" applyAlignment="1">
      <alignment horizontal="left" vertical="center" wrapText="1"/>
    </xf>
    <xf numFmtId="0" fontId="59" fillId="19" borderId="10" xfId="0" applyFont="1" applyFill="1" applyBorder="1" applyAlignment="1">
      <alignment horizontal="left" vertical="center" wrapText="1"/>
    </xf>
    <xf numFmtId="0" fontId="59" fillId="19" borderId="16" xfId="0" applyFont="1" applyFill="1" applyBorder="1" applyAlignment="1">
      <alignment horizontal="left" vertical="center" wrapText="1"/>
    </xf>
    <xf numFmtId="0" fontId="59" fillId="19" borderId="6" xfId="0" applyFont="1" applyFill="1" applyBorder="1" applyAlignment="1">
      <alignment horizontal="left" vertical="center" wrapText="1"/>
    </xf>
    <xf numFmtId="0" fontId="66" fillId="19" borderId="2" xfId="0" applyFont="1" applyFill="1" applyBorder="1" applyAlignment="1">
      <alignment horizontal="left" vertical="center" wrapText="1"/>
    </xf>
    <xf numFmtId="0" fontId="67" fillId="0" borderId="3" xfId="0" applyFont="1" applyBorder="1" applyAlignment="1">
      <alignment horizontal="left" vertical="center" wrapText="1"/>
    </xf>
    <xf numFmtId="0" fontId="67" fillId="0" borderId="4" xfId="0" applyFont="1" applyBorder="1" applyAlignment="1">
      <alignment horizontal="left" vertical="center" wrapText="1"/>
    </xf>
    <xf numFmtId="0" fontId="23" fillId="19" borderId="2" xfId="0" applyFont="1" applyFill="1" applyBorder="1" applyAlignment="1">
      <alignment horizontal="left" vertical="center" wrapText="1"/>
    </xf>
    <xf numFmtId="0" fontId="23" fillId="19" borderId="3" xfId="0" applyFont="1" applyFill="1" applyBorder="1" applyAlignment="1">
      <alignment horizontal="left" vertical="center" wrapText="1"/>
    </xf>
    <xf numFmtId="0" fontId="23" fillId="19" borderId="4" xfId="0" applyFont="1" applyFill="1" applyBorder="1" applyAlignment="1">
      <alignment horizontal="left" vertical="center" wrapText="1"/>
    </xf>
    <xf numFmtId="0" fontId="76" fillId="9" borderId="2" xfId="0" applyFont="1" applyFill="1" applyBorder="1" applyAlignment="1">
      <alignment horizontal="center"/>
    </xf>
    <xf numFmtId="0" fontId="77" fillId="0" borderId="3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59" fillId="19" borderId="2" xfId="0" applyFont="1" applyFill="1" applyBorder="1" applyAlignment="1">
      <alignment horizontal="left" vertical="center" wrapText="1"/>
    </xf>
    <xf numFmtId="0" fontId="60" fillId="0" borderId="3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 wrapText="1"/>
    </xf>
    <xf numFmtId="0" fontId="77" fillId="9" borderId="3" xfId="0" applyFont="1" applyFill="1" applyBorder="1" applyAlignment="1">
      <alignment horizontal="center"/>
    </xf>
    <xf numFmtId="0" fontId="77" fillId="9" borderId="4" xfId="0" applyFont="1" applyFill="1" applyBorder="1" applyAlignment="1">
      <alignment horizontal="center"/>
    </xf>
    <xf numFmtId="0" fontId="52" fillId="19" borderId="3" xfId="0" applyFont="1" applyFill="1" applyBorder="1" applyAlignment="1">
      <alignment horizontal="left" vertical="center" wrapText="1"/>
    </xf>
    <xf numFmtId="0" fontId="52" fillId="19" borderId="4" xfId="0" applyFont="1" applyFill="1" applyBorder="1" applyAlignment="1">
      <alignment horizontal="left" vertical="center" wrapText="1"/>
    </xf>
    <xf numFmtId="0" fontId="76" fillId="9" borderId="2" xfId="0" applyFont="1" applyFill="1" applyBorder="1" applyAlignment="1">
      <alignment horizontal="center" vertical="center" wrapText="1"/>
    </xf>
    <xf numFmtId="0" fontId="76" fillId="9" borderId="3" xfId="0" applyFont="1" applyFill="1" applyBorder="1" applyAlignment="1">
      <alignment horizontal="center" vertical="center" wrapText="1"/>
    </xf>
    <xf numFmtId="0" fontId="76" fillId="9" borderId="4" xfId="0" applyFont="1" applyFill="1" applyBorder="1" applyAlignment="1">
      <alignment horizontal="center" vertical="center" wrapText="1"/>
    </xf>
    <xf numFmtId="0" fontId="76" fillId="9" borderId="2" xfId="0" applyFont="1" applyFill="1" applyBorder="1" applyAlignment="1">
      <alignment horizontal="left" wrapText="1"/>
    </xf>
    <xf numFmtId="0" fontId="76" fillId="9" borderId="3" xfId="0" applyFont="1" applyFill="1" applyBorder="1" applyAlignment="1">
      <alignment horizontal="left" wrapText="1"/>
    </xf>
    <xf numFmtId="0" fontId="76" fillId="9" borderId="2" xfId="0" applyFont="1" applyFill="1" applyBorder="1" applyAlignment="1">
      <alignment horizontal="center" wrapText="1"/>
    </xf>
    <xf numFmtId="0" fontId="76" fillId="9" borderId="3" xfId="0" applyFont="1" applyFill="1" applyBorder="1" applyAlignment="1">
      <alignment horizontal="center" wrapText="1"/>
    </xf>
    <xf numFmtId="0" fontId="76" fillId="9" borderId="4" xfId="0" applyFont="1" applyFill="1" applyBorder="1" applyAlignment="1">
      <alignment horizontal="center" wrapText="1"/>
    </xf>
    <xf numFmtId="16" fontId="21" fillId="3" borderId="0" xfId="0" applyNumberFormat="1" applyFont="1" applyFill="1" applyAlignment="1">
      <alignment horizontal="left" vertical="center" wrapText="1"/>
    </xf>
    <xf numFmtId="0" fontId="21" fillId="0" borderId="0" xfId="0" applyFont="1"/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/>
    <xf numFmtId="0" fontId="23" fillId="4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left" wrapText="1"/>
    </xf>
    <xf numFmtId="0" fontId="23" fillId="4" borderId="2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wrapText="1"/>
    </xf>
    <xf numFmtId="0" fontId="23" fillId="4" borderId="4" xfId="0" applyFont="1" applyFill="1" applyBorder="1" applyAlignment="1">
      <alignment horizontal="center" wrapText="1"/>
    </xf>
    <xf numFmtId="0" fontId="41" fillId="19" borderId="2" xfId="0" applyFont="1" applyFill="1" applyBorder="1" applyAlignment="1">
      <alignment horizontal="left" vertical="center" wrapText="1"/>
    </xf>
    <xf numFmtId="0" fontId="41" fillId="19" borderId="3" xfId="0" applyFont="1" applyFill="1" applyBorder="1" applyAlignment="1">
      <alignment horizontal="left" vertical="center" wrapText="1"/>
    </xf>
    <xf numFmtId="0" fontId="41" fillId="19" borderId="4" xfId="0" applyFont="1" applyFill="1" applyBorder="1" applyAlignment="1">
      <alignment horizontal="left" vertical="center" wrapText="1"/>
    </xf>
    <xf numFmtId="0" fontId="40" fillId="19" borderId="2" xfId="0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0" fontId="69" fillId="0" borderId="4" xfId="0" applyFont="1" applyBorder="1" applyAlignment="1">
      <alignment horizontal="left" vertical="center" wrapText="1"/>
    </xf>
    <xf numFmtId="0" fontId="52" fillId="19" borderId="2" xfId="0" applyFont="1" applyFill="1" applyBorder="1" applyAlignment="1">
      <alignment vertical="center" wrapText="1"/>
    </xf>
    <xf numFmtId="0" fontId="53" fillId="0" borderId="3" xfId="0" applyFont="1" applyBorder="1" applyAlignment="1">
      <alignment vertical="center" wrapText="1"/>
    </xf>
    <xf numFmtId="0" fontId="53" fillId="0" borderId="4" xfId="0" applyFont="1" applyBorder="1" applyAlignment="1">
      <alignment vertical="center" wrapText="1"/>
    </xf>
    <xf numFmtId="0" fontId="47" fillId="4" borderId="2" xfId="0" applyFont="1" applyFill="1" applyBorder="1" applyAlignment="1">
      <alignment horizontal="center"/>
    </xf>
    <xf numFmtId="0" fontId="61" fillId="4" borderId="3" xfId="0" applyFont="1" applyFill="1" applyBorder="1" applyAlignment="1">
      <alignment horizontal="center"/>
    </xf>
    <xf numFmtId="0" fontId="61" fillId="4" borderId="4" xfId="0" applyFont="1" applyFill="1" applyBorder="1" applyAlignment="1">
      <alignment horizontal="center"/>
    </xf>
    <xf numFmtId="0" fontId="47" fillId="4" borderId="2" xfId="0" applyFont="1" applyFill="1" applyBorder="1" applyAlignment="1">
      <alignment horizontal="left" wrapText="1"/>
    </xf>
    <xf numFmtId="0" fontId="47" fillId="4" borderId="3" xfId="0" applyFont="1" applyFill="1" applyBorder="1" applyAlignment="1">
      <alignment horizontal="left" wrapText="1"/>
    </xf>
    <xf numFmtId="0" fontId="47" fillId="4" borderId="2" xfId="0" applyFont="1" applyFill="1" applyBorder="1" applyAlignment="1">
      <alignment horizontal="center" wrapText="1"/>
    </xf>
    <xf numFmtId="0" fontId="47" fillId="4" borderId="3" xfId="0" applyFont="1" applyFill="1" applyBorder="1" applyAlignment="1">
      <alignment horizontal="center" wrapText="1"/>
    </xf>
    <xf numFmtId="0" fontId="47" fillId="4" borderId="4" xfId="0" applyFont="1" applyFill="1" applyBorder="1" applyAlignment="1">
      <alignment horizontal="center" wrapText="1"/>
    </xf>
    <xf numFmtId="0" fontId="47" fillId="4" borderId="2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wrapText="1"/>
    </xf>
    <xf numFmtId="0" fontId="37" fillId="3" borderId="4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37" fillId="3" borderId="2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71" fillId="19" borderId="2" xfId="0" applyFont="1" applyFill="1" applyBorder="1" applyAlignment="1">
      <alignment horizontal="left" vertical="center" wrapText="1"/>
    </xf>
    <xf numFmtId="0" fontId="71" fillId="19" borderId="3" xfId="0" applyFont="1" applyFill="1" applyBorder="1" applyAlignment="1">
      <alignment horizontal="left" vertical="center" wrapText="1"/>
    </xf>
    <xf numFmtId="0" fontId="71" fillId="19" borderId="4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40" fillId="19" borderId="3" xfId="0" applyFont="1" applyFill="1" applyBorder="1" applyAlignment="1">
      <alignment horizontal="left" vertical="center" wrapText="1"/>
    </xf>
    <xf numFmtId="0" fontId="40" fillId="19" borderId="4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 wrapText="1"/>
    </xf>
    <xf numFmtId="0" fontId="37" fillId="3" borderId="3" xfId="0" applyFont="1" applyFill="1" applyBorder="1" applyAlignment="1">
      <alignment horizontal="left" wrapText="1"/>
    </xf>
    <xf numFmtId="0" fontId="37" fillId="3" borderId="3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center" wrapText="1"/>
    </xf>
    <xf numFmtId="0" fontId="47" fillId="19" borderId="2" xfId="0" applyFont="1" applyFill="1" applyBorder="1" applyAlignment="1">
      <alignment vertical="center" wrapText="1"/>
    </xf>
    <xf numFmtId="0" fontId="61" fillId="0" borderId="3" xfId="0" applyFont="1" applyBorder="1" applyAlignment="1">
      <alignment vertical="center" wrapText="1"/>
    </xf>
    <xf numFmtId="0" fontId="61" fillId="0" borderId="4" xfId="0" applyFont="1" applyBorder="1" applyAlignment="1">
      <alignment vertical="center" wrapText="1"/>
    </xf>
    <xf numFmtId="0" fontId="40" fillId="19" borderId="2" xfId="0" applyFont="1" applyFill="1" applyBorder="1" applyAlignment="1">
      <alignment vertical="center" wrapText="1"/>
    </xf>
    <xf numFmtId="0" fontId="69" fillId="0" borderId="3" xfId="0" applyFont="1" applyBorder="1" applyAlignment="1">
      <alignment vertical="center" wrapText="1"/>
    </xf>
    <xf numFmtId="0" fontId="69" fillId="0" borderId="4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3" fillId="6" borderId="16" xfId="0" applyFont="1" applyFill="1" applyBorder="1"/>
    <xf numFmtId="0" fontId="0" fillId="0" borderId="16" xfId="0" applyBorder="1"/>
    <xf numFmtId="0" fontId="23" fillId="10" borderId="2" xfId="0" applyFont="1" applyFill="1" applyBorder="1" applyAlignment="1">
      <alignment horizontal="left" wrapText="1"/>
    </xf>
    <xf numFmtId="0" fontId="23" fillId="10" borderId="3" xfId="0" applyFont="1" applyFill="1" applyBorder="1" applyAlignment="1">
      <alignment horizontal="left" wrapText="1"/>
    </xf>
    <xf numFmtId="0" fontId="23" fillId="10" borderId="2" xfId="0" applyFont="1" applyFill="1" applyBorder="1" applyAlignment="1">
      <alignment horizontal="center" wrapText="1"/>
    </xf>
    <xf numFmtId="0" fontId="23" fillId="10" borderId="3" xfId="0" applyFont="1" applyFill="1" applyBorder="1" applyAlignment="1">
      <alignment horizontal="center" wrapText="1"/>
    </xf>
    <xf numFmtId="0" fontId="23" fillId="10" borderId="4" xfId="0" applyFont="1" applyFill="1" applyBorder="1" applyAlignment="1">
      <alignment horizont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71" fillId="19" borderId="10" xfId="0" applyFont="1" applyFill="1" applyBorder="1" applyAlignment="1">
      <alignment horizontal="left" vertical="center" wrapText="1"/>
    </xf>
    <xf numFmtId="0" fontId="71" fillId="19" borderId="16" xfId="0" applyFont="1" applyFill="1" applyBorder="1" applyAlignment="1">
      <alignment horizontal="left" vertical="center" wrapText="1"/>
    </xf>
    <xf numFmtId="0" fontId="71" fillId="19" borderId="6" xfId="0" applyFont="1" applyFill="1" applyBorder="1" applyAlignment="1">
      <alignment horizontal="left" vertical="center" wrapText="1"/>
    </xf>
    <xf numFmtId="0" fontId="23" fillId="10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3" fillId="22" borderId="2" xfId="0" applyFont="1" applyFill="1" applyBorder="1" applyAlignment="1">
      <alignment horizontal="center"/>
    </xf>
    <xf numFmtId="0" fontId="24" fillId="22" borderId="3" xfId="0" applyFont="1" applyFill="1" applyBorder="1" applyAlignment="1">
      <alignment horizontal="center"/>
    </xf>
    <xf numFmtId="0" fontId="24" fillId="22" borderId="4" xfId="0" applyFont="1" applyFill="1" applyBorder="1" applyAlignment="1">
      <alignment horizontal="center"/>
    </xf>
    <xf numFmtId="0" fontId="23" fillId="22" borderId="2" xfId="0" applyFont="1" applyFill="1" applyBorder="1" applyAlignment="1">
      <alignment horizontal="center" vertical="center" wrapText="1"/>
    </xf>
    <xf numFmtId="0" fontId="23" fillId="22" borderId="4" xfId="0" applyFont="1" applyFill="1" applyBorder="1" applyAlignment="1">
      <alignment horizontal="center" vertical="center" wrapText="1"/>
    </xf>
    <xf numFmtId="0" fontId="23" fillId="22" borderId="3" xfId="0" applyFont="1" applyFill="1" applyBorder="1" applyAlignment="1">
      <alignment horizontal="center" vertical="center" wrapText="1"/>
    </xf>
    <xf numFmtId="0" fontId="23" fillId="22" borderId="2" xfId="0" applyFont="1" applyFill="1" applyBorder="1" applyAlignment="1">
      <alignment horizontal="left" wrapText="1"/>
    </xf>
    <xf numFmtId="0" fontId="23" fillId="22" borderId="3" xfId="0" applyFont="1" applyFill="1" applyBorder="1" applyAlignment="1">
      <alignment horizontal="left" wrapText="1"/>
    </xf>
    <xf numFmtId="0" fontId="23" fillId="22" borderId="2" xfId="0" applyFont="1" applyFill="1" applyBorder="1" applyAlignment="1">
      <alignment horizontal="center" wrapText="1"/>
    </xf>
    <xf numFmtId="0" fontId="23" fillId="22" borderId="3" xfId="0" applyFont="1" applyFill="1" applyBorder="1" applyAlignment="1">
      <alignment horizontal="center" wrapText="1"/>
    </xf>
    <xf numFmtId="0" fontId="23" fillId="22" borderId="4" xfId="0" applyFont="1" applyFill="1" applyBorder="1" applyAlignment="1">
      <alignment horizontal="center" wrapText="1"/>
    </xf>
    <xf numFmtId="0" fontId="47" fillId="19" borderId="2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left" vertical="center" wrapText="1"/>
    </xf>
    <xf numFmtId="0" fontId="61" fillId="0" borderId="4" xfId="0" applyFont="1" applyBorder="1" applyAlignment="1">
      <alignment horizontal="left" vertical="center" wrapText="1"/>
    </xf>
    <xf numFmtId="0" fontId="23" fillId="7" borderId="2" xfId="0" applyFont="1" applyFill="1" applyBorder="1" applyAlignment="1">
      <alignment horizontal="center" wrapText="1"/>
    </xf>
    <xf numFmtId="0" fontId="23" fillId="7" borderId="3" xfId="0" applyFont="1" applyFill="1" applyBorder="1" applyAlignment="1">
      <alignment horizontal="center" wrapText="1"/>
    </xf>
    <xf numFmtId="0" fontId="23" fillId="7" borderId="4" xfId="0" applyFont="1" applyFill="1" applyBorder="1" applyAlignment="1">
      <alignment horizont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/>
    </xf>
    <xf numFmtId="0" fontId="23" fillId="7" borderId="2" xfId="0" applyFont="1" applyFill="1" applyBorder="1" applyAlignment="1">
      <alignment horizontal="left" wrapText="1"/>
    </xf>
    <xf numFmtId="0" fontId="23" fillId="7" borderId="3" xfId="0" applyFont="1" applyFill="1" applyBorder="1" applyAlignment="1">
      <alignment horizontal="left" wrapText="1"/>
    </xf>
    <xf numFmtId="0" fontId="20" fillId="13" borderId="2" xfId="0" applyFont="1" applyFill="1" applyBorder="1" applyAlignment="1">
      <alignment horizontal="left" wrapText="1"/>
    </xf>
    <xf numFmtId="0" fontId="20" fillId="13" borderId="3" xfId="0" applyFont="1" applyFill="1" applyBorder="1" applyAlignment="1">
      <alignment horizontal="left" wrapText="1"/>
    </xf>
    <xf numFmtId="0" fontId="20" fillId="13" borderId="2" xfId="0" applyFont="1" applyFill="1" applyBorder="1" applyAlignment="1">
      <alignment horizontal="center" wrapText="1"/>
    </xf>
    <xf numFmtId="0" fontId="20" fillId="13" borderId="3" xfId="0" applyFont="1" applyFill="1" applyBorder="1" applyAlignment="1">
      <alignment horizontal="center" wrapText="1"/>
    </xf>
    <xf numFmtId="0" fontId="20" fillId="13" borderId="4" xfId="0" applyFont="1" applyFill="1" applyBorder="1" applyAlignment="1">
      <alignment horizont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/>
    </xf>
    <xf numFmtId="0" fontId="21" fillId="13" borderId="3" xfId="0" applyFont="1" applyFill="1" applyBorder="1" applyAlignment="1">
      <alignment horizontal="center"/>
    </xf>
    <xf numFmtId="0" fontId="21" fillId="13" borderId="4" xfId="0" applyFont="1" applyFill="1" applyBorder="1" applyAlignment="1">
      <alignment horizontal="center"/>
    </xf>
    <xf numFmtId="0" fontId="41" fillId="19" borderId="2" xfId="0" applyFont="1" applyFill="1" applyBorder="1" applyAlignment="1">
      <alignment vertical="center" wrapText="1"/>
    </xf>
    <xf numFmtId="0" fontId="41" fillId="19" borderId="3" xfId="0" applyFont="1" applyFill="1" applyBorder="1" applyAlignment="1">
      <alignment vertical="center" wrapText="1"/>
    </xf>
    <xf numFmtId="0" fontId="41" fillId="19" borderId="4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 wrapText="1"/>
    </xf>
    <xf numFmtId="0" fontId="38" fillId="10" borderId="2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center" vertical="center" wrapText="1"/>
    </xf>
    <xf numFmtId="0" fontId="38" fillId="10" borderId="3" xfId="0" applyFont="1" applyFill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left" wrapText="1"/>
    </xf>
    <xf numFmtId="0" fontId="38" fillId="10" borderId="3" xfId="0" applyFont="1" applyFill="1" applyBorder="1" applyAlignment="1">
      <alignment horizontal="left" wrapText="1"/>
    </xf>
    <xf numFmtId="0" fontId="38" fillId="10" borderId="2" xfId="0" applyFont="1" applyFill="1" applyBorder="1" applyAlignment="1">
      <alignment horizontal="center" wrapText="1"/>
    </xf>
    <xf numFmtId="0" fontId="38" fillId="10" borderId="3" xfId="0" applyFont="1" applyFill="1" applyBorder="1" applyAlignment="1">
      <alignment horizontal="center" wrapText="1"/>
    </xf>
    <xf numFmtId="0" fontId="38" fillId="10" borderId="4" xfId="0" applyFont="1" applyFill="1" applyBorder="1" applyAlignment="1">
      <alignment horizontal="center" wrapText="1"/>
    </xf>
    <xf numFmtId="0" fontId="42" fillId="0" borderId="3" xfId="0" applyFont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31" fillId="6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6" borderId="2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left" wrapText="1"/>
    </xf>
    <xf numFmtId="0" fontId="29" fillId="6" borderId="3" xfId="0" applyFont="1" applyFill="1" applyBorder="1" applyAlignment="1">
      <alignment horizontal="left" wrapText="1"/>
    </xf>
    <xf numFmtId="0" fontId="29" fillId="6" borderId="2" xfId="0" applyFont="1" applyFill="1" applyBorder="1" applyAlignment="1">
      <alignment horizontal="center" wrapText="1"/>
    </xf>
    <xf numFmtId="0" fontId="29" fillId="6" borderId="3" xfId="0" applyFont="1" applyFill="1" applyBorder="1" applyAlignment="1">
      <alignment horizontal="center" wrapText="1"/>
    </xf>
    <xf numFmtId="0" fontId="29" fillId="6" borderId="4" xfId="0" applyFont="1" applyFill="1" applyBorder="1" applyAlignment="1">
      <alignment horizontal="center" wrapText="1"/>
    </xf>
    <xf numFmtId="0" fontId="59" fillId="19" borderId="3" xfId="0" applyFont="1" applyFill="1" applyBorder="1" applyAlignment="1">
      <alignment horizontal="left" vertical="center" wrapText="1"/>
    </xf>
    <xf numFmtId="0" fontId="59" fillId="19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7" fillId="7" borderId="2" xfId="0" applyFont="1" applyFill="1" applyBorder="1" applyAlignment="1">
      <alignment horizontal="center"/>
    </xf>
    <xf numFmtId="0" fontId="43" fillId="7" borderId="3" xfId="0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0" fillId="19" borderId="10" xfId="0" applyFont="1" applyFill="1" applyBorder="1" applyAlignment="1">
      <alignment horizontal="left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left" wrapText="1"/>
    </xf>
    <xf numFmtId="0" fontId="37" fillId="7" borderId="3" xfId="0" applyFont="1" applyFill="1" applyBorder="1" applyAlignment="1">
      <alignment horizontal="left" wrapText="1"/>
    </xf>
    <xf numFmtId="0" fontId="37" fillId="7" borderId="4" xfId="0" applyFont="1" applyFill="1" applyBorder="1" applyAlignment="1">
      <alignment horizontal="left" wrapText="1"/>
    </xf>
    <xf numFmtId="0" fontId="37" fillId="7" borderId="2" xfId="0" applyFont="1" applyFill="1" applyBorder="1" applyAlignment="1">
      <alignment horizontal="center" wrapText="1"/>
    </xf>
    <xf numFmtId="0" fontId="37" fillId="7" borderId="3" xfId="0" applyFont="1" applyFill="1" applyBorder="1" applyAlignment="1">
      <alignment horizontal="center" wrapText="1"/>
    </xf>
    <xf numFmtId="0" fontId="37" fillId="7" borderId="4" xfId="0" applyFont="1" applyFill="1" applyBorder="1" applyAlignment="1">
      <alignment horizontal="center" wrapText="1"/>
    </xf>
    <xf numFmtId="0" fontId="40" fillId="19" borderId="16" xfId="0" applyFont="1" applyFill="1" applyBorder="1" applyAlignment="1">
      <alignment horizontal="left" vertical="center" wrapText="1"/>
    </xf>
    <xf numFmtId="0" fontId="40" fillId="19" borderId="6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0" fontId="27" fillId="2" borderId="2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center" wrapText="1"/>
    </xf>
    <xf numFmtId="0" fontId="23" fillId="13" borderId="2" xfId="0" applyFont="1" applyFill="1" applyBorder="1" applyAlignment="1">
      <alignment horizontal="center"/>
    </xf>
    <xf numFmtId="0" fontId="47" fillId="19" borderId="3" xfId="0" applyFont="1" applyFill="1" applyBorder="1" applyAlignment="1">
      <alignment horizontal="left" vertical="center" wrapText="1"/>
    </xf>
    <xf numFmtId="0" fontId="47" fillId="19" borderId="4" xfId="0" applyFont="1" applyFill="1" applyBorder="1" applyAlignment="1">
      <alignment horizontal="left" vertical="center" wrapText="1"/>
    </xf>
    <xf numFmtId="0" fontId="23" fillId="13" borderId="2" xfId="0" applyFont="1" applyFill="1" applyBorder="1" applyAlignment="1">
      <alignment horizontal="center" vertical="center" wrapText="1"/>
    </xf>
    <xf numFmtId="0" fontId="23" fillId="13" borderId="3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left" wrapText="1"/>
    </xf>
    <xf numFmtId="0" fontId="23" fillId="13" borderId="3" xfId="0" applyFont="1" applyFill="1" applyBorder="1" applyAlignment="1">
      <alignment horizontal="left" wrapText="1"/>
    </xf>
    <xf numFmtId="0" fontId="23" fillId="13" borderId="2" xfId="0" applyFont="1" applyFill="1" applyBorder="1" applyAlignment="1">
      <alignment horizontal="center" wrapText="1"/>
    </xf>
    <xf numFmtId="0" fontId="23" fillId="13" borderId="3" xfId="0" applyFont="1" applyFill="1" applyBorder="1" applyAlignment="1">
      <alignment horizontal="center" wrapText="1"/>
    </xf>
    <xf numFmtId="0" fontId="23" fillId="13" borderId="4" xfId="0" applyFont="1" applyFill="1" applyBorder="1" applyAlignment="1">
      <alignment horizontal="center" wrapText="1"/>
    </xf>
    <xf numFmtId="0" fontId="23" fillId="11" borderId="2" xfId="0" applyFont="1" applyFill="1" applyBorder="1" applyAlignment="1">
      <alignment horizontal="left" wrapText="1"/>
    </xf>
    <xf numFmtId="0" fontId="23" fillId="11" borderId="3" xfId="0" applyFont="1" applyFill="1" applyBorder="1" applyAlignment="1">
      <alignment horizontal="left" wrapText="1"/>
    </xf>
    <xf numFmtId="0" fontId="23" fillId="11" borderId="2" xfId="0" applyFont="1" applyFill="1" applyBorder="1" applyAlignment="1">
      <alignment horizontal="center" wrapText="1"/>
    </xf>
    <xf numFmtId="0" fontId="23" fillId="11" borderId="3" xfId="0" applyFont="1" applyFill="1" applyBorder="1" applyAlignment="1">
      <alignment horizontal="center" wrapText="1"/>
    </xf>
    <xf numFmtId="0" fontId="23" fillId="11" borderId="4" xfId="0" applyFont="1" applyFill="1" applyBorder="1" applyAlignment="1">
      <alignment horizont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/>
    </xf>
    <xf numFmtId="0" fontId="71" fillId="4" borderId="2" xfId="0" applyFont="1" applyFill="1" applyBorder="1" applyAlignment="1">
      <alignment horizontal="left" wrapText="1"/>
    </xf>
    <xf numFmtId="0" fontId="71" fillId="4" borderId="3" xfId="0" applyFont="1" applyFill="1" applyBorder="1" applyAlignment="1">
      <alignment horizontal="left" wrapText="1"/>
    </xf>
    <xf numFmtId="0" fontId="71" fillId="4" borderId="2" xfId="0" applyFont="1" applyFill="1" applyBorder="1" applyAlignment="1">
      <alignment horizontal="center" wrapText="1"/>
    </xf>
    <xf numFmtId="0" fontId="71" fillId="4" borderId="3" xfId="0" applyFont="1" applyFill="1" applyBorder="1" applyAlignment="1">
      <alignment horizontal="center" wrapText="1"/>
    </xf>
    <xf numFmtId="0" fontId="71" fillId="4" borderId="4" xfId="0" applyFont="1" applyFill="1" applyBorder="1" applyAlignment="1">
      <alignment horizontal="center" wrapText="1"/>
    </xf>
    <xf numFmtId="0" fontId="71" fillId="4" borderId="2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71" fillId="4" borderId="4" xfId="0" applyFont="1" applyFill="1" applyBorder="1" applyAlignment="1">
      <alignment horizontal="center" vertical="center" wrapText="1"/>
    </xf>
    <xf numFmtId="0" fontId="71" fillId="4" borderId="2" xfId="0" applyFont="1" applyFill="1" applyBorder="1" applyAlignment="1">
      <alignment horizontal="center"/>
    </xf>
    <xf numFmtId="0" fontId="72" fillId="4" borderId="3" xfId="0" applyFont="1" applyFill="1" applyBorder="1" applyAlignment="1">
      <alignment horizontal="center"/>
    </xf>
    <xf numFmtId="0" fontId="72" fillId="4" borderId="4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6" fillId="10" borderId="3" xfId="0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8" fillId="10" borderId="16" xfId="0" applyFont="1" applyFill="1" applyBorder="1" applyAlignment="1">
      <alignment horizontal="center"/>
    </xf>
    <xf numFmtId="0" fontId="16" fillId="10" borderId="16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left" wrapText="1"/>
    </xf>
    <xf numFmtId="0" fontId="18" fillId="10" borderId="3" xfId="0" applyFont="1" applyFill="1" applyBorder="1" applyAlignment="1">
      <alignment horizontal="left" wrapText="1"/>
    </xf>
    <xf numFmtId="0" fontId="18" fillId="10" borderId="2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 wrapText="1"/>
    </xf>
    <xf numFmtId="0" fontId="18" fillId="10" borderId="4" xfId="0" applyFont="1" applyFill="1" applyBorder="1" applyAlignment="1">
      <alignment horizontal="center" wrapText="1"/>
    </xf>
    <xf numFmtId="0" fontId="20" fillId="12" borderId="2" xfId="0" applyFont="1" applyFill="1" applyBorder="1" applyAlignment="1">
      <alignment horizontal="left" wrapText="1"/>
    </xf>
    <xf numFmtId="0" fontId="20" fillId="12" borderId="3" xfId="0" applyFont="1" applyFill="1" applyBorder="1" applyAlignment="1">
      <alignment horizontal="left" wrapText="1"/>
    </xf>
    <xf numFmtId="0" fontId="20" fillId="12" borderId="2" xfId="0" applyFont="1" applyFill="1" applyBorder="1" applyAlignment="1">
      <alignment horizontal="center" wrapText="1"/>
    </xf>
    <xf numFmtId="0" fontId="20" fillId="12" borderId="3" xfId="0" applyFont="1" applyFill="1" applyBorder="1" applyAlignment="1">
      <alignment horizontal="center" wrapText="1"/>
    </xf>
    <xf numFmtId="0" fontId="20" fillId="12" borderId="4" xfId="0" applyFont="1" applyFill="1" applyBorder="1" applyAlignment="1">
      <alignment horizontal="center" wrapText="1"/>
    </xf>
    <xf numFmtId="0" fontId="20" fillId="12" borderId="2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57" fillId="19" borderId="10" xfId="0" applyFont="1" applyFill="1" applyBorder="1" applyAlignment="1">
      <alignment horizontal="left" vertical="center" wrapText="1"/>
    </xf>
    <xf numFmtId="0" fontId="57" fillId="19" borderId="16" xfId="0" applyFont="1" applyFill="1" applyBorder="1" applyAlignment="1">
      <alignment horizontal="left" vertical="center" wrapText="1"/>
    </xf>
    <xf numFmtId="0" fontId="57" fillId="19" borderId="6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14" fontId="17" fillId="0" borderId="0" xfId="0" applyNumberFormat="1" applyFont="1" applyAlignment="1">
      <alignment horizontal="left"/>
    </xf>
    <xf numFmtId="0" fontId="17" fillId="0" borderId="0" xfId="0" applyFont="1"/>
    <xf numFmtId="0" fontId="34" fillId="26" borderId="0" xfId="0" applyFont="1" applyFill="1" applyAlignment="1">
      <alignment horizontal="left" vertical="center"/>
    </xf>
    <xf numFmtId="0" fontId="17" fillId="26" borderId="0" xfId="0" applyFont="1" applyFill="1"/>
    <xf numFmtId="0" fontId="0" fillId="26" borderId="0" xfId="0" applyFill="1"/>
    <xf numFmtId="0" fontId="17" fillId="26" borderId="0" xfId="0" applyFont="1" applyFill="1" applyAlignment="1">
      <alignment horizontal="left"/>
    </xf>
    <xf numFmtId="0" fontId="0" fillId="26" borderId="0" xfId="0" applyFill="1" applyAlignment="1">
      <alignment horizontal="left"/>
    </xf>
    <xf numFmtId="0" fontId="21" fillId="3" borderId="0" xfId="0" applyFont="1" applyFill="1" applyAlignment="1">
      <alignment vertical="center" wrapText="1"/>
    </xf>
    <xf numFmtId="0" fontId="64" fillId="1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43D"/>
      <color rgb="FFF2F2F2"/>
      <color rgb="FFFF4B21"/>
      <color rgb="FFFFFF99"/>
      <color rgb="FFA03A7C"/>
      <color rgb="FFFFCC00"/>
      <color rgb="FF000000"/>
      <color rgb="FFCC3399"/>
      <color rgb="FF9900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207034</xdr:colOff>
      <xdr:row>80</xdr:row>
      <xdr:rowOff>25879</xdr:rowOff>
    </xdr:from>
    <xdr:ext cx="304800" cy="302284"/>
    <xdr:sp macro="" textlink="">
      <xdr:nvSpPr>
        <xdr:cNvPr id="2" name="AutoShape 8" descr="Newcastle Falcons">
          <a:extLst>
            <a:ext uri="{FF2B5EF4-FFF2-40B4-BE49-F238E27FC236}">
              <a16:creationId xmlns:a16="http://schemas.microsoft.com/office/drawing/2014/main" id="{9E05190B-4BD7-43CA-A98A-BB6BE4091129}"/>
            </a:ext>
          </a:extLst>
        </xdr:cNvPr>
        <xdr:cNvSpPr>
          <a:spLocks noChangeAspect="1" noChangeArrowheads="1"/>
        </xdr:cNvSpPr>
      </xdr:nvSpPr>
      <xdr:spPr bwMode="auto">
        <a:xfrm>
          <a:off x="1578634" y="140438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78</xdr:row>
      <xdr:rowOff>8626</xdr:rowOff>
    </xdr:from>
    <xdr:to>
      <xdr:col>1</xdr:col>
      <xdr:colOff>591736</xdr:colOff>
      <xdr:row>85</xdr:row>
      <xdr:rowOff>171915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8BFB3D-F8EB-465E-9E86-FA05E5E9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64241"/>
          <a:ext cx="1445751" cy="14313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600362</xdr:colOff>
      <xdr:row>33</xdr:row>
      <xdr:rowOff>163288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BC945-26FE-4DF3-81D9-475A8B9E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8626</xdr:rowOff>
    </xdr:from>
    <xdr:to>
      <xdr:col>2</xdr:col>
      <xdr:colOff>583109</xdr:colOff>
      <xdr:row>32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2873C-DBF6-4EE0-8C3D-B060F329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793751"/>
          <a:ext cx="1445751" cy="14313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583109</xdr:colOff>
      <xdr:row>36</xdr:row>
      <xdr:rowOff>102905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6DD3C-EF9D-4AF1-801F-3F68C2D9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583109</xdr:colOff>
      <xdr:row>35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D5059A-2DFC-44E7-8794-C4DE3FCE5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583109</xdr:colOff>
      <xdr:row>36</xdr:row>
      <xdr:rowOff>163288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02BD6-2418-4D11-A551-8508C4CF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583109</xdr:colOff>
      <xdr:row>33</xdr:row>
      <xdr:rowOff>102904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823F5-6B49-4959-B214-A6EA4316C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2</xdr:col>
      <xdr:colOff>583109</xdr:colOff>
      <xdr:row>37</xdr:row>
      <xdr:rowOff>102903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F62E69-185C-4BE7-B287-37F99177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583109</xdr:colOff>
      <xdr:row>36</xdr:row>
      <xdr:rowOff>102904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7ED60D-B54B-456A-A2DF-B91394D9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583109</xdr:colOff>
      <xdr:row>36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5E54B1-F8AC-4D24-8A11-9A762E30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583109</xdr:colOff>
      <xdr:row>30</xdr:row>
      <xdr:rowOff>102904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CE291-7A11-4B90-8598-B8A598C5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207034</xdr:colOff>
      <xdr:row>25</xdr:row>
      <xdr:rowOff>25879</xdr:rowOff>
    </xdr:from>
    <xdr:ext cx="304800" cy="302284"/>
    <xdr:sp macro="" textlink="">
      <xdr:nvSpPr>
        <xdr:cNvPr id="2" name="AutoShape 8" descr="Newcastle Falcons">
          <a:extLst>
            <a:ext uri="{FF2B5EF4-FFF2-40B4-BE49-F238E27FC236}">
              <a16:creationId xmlns:a16="http://schemas.microsoft.com/office/drawing/2014/main" id="{740AD70D-895E-47B4-9530-C2C050457C64}"/>
            </a:ext>
          </a:extLst>
        </xdr:cNvPr>
        <xdr:cNvSpPr>
          <a:spLocks noChangeAspect="1" noChangeArrowheads="1"/>
        </xdr:cNvSpPr>
      </xdr:nvSpPr>
      <xdr:spPr bwMode="auto">
        <a:xfrm>
          <a:off x="1578634" y="140438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23</xdr:row>
      <xdr:rowOff>8626</xdr:rowOff>
    </xdr:from>
    <xdr:to>
      <xdr:col>3</xdr:col>
      <xdr:colOff>177668</xdr:colOff>
      <xdr:row>30</xdr:row>
      <xdr:rowOff>171915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87573A-8A68-4D19-8E97-B999EDE7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64241"/>
          <a:ext cx="1445751" cy="14313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</xdr:col>
      <xdr:colOff>583109</xdr:colOff>
      <xdr:row>40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FBF31C-D791-421B-AA14-D9D038BA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583109</xdr:colOff>
      <xdr:row>30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D7395-48C5-4D65-A36C-2924AAC52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583109</xdr:colOff>
      <xdr:row>33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89334-F2AA-43C9-AAF0-2CDA3AD8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8626</xdr:rowOff>
    </xdr:from>
    <xdr:to>
      <xdr:col>2</xdr:col>
      <xdr:colOff>583109</xdr:colOff>
      <xdr:row>32</xdr:row>
      <xdr:rowOff>111530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0AFFD8-21EE-48C2-8F6D-3FCEDB50C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793751"/>
          <a:ext cx="1445751" cy="14313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583109</xdr:colOff>
      <xdr:row>36</xdr:row>
      <xdr:rowOff>102904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052B84-09E7-4375-9BF5-3237AC98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</xdr:col>
      <xdr:colOff>583109</xdr:colOff>
      <xdr:row>40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2DE857-F52A-461F-8C60-C6974EE6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583109</xdr:colOff>
      <xdr:row>30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0AD40-0355-43BB-A98F-B144218FB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2</xdr:col>
      <xdr:colOff>583109</xdr:colOff>
      <xdr:row>27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BC1310-B5D0-4F1E-A2D9-CFFD76F7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</xdr:col>
      <xdr:colOff>634868</xdr:colOff>
      <xdr:row>35</xdr:row>
      <xdr:rowOff>163290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7A03D-8078-48F0-959F-36ABD7F06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2</xdr:col>
      <xdr:colOff>583109</xdr:colOff>
      <xdr:row>30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932F3-D5FE-448D-9C71-5A8E35AB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609600</xdr:colOff>
      <xdr:row>25</xdr:row>
      <xdr:rowOff>19050</xdr:rowOff>
    </xdr:from>
    <xdr:ext cx="298150" cy="302284"/>
    <xdr:sp macro="" textlink="">
      <xdr:nvSpPr>
        <xdr:cNvPr id="2" name="AutoShape 9" descr="Bath Rugby">
          <a:extLst>
            <a:ext uri="{FF2B5EF4-FFF2-40B4-BE49-F238E27FC236}">
              <a16:creationId xmlns:a16="http://schemas.microsoft.com/office/drawing/2014/main" id="{C63ADBF3-B4ED-4332-BBB5-F699BB522791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112504</xdr:rowOff>
    </xdr:to>
    <xdr:sp macro="" textlink="">
      <xdr:nvSpPr>
        <xdr:cNvPr id="3" name="AutoShape 1" descr="Bristol Bears">
          <a:extLst>
            <a:ext uri="{FF2B5EF4-FFF2-40B4-BE49-F238E27FC236}">
              <a16:creationId xmlns:a16="http://schemas.microsoft.com/office/drawing/2014/main" id="{EED2CE98-B64A-44D3-A154-93A4FA8F2C8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34506</xdr:colOff>
      <xdr:row>3</xdr:row>
      <xdr:rowOff>120770</xdr:rowOff>
    </xdr:from>
    <xdr:to>
      <xdr:col>17</xdr:col>
      <xdr:colOff>339306</xdr:colOff>
      <xdr:row>5</xdr:row>
      <xdr:rowOff>43491</xdr:rowOff>
    </xdr:to>
    <xdr:sp macro="" textlink="">
      <xdr:nvSpPr>
        <xdr:cNvPr id="4" name="AutoShape 2" descr="Exeter Chiefs">
          <a:extLst>
            <a:ext uri="{FF2B5EF4-FFF2-40B4-BE49-F238E27FC236}">
              <a16:creationId xmlns:a16="http://schemas.microsoft.com/office/drawing/2014/main" id="{CEEB7B3C-D9FD-46C8-B4FA-FFC3BB9EB77E}"/>
            </a:ext>
          </a:extLst>
        </xdr:cNvPr>
        <xdr:cNvSpPr>
          <a:spLocks noChangeAspect="1" noChangeArrowheads="1"/>
        </xdr:cNvSpPr>
      </xdr:nvSpPr>
      <xdr:spPr bwMode="auto">
        <a:xfrm>
          <a:off x="6478438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112503</xdr:rowOff>
    </xdr:to>
    <xdr:sp macro="" textlink="">
      <xdr:nvSpPr>
        <xdr:cNvPr id="5" name="AutoShape 3" descr="Harlequins">
          <a:extLst>
            <a:ext uri="{FF2B5EF4-FFF2-40B4-BE49-F238E27FC236}">
              <a16:creationId xmlns:a16="http://schemas.microsoft.com/office/drawing/2014/main" id="{DB1C44FE-DA7C-4CF0-B776-A9DAE32D3BB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304800</xdr:colOff>
      <xdr:row>6</xdr:row>
      <xdr:rowOff>112503</xdr:rowOff>
    </xdr:to>
    <xdr:sp macro="" textlink="">
      <xdr:nvSpPr>
        <xdr:cNvPr id="6" name="AutoShape 4" descr="Sale Sharks">
          <a:extLst>
            <a:ext uri="{FF2B5EF4-FFF2-40B4-BE49-F238E27FC236}">
              <a16:creationId xmlns:a16="http://schemas.microsoft.com/office/drawing/2014/main" id="{AF1DE04C-84E7-4CC9-BB5E-3CC66D5BB04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304800</xdr:colOff>
      <xdr:row>7</xdr:row>
      <xdr:rowOff>112503</xdr:rowOff>
    </xdr:to>
    <xdr:sp macro="" textlink="">
      <xdr:nvSpPr>
        <xdr:cNvPr id="7" name="AutoShape 5" descr="Northampton Saints">
          <a:extLst>
            <a:ext uri="{FF2B5EF4-FFF2-40B4-BE49-F238E27FC236}">
              <a16:creationId xmlns:a16="http://schemas.microsoft.com/office/drawing/2014/main" id="{56635B96-008D-4BE0-9F16-84AAB33FC3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304800</xdr:colOff>
      <xdr:row>9</xdr:row>
      <xdr:rowOff>129755</xdr:rowOff>
    </xdr:to>
    <xdr:sp macro="" textlink="">
      <xdr:nvSpPr>
        <xdr:cNvPr id="9" name="AutoShape 7" descr="Leicester Tigers">
          <a:extLst>
            <a:ext uri="{FF2B5EF4-FFF2-40B4-BE49-F238E27FC236}">
              <a16:creationId xmlns:a16="http://schemas.microsoft.com/office/drawing/2014/main" id="{06F70A1A-8AED-44AF-BB36-10AD789545A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304800</xdr:colOff>
      <xdr:row>9</xdr:row>
      <xdr:rowOff>121128</xdr:rowOff>
    </xdr:to>
    <xdr:sp macro="" textlink="">
      <xdr:nvSpPr>
        <xdr:cNvPr id="10" name="AutoShape 8" descr="Newcastle Falcons">
          <a:extLst>
            <a:ext uri="{FF2B5EF4-FFF2-40B4-BE49-F238E27FC236}">
              <a16:creationId xmlns:a16="http://schemas.microsoft.com/office/drawing/2014/main" id="{40C9848F-FB81-4EC4-8233-EF6839E4753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609600</xdr:colOff>
      <xdr:row>10</xdr:row>
      <xdr:rowOff>19050</xdr:rowOff>
    </xdr:from>
    <xdr:to>
      <xdr:col>17</xdr:col>
      <xdr:colOff>295275</xdr:colOff>
      <xdr:row>11</xdr:row>
      <xdr:rowOff>122926</xdr:rowOff>
    </xdr:to>
    <xdr:sp macro="" textlink="">
      <xdr:nvSpPr>
        <xdr:cNvPr id="11" name="AutoShape 9" descr="Bath Rugby">
          <a:extLst>
            <a:ext uri="{FF2B5EF4-FFF2-40B4-BE49-F238E27FC236}">
              <a16:creationId xmlns:a16="http://schemas.microsoft.com/office/drawing/2014/main" id="{46707522-B373-406A-8862-BD2617FAB4C3}"/>
            </a:ext>
          </a:extLst>
        </xdr:cNvPr>
        <xdr:cNvSpPr>
          <a:spLocks noChangeAspect="1" noChangeArrowheads="1"/>
        </xdr:cNvSpPr>
      </xdr:nvSpPr>
      <xdr:spPr bwMode="auto">
        <a:xfrm>
          <a:off x="6596332" y="191686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77638</xdr:colOff>
      <xdr:row>8</xdr:row>
      <xdr:rowOff>0</xdr:rowOff>
    </xdr:from>
    <xdr:to>
      <xdr:col>17</xdr:col>
      <xdr:colOff>382438</xdr:colOff>
      <xdr:row>9</xdr:row>
      <xdr:rowOff>121128</xdr:rowOff>
    </xdr:to>
    <xdr:sp macro="" textlink="">
      <xdr:nvSpPr>
        <xdr:cNvPr id="12" name="AutoShape 10" descr="Wasps">
          <a:extLst>
            <a:ext uri="{FF2B5EF4-FFF2-40B4-BE49-F238E27FC236}">
              <a16:creationId xmlns:a16="http://schemas.microsoft.com/office/drawing/2014/main" id="{1A733914-454E-4B1D-B172-89D0EB359639}"/>
            </a:ext>
          </a:extLst>
        </xdr:cNvPr>
        <xdr:cNvSpPr>
          <a:spLocks noChangeAspect="1" noChangeArrowheads="1"/>
        </xdr:cNvSpPr>
      </xdr:nvSpPr>
      <xdr:spPr bwMode="auto">
        <a:xfrm>
          <a:off x="5089585" y="1518249"/>
          <a:ext cx="304800" cy="31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304800</xdr:colOff>
      <xdr:row>18</xdr:row>
      <xdr:rowOff>121129</xdr:rowOff>
    </xdr:to>
    <xdr:sp macro="" textlink="">
      <xdr:nvSpPr>
        <xdr:cNvPr id="13" name="AutoShape 11" descr="Gloucester Rugby">
          <a:extLst>
            <a:ext uri="{FF2B5EF4-FFF2-40B4-BE49-F238E27FC236}">
              <a16:creationId xmlns:a16="http://schemas.microsoft.com/office/drawing/2014/main" id="{45B06859-90C3-413A-A50C-D9088EC04F2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336430</xdr:colOff>
      <xdr:row>8</xdr:row>
      <xdr:rowOff>0</xdr:rowOff>
    </xdr:from>
    <xdr:ext cx="304800" cy="302284"/>
    <xdr:sp macro="" textlink="">
      <xdr:nvSpPr>
        <xdr:cNvPr id="14" name="AutoShape 10" descr="Wasps">
          <a:extLst>
            <a:ext uri="{FF2B5EF4-FFF2-40B4-BE49-F238E27FC236}">
              <a16:creationId xmlns:a16="http://schemas.microsoft.com/office/drawing/2014/main" id="{F1ECCFD3-EF78-47BA-9D2F-AD87A4F9F7BE}"/>
            </a:ext>
          </a:extLst>
        </xdr:cNvPr>
        <xdr:cNvSpPr>
          <a:spLocks noChangeAspect="1" noChangeArrowheads="1"/>
        </xdr:cNvSpPr>
      </xdr:nvSpPr>
      <xdr:spPr bwMode="auto">
        <a:xfrm>
          <a:off x="6935638" y="22514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1566E3F7-CBA5-4B19-9D43-C27C25B0288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08130DA5-7A15-49E8-B9DC-94010D95169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B7497264-13D6-4BB7-9E01-281CA3A5301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5C3E1AB2-7B57-4ED4-A038-AEA0AA06F11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A6D57F44-02E1-4479-9520-4CE3E59FE68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12</xdr:row>
      <xdr:rowOff>77638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DE018D5A-2200-4C3A-9D4B-21B28CA6F36C}"/>
            </a:ext>
          </a:extLst>
        </xdr:cNvPr>
        <xdr:cNvSpPr>
          <a:spLocks noChangeAspect="1" noChangeArrowheads="1"/>
        </xdr:cNvSpPr>
      </xdr:nvSpPr>
      <xdr:spPr bwMode="auto">
        <a:xfrm>
          <a:off x="6504317" y="2380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55324DC1-AC22-4AC0-8C1E-9B58BC153A2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32C0B81F-8DD8-4C0F-B5B1-7A38D58C165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33882364-D11C-49E5-9FBC-284BB8A36D2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08208171-1641-44A7-A499-8E89B6C0B95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65F652D8-D6FD-4887-A701-1EB0F56D1E1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E31DB068-11AA-47A4-9934-1AC04337DED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B40BF7A6-7130-4D1E-A731-481CE1DCBF7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7D5F09D5-9BA1-4EFD-83B2-E9CE87FB274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B0D54A63-C2EE-48FB-A911-6201E710912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EEF3566B-885C-4808-96B8-A20B761C689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B35B9C46-5C31-4F0F-80CD-EF0536A8310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CEC7B67D-27A9-4654-B8B0-E6535AE6F90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F1C2AD98-EE1F-4885-B5FF-AA444E0D4D2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3003"/>
    <xdr:sp macro="" textlink="">
      <xdr:nvSpPr>
        <xdr:cNvPr id="34" name="AutoShape 1" descr="Bristol Bears">
          <a:extLst>
            <a:ext uri="{FF2B5EF4-FFF2-40B4-BE49-F238E27FC236}">
              <a16:creationId xmlns:a16="http://schemas.microsoft.com/office/drawing/2014/main" id="{351A79F5-6A96-4EF7-8135-6AE5581CCED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</xdr:row>
      <xdr:rowOff>0</xdr:rowOff>
    </xdr:from>
    <xdr:ext cx="304800" cy="303002"/>
    <xdr:sp macro="" textlink="">
      <xdr:nvSpPr>
        <xdr:cNvPr id="35" name="AutoShape 2" descr="Exeter Chiefs">
          <a:extLst>
            <a:ext uri="{FF2B5EF4-FFF2-40B4-BE49-F238E27FC236}">
              <a16:creationId xmlns:a16="http://schemas.microsoft.com/office/drawing/2014/main" id="{08E3C7B8-F127-4DED-9E69-BF397323F4F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3003"/>
    <xdr:sp macro="" textlink="">
      <xdr:nvSpPr>
        <xdr:cNvPr id="36" name="AutoShape 3" descr="Harlequins">
          <a:extLst>
            <a:ext uri="{FF2B5EF4-FFF2-40B4-BE49-F238E27FC236}">
              <a16:creationId xmlns:a16="http://schemas.microsoft.com/office/drawing/2014/main" id="{C395F712-4A21-4AAC-8BD2-BAD1DE2CEC3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3003"/>
    <xdr:sp macro="" textlink="">
      <xdr:nvSpPr>
        <xdr:cNvPr id="37" name="AutoShape 4" descr="Sale Sharks">
          <a:extLst>
            <a:ext uri="{FF2B5EF4-FFF2-40B4-BE49-F238E27FC236}">
              <a16:creationId xmlns:a16="http://schemas.microsoft.com/office/drawing/2014/main" id="{3FCDD5FC-FFE7-4DB6-9B58-B509EEEF01A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3003"/>
    <xdr:sp macro="" textlink="">
      <xdr:nvSpPr>
        <xdr:cNvPr id="38" name="AutoShape 5" descr="Northampton Saints">
          <a:extLst>
            <a:ext uri="{FF2B5EF4-FFF2-40B4-BE49-F238E27FC236}">
              <a16:creationId xmlns:a16="http://schemas.microsoft.com/office/drawing/2014/main" id="{8C1B0C92-CDC9-4B04-8822-ABCE2B3B997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304800" cy="303003"/>
    <xdr:sp macro="" textlink="">
      <xdr:nvSpPr>
        <xdr:cNvPr id="39" name="AutoShape 6" descr="London Irish">
          <a:extLst>
            <a:ext uri="{FF2B5EF4-FFF2-40B4-BE49-F238E27FC236}">
              <a16:creationId xmlns:a16="http://schemas.microsoft.com/office/drawing/2014/main" id="{22F79C27-2389-42FE-99CC-FBDF141C974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3"/>
    <xdr:sp macro="" textlink="">
      <xdr:nvSpPr>
        <xdr:cNvPr id="40" name="AutoShape 7" descr="Leicester Tigers">
          <a:extLst>
            <a:ext uri="{FF2B5EF4-FFF2-40B4-BE49-F238E27FC236}">
              <a16:creationId xmlns:a16="http://schemas.microsoft.com/office/drawing/2014/main" id="{DAADF23E-CB8A-42A2-B68B-90292B93C1B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3"/>
    <xdr:sp macro="" textlink="">
      <xdr:nvSpPr>
        <xdr:cNvPr id="41" name="AutoShape 8" descr="Newcastle Falcons">
          <a:extLst>
            <a:ext uri="{FF2B5EF4-FFF2-40B4-BE49-F238E27FC236}">
              <a16:creationId xmlns:a16="http://schemas.microsoft.com/office/drawing/2014/main" id="{9C41E679-E8AF-4A04-9C4A-C409CF29A02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295275" cy="303003"/>
    <xdr:sp macro="" textlink="">
      <xdr:nvSpPr>
        <xdr:cNvPr id="42" name="AutoShape 9" descr="Bath Rugby">
          <a:extLst>
            <a:ext uri="{FF2B5EF4-FFF2-40B4-BE49-F238E27FC236}">
              <a16:creationId xmlns:a16="http://schemas.microsoft.com/office/drawing/2014/main" id="{D50FCD69-5DFB-48A0-B0DB-C4849E4AA8B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3002"/>
    <xdr:sp macro="" textlink="">
      <xdr:nvSpPr>
        <xdr:cNvPr id="43" name="AutoShape 10" descr="Wasps">
          <a:extLst>
            <a:ext uri="{FF2B5EF4-FFF2-40B4-BE49-F238E27FC236}">
              <a16:creationId xmlns:a16="http://schemas.microsoft.com/office/drawing/2014/main" id="{C17DCC16-5C04-46AC-8C41-7E0EE093EBC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27737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336430</xdr:colOff>
      <xdr:row>9</xdr:row>
      <xdr:rowOff>0</xdr:rowOff>
    </xdr:from>
    <xdr:ext cx="304800" cy="302284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EED52E4B-3E95-4BC7-AE24-A56F29AA0C12}"/>
            </a:ext>
          </a:extLst>
        </xdr:cNvPr>
        <xdr:cNvSpPr>
          <a:spLocks noChangeAspect="1" noChangeArrowheads="1"/>
        </xdr:cNvSpPr>
      </xdr:nvSpPr>
      <xdr:spPr bwMode="auto">
        <a:xfrm>
          <a:off x="11602528" y="24412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10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1CBEFED4-1C59-46E0-9D0F-1229723203E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11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DFA8458E-981D-4461-9606-F260E298121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11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CFA06CEE-1E17-47FB-A0EF-2D1C938A163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0651FC5A-24E9-49D0-BD80-ABA54242F99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87006811-CBCE-477E-90C7-9813CC20D7B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329C0B22-E776-43BD-A01F-184C7AC3ED8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D3F9A770-1D40-4BFD-9D38-BC2864C2F6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3FEF9D4F-50DF-4ABA-A00A-3BFE4B87368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2D896084-3F4E-43FB-8D3E-57DB75814C9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31CAE8FD-996E-400B-8B4F-7F082702F15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4634049D-AE45-4FFF-985F-FB0F4912C0D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62268844-C0F9-480C-A301-698A50001B3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9D32553C-E175-4083-BC44-2267FB3E06FF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8B0AFEE4-C8AF-4F07-A6EE-3B297C7ED48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8E4F04C4-CDF3-4A29-A11C-9717CFAF64F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98E5BBF2-191D-409C-BB5E-A8E38980E004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18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9905557D-0B65-4058-8A2F-5BD38E1007F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51759</xdr:colOff>
      <xdr:row>73</xdr:row>
      <xdr:rowOff>25879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4E708985-0A14-4B61-B964-6D05117EDDEE}"/>
            </a:ext>
          </a:extLst>
        </xdr:cNvPr>
        <xdr:cNvSpPr>
          <a:spLocks noChangeAspect="1" noChangeArrowheads="1"/>
        </xdr:cNvSpPr>
      </xdr:nvSpPr>
      <xdr:spPr bwMode="auto">
        <a:xfrm>
          <a:off x="51759" y="100238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273523</xdr:colOff>
      <xdr:row>75</xdr:row>
      <xdr:rowOff>138022</xdr:rowOff>
    </xdr:from>
    <xdr:ext cx="304800" cy="382162"/>
    <xdr:sp macro="" textlink="">
      <xdr:nvSpPr>
        <xdr:cNvPr id="63" name="AutoShape 10" descr="Wasps">
          <a:extLst>
            <a:ext uri="{FF2B5EF4-FFF2-40B4-BE49-F238E27FC236}">
              <a16:creationId xmlns:a16="http://schemas.microsoft.com/office/drawing/2014/main" id="{F3F422DB-E927-4D5A-8F42-3CCBB17BBA84}"/>
            </a:ext>
          </a:extLst>
        </xdr:cNvPr>
        <xdr:cNvSpPr>
          <a:spLocks noChangeAspect="1" noChangeArrowheads="1"/>
        </xdr:cNvSpPr>
      </xdr:nvSpPr>
      <xdr:spPr bwMode="auto">
        <a:xfrm rot="275369">
          <a:off x="851493" y="10679501"/>
          <a:ext cx="304800" cy="38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3003"/>
    <xdr:sp macro="" textlink="">
      <xdr:nvSpPr>
        <xdr:cNvPr id="66" name="AutoShape 3" descr="Harlequins">
          <a:extLst>
            <a:ext uri="{FF2B5EF4-FFF2-40B4-BE49-F238E27FC236}">
              <a16:creationId xmlns:a16="http://schemas.microsoft.com/office/drawing/2014/main" id="{45EC126B-CCBE-4A37-A383-802571181EA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3003"/>
    <xdr:sp macro="" textlink="">
      <xdr:nvSpPr>
        <xdr:cNvPr id="67" name="AutoShape 4" descr="Sale Sharks">
          <a:extLst>
            <a:ext uri="{FF2B5EF4-FFF2-40B4-BE49-F238E27FC236}">
              <a16:creationId xmlns:a16="http://schemas.microsoft.com/office/drawing/2014/main" id="{565F491B-8FC9-4014-A630-575D5140E1E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3003"/>
    <xdr:sp macro="" textlink="">
      <xdr:nvSpPr>
        <xdr:cNvPr id="68" name="AutoShape 5" descr="Northampton Saints">
          <a:extLst>
            <a:ext uri="{FF2B5EF4-FFF2-40B4-BE49-F238E27FC236}">
              <a16:creationId xmlns:a16="http://schemas.microsoft.com/office/drawing/2014/main" id="{84B4494B-D80F-44CA-A794-B0643ABE33D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3003"/>
    <xdr:sp macro="" textlink="">
      <xdr:nvSpPr>
        <xdr:cNvPr id="69" name="AutoShape 6" descr="London Irish">
          <a:extLst>
            <a:ext uri="{FF2B5EF4-FFF2-40B4-BE49-F238E27FC236}">
              <a16:creationId xmlns:a16="http://schemas.microsoft.com/office/drawing/2014/main" id="{4BD2EF5B-8EEB-4907-9545-0FF28E545C70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3003"/>
    <xdr:sp macro="" textlink="">
      <xdr:nvSpPr>
        <xdr:cNvPr id="70" name="AutoShape 7" descr="Leicester Tigers">
          <a:extLst>
            <a:ext uri="{FF2B5EF4-FFF2-40B4-BE49-F238E27FC236}">
              <a16:creationId xmlns:a16="http://schemas.microsoft.com/office/drawing/2014/main" id="{F040DE1B-B9D1-4CF2-9FBC-C0CD2109A839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3003"/>
    <xdr:sp macro="" textlink="">
      <xdr:nvSpPr>
        <xdr:cNvPr id="71" name="AutoShape 8" descr="Newcastle Falcons">
          <a:extLst>
            <a:ext uri="{FF2B5EF4-FFF2-40B4-BE49-F238E27FC236}">
              <a16:creationId xmlns:a16="http://schemas.microsoft.com/office/drawing/2014/main" id="{265BDE2C-FD15-4392-8004-318DC373B05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72" name="AutoShape 11" descr="Gloucester Rugby">
          <a:extLst>
            <a:ext uri="{FF2B5EF4-FFF2-40B4-BE49-F238E27FC236}">
              <a16:creationId xmlns:a16="http://schemas.microsoft.com/office/drawing/2014/main" id="{D5CEE75E-6A72-456A-829D-693A0A83AF0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172530</xdr:colOff>
      <xdr:row>17</xdr:row>
      <xdr:rowOff>172528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26C2006D-9F05-4578-8E84-FAFF7E797140}"/>
            </a:ext>
          </a:extLst>
        </xdr:cNvPr>
        <xdr:cNvSpPr>
          <a:spLocks noChangeAspect="1" noChangeArrowheads="1"/>
        </xdr:cNvSpPr>
      </xdr:nvSpPr>
      <xdr:spPr bwMode="auto">
        <a:xfrm>
          <a:off x="8264107" y="491705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837D8B98-D1B3-4120-AB07-D437BEB4784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C468BED2-6BAF-4CB1-8A9A-F045F0DA72D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81794965-5029-4F92-B4E4-0760F075160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197DD895-D921-4383-B8CB-7D4A63F1F22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621C9FC5-435A-431A-A136-CAEDDD31F80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21C61D24-40FC-4B73-9C2B-2D9A2F9592B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34121004-482D-430E-A62A-9BAD0B8BBE5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6069EA59-B575-47A2-9D35-31748C98B37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A9D9D5AC-6846-42D9-863D-41BAB2165F7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09458BDF-EACF-466F-9884-9C300652ADC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C11B9105-E518-43F8-A3B2-034C985E3F2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7239915D-167B-4B8F-963B-EE52E9A3CD7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CD475521-5015-411F-90D6-2CA9CD32888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045B6522-35C9-4056-85B0-AA85E80E341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E617361B-A322-4EF1-86D5-FA2ED3DE558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304D5A80-A8F1-466C-ACE2-F0E6B256418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90" name="AutoShape 10" descr="Wasps">
          <a:extLst>
            <a:ext uri="{FF2B5EF4-FFF2-40B4-BE49-F238E27FC236}">
              <a16:creationId xmlns:a16="http://schemas.microsoft.com/office/drawing/2014/main" id="{05874C7B-9EF4-497D-B347-EEC19E09CA8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2A940AB3-16C1-4197-881F-12CE8934938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5EE367EA-597D-4DCB-B2A7-DA599BAE463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93" name="AutoShape 11" descr="Gloucester Rugby">
          <a:extLst>
            <a:ext uri="{FF2B5EF4-FFF2-40B4-BE49-F238E27FC236}">
              <a16:creationId xmlns:a16="http://schemas.microsoft.com/office/drawing/2014/main" id="{CD776721-4965-4D9C-A8C6-0450DC0683A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FE97B1F2-60F4-4763-AD14-19E76393E8D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BAAF126E-37DD-4450-A95C-5BA36B5077A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F545D2E3-B497-4FEB-9C8D-1CE3B62F596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22FF5D9F-869D-4595-997A-DBD805C0138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A155D63C-691C-463D-8990-A75B9800F61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11A554E1-DE87-43F2-87F7-CC43B9B0633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0227E084-496A-4240-81C1-EE4A9B923EA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58FEB3AF-0C0D-4D65-B8D2-DD358BA7F05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B997392E-3980-4C35-8787-124BA260A97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3A7C936C-9FE8-465E-90E3-5C0F9433368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20918787-2A65-4155-878A-7F594477876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CCF58438-BAAB-4506-9F03-597677DAB08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93F8F1C2-6896-4E07-9C04-FFD512589D0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99518FB5-78B1-443F-8ACD-269109EFACD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3D7BE35A-581F-44C6-B20A-CE1133EB1C4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373EA7B1-EFC0-49B0-A2A4-B059BBE295A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10" name="AutoShape 10" descr="Wasps">
          <a:extLst>
            <a:ext uri="{FF2B5EF4-FFF2-40B4-BE49-F238E27FC236}">
              <a16:creationId xmlns:a16="http://schemas.microsoft.com/office/drawing/2014/main" id="{F5330193-83D0-490B-B230-93190CAD5E9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11" name="AutoShape 10" descr="Wasps">
          <a:extLst>
            <a:ext uri="{FF2B5EF4-FFF2-40B4-BE49-F238E27FC236}">
              <a16:creationId xmlns:a16="http://schemas.microsoft.com/office/drawing/2014/main" id="{AA6F7001-4766-4759-941C-9B5A59EF4A7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12" name="AutoShape 10" descr="Wasps">
          <a:extLst>
            <a:ext uri="{FF2B5EF4-FFF2-40B4-BE49-F238E27FC236}">
              <a16:creationId xmlns:a16="http://schemas.microsoft.com/office/drawing/2014/main" id="{AE5BE830-D7DB-4BBF-8B47-506BBDABF7F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304800" cy="302284"/>
    <xdr:sp macro="" textlink="">
      <xdr:nvSpPr>
        <xdr:cNvPr id="113" name="AutoShape 1" descr="Bristol Bears">
          <a:extLst>
            <a:ext uri="{FF2B5EF4-FFF2-40B4-BE49-F238E27FC236}">
              <a16:creationId xmlns:a16="http://schemas.microsoft.com/office/drawing/2014/main" id="{1C75D380-08DF-46B2-ABF4-BA3949F6779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304800" cy="302284"/>
    <xdr:sp macro="" textlink="">
      <xdr:nvSpPr>
        <xdr:cNvPr id="114" name="AutoShape 2" descr="Exeter Chiefs">
          <a:extLst>
            <a:ext uri="{FF2B5EF4-FFF2-40B4-BE49-F238E27FC236}">
              <a16:creationId xmlns:a16="http://schemas.microsoft.com/office/drawing/2014/main" id="{85991B9B-43A5-4A61-8AB9-7AB5513D507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2284"/>
    <xdr:sp macro="" textlink="">
      <xdr:nvSpPr>
        <xdr:cNvPr id="115" name="AutoShape 3" descr="Harlequins">
          <a:extLst>
            <a:ext uri="{FF2B5EF4-FFF2-40B4-BE49-F238E27FC236}">
              <a16:creationId xmlns:a16="http://schemas.microsoft.com/office/drawing/2014/main" id="{B1F93BA9-64F4-4E24-8852-D0C9026207A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04800" cy="302284"/>
    <xdr:sp macro="" textlink="">
      <xdr:nvSpPr>
        <xdr:cNvPr id="116" name="AutoShape 4" descr="Sale Sharks">
          <a:extLst>
            <a:ext uri="{FF2B5EF4-FFF2-40B4-BE49-F238E27FC236}">
              <a16:creationId xmlns:a16="http://schemas.microsoft.com/office/drawing/2014/main" id="{D9776A75-AF74-46C9-88E4-EE0AE96D067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2284"/>
    <xdr:sp macro="" textlink="">
      <xdr:nvSpPr>
        <xdr:cNvPr id="117" name="AutoShape 5" descr="Northampton Saints">
          <a:extLst>
            <a:ext uri="{FF2B5EF4-FFF2-40B4-BE49-F238E27FC236}">
              <a16:creationId xmlns:a16="http://schemas.microsoft.com/office/drawing/2014/main" id="{FA5CE494-00DB-4436-AA03-3EB6ACAE732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04800" cy="302284"/>
    <xdr:sp macro="" textlink="">
      <xdr:nvSpPr>
        <xdr:cNvPr id="118" name="AutoShape 6" descr="London Irish">
          <a:extLst>
            <a:ext uri="{FF2B5EF4-FFF2-40B4-BE49-F238E27FC236}">
              <a16:creationId xmlns:a16="http://schemas.microsoft.com/office/drawing/2014/main" id="{14508E34-2849-4298-82C8-20BB1E4093A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04800" cy="302284"/>
    <xdr:sp macro="" textlink="">
      <xdr:nvSpPr>
        <xdr:cNvPr id="119" name="AutoShape 7" descr="Leicester Tigers">
          <a:extLst>
            <a:ext uri="{FF2B5EF4-FFF2-40B4-BE49-F238E27FC236}">
              <a16:creationId xmlns:a16="http://schemas.microsoft.com/office/drawing/2014/main" id="{D2E9BB06-FCCA-4FB7-A136-808E99C7DBE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60385</xdr:colOff>
      <xdr:row>75</xdr:row>
      <xdr:rowOff>0</xdr:rowOff>
    </xdr:from>
    <xdr:ext cx="304800" cy="302284"/>
    <xdr:sp macro="" textlink="">
      <xdr:nvSpPr>
        <xdr:cNvPr id="120" name="AutoShape 8" descr="Newcastle Falcons">
          <a:extLst>
            <a:ext uri="{FF2B5EF4-FFF2-40B4-BE49-F238E27FC236}">
              <a16:creationId xmlns:a16="http://schemas.microsoft.com/office/drawing/2014/main" id="{33B8078C-B0FB-4BAF-BA6B-4FD6D8B22DF3}"/>
            </a:ext>
          </a:extLst>
        </xdr:cNvPr>
        <xdr:cNvSpPr>
          <a:spLocks noChangeAspect="1" noChangeArrowheads="1"/>
        </xdr:cNvSpPr>
      </xdr:nvSpPr>
      <xdr:spPr bwMode="auto">
        <a:xfrm>
          <a:off x="2087593" y="9954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23</xdr:row>
      <xdr:rowOff>19050</xdr:rowOff>
    </xdr:from>
    <xdr:ext cx="298150" cy="302284"/>
    <xdr:sp macro="" textlink="">
      <xdr:nvSpPr>
        <xdr:cNvPr id="121" name="AutoShape 9" descr="Bath Rugby">
          <a:extLst>
            <a:ext uri="{FF2B5EF4-FFF2-40B4-BE49-F238E27FC236}">
              <a16:creationId xmlns:a16="http://schemas.microsoft.com/office/drawing/2014/main" id="{9F7EDAFE-E3D6-4A49-B65B-127ED028D5A0}"/>
            </a:ext>
          </a:extLst>
        </xdr:cNvPr>
        <xdr:cNvSpPr>
          <a:spLocks noChangeAspect="1" noChangeArrowheads="1"/>
        </xdr:cNvSpPr>
      </xdr:nvSpPr>
      <xdr:spPr bwMode="auto">
        <a:xfrm>
          <a:off x="6596332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22" name="AutoShape 1" descr="Bristol Bears">
          <a:extLst>
            <a:ext uri="{FF2B5EF4-FFF2-40B4-BE49-F238E27FC236}">
              <a16:creationId xmlns:a16="http://schemas.microsoft.com/office/drawing/2014/main" id="{F64F2C31-98CC-4E56-9FBA-3DB20E85C26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23" name="AutoShape 2" descr="Exeter Chiefs">
          <a:extLst>
            <a:ext uri="{FF2B5EF4-FFF2-40B4-BE49-F238E27FC236}">
              <a16:creationId xmlns:a16="http://schemas.microsoft.com/office/drawing/2014/main" id="{84F76283-3EA1-47CE-9E17-3A1E5D9D9B7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24" name="AutoShape 3" descr="Harlequins">
          <a:extLst>
            <a:ext uri="{FF2B5EF4-FFF2-40B4-BE49-F238E27FC236}">
              <a16:creationId xmlns:a16="http://schemas.microsoft.com/office/drawing/2014/main" id="{F5A6F0F9-64F3-4F10-B0E2-7524D41A04F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25" name="AutoShape 4" descr="Sale Sharks">
          <a:extLst>
            <a:ext uri="{FF2B5EF4-FFF2-40B4-BE49-F238E27FC236}">
              <a16:creationId xmlns:a16="http://schemas.microsoft.com/office/drawing/2014/main" id="{F579884B-1134-424A-A03B-CB7B6C0B7AD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26" name="AutoShape 5" descr="Northampton Saints">
          <a:extLst>
            <a:ext uri="{FF2B5EF4-FFF2-40B4-BE49-F238E27FC236}">
              <a16:creationId xmlns:a16="http://schemas.microsoft.com/office/drawing/2014/main" id="{558C6A00-8A5E-4F7E-8436-41FD03167EF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27" name="AutoShape 6" descr="London Irish">
          <a:extLst>
            <a:ext uri="{FF2B5EF4-FFF2-40B4-BE49-F238E27FC236}">
              <a16:creationId xmlns:a16="http://schemas.microsoft.com/office/drawing/2014/main" id="{F4A5B410-C683-400B-824E-2EB1E3FE4BF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128" name="AutoShape 7" descr="Leicester Tigers">
          <a:extLst>
            <a:ext uri="{FF2B5EF4-FFF2-40B4-BE49-F238E27FC236}">
              <a16:creationId xmlns:a16="http://schemas.microsoft.com/office/drawing/2014/main" id="{882BE611-7500-48CB-B448-DAA9CB32A52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04800" cy="302284"/>
    <xdr:sp macro="" textlink="">
      <xdr:nvSpPr>
        <xdr:cNvPr id="129" name="AutoShape 8" descr="Newcastle Falcons">
          <a:extLst>
            <a:ext uri="{FF2B5EF4-FFF2-40B4-BE49-F238E27FC236}">
              <a16:creationId xmlns:a16="http://schemas.microsoft.com/office/drawing/2014/main" id="{577FA59F-5D6E-4A8B-8B7F-66569C110B5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30" name="AutoShape 1" descr="Bristol Bears">
          <a:extLst>
            <a:ext uri="{FF2B5EF4-FFF2-40B4-BE49-F238E27FC236}">
              <a16:creationId xmlns:a16="http://schemas.microsoft.com/office/drawing/2014/main" id="{2F6925BB-B52E-42D6-AA2C-B47B2E70FBB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31" name="AutoShape 2" descr="Exeter Chiefs">
          <a:extLst>
            <a:ext uri="{FF2B5EF4-FFF2-40B4-BE49-F238E27FC236}">
              <a16:creationId xmlns:a16="http://schemas.microsoft.com/office/drawing/2014/main" id="{E78497E4-12F6-463F-A0F0-170DDF0CFE4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32" name="AutoShape 3" descr="Harlequins">
          <a:extLst>
            <a:ext uri="{FF2B5EF4-FFF2-40B4-BE49-F238E27FC236}">
              <a16:creationId xmlns:a16="http://schemas.microsoft.com/office/drawing/2014/main" id="{03855EA0-DCBE-4B88-BA9E-C5442B25F3B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33" name="AutoShape 4" descr="Sale Sharks">
          <a:extLst>
            <a:ext uri="{FF2B5EF4-FFF2-40B4-BE49-F238E27FC236}">
              <a16:creationId xmlns:a16="http://schemas.microsoft.com/office/drawing/2014/main" id="{4448389C-2291-4D48-BCD0-0092546ED0A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134" name="AutoShape 5" descr="Northampton Saints">
          <a:extLst>
            <a:ext uri="{FF2B5EF4-FFF2-40B4-BE49-F238E27FC236}">
              <a16:creationId xmlns:a16="http://schemas.microsoft.com/office/drawing/2014/main" id="{CE67678D-FA13-4EC8-9DA3-3ABC1FF9795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135" name="AutoShape 6" descr="London Irish">
          <a:extLst>
            <a:ext uri="{FF2B5EF4-FFF2-40B4-BE49-F238E27FC236}">
              <a16:creationId xmlns:a16="http://schemas.microsoft.com/office/drawing/2014/main" id="{D58B2FDA-47C9-4856-9EA3-83255554FEF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6" name="AutoShape 7" descr="Leicester Tigers">
          <a:extLst>
            <a:ext uri="{FF2B5EF4-FFF2-40B4-BE49-F238E27FC236}">
              <a16:creationId xmlns:a16="http://schemas.microsoft.com/office/drawing/2014/main" id="{5EC4D99B-B80C-4E75-8107-F5930C033D7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7" name="AutoShape 8" descr="Newcastle Falcons">
          <a:extLst>
            <a:ext uri="{FF2B5EF4-FFF2-40B4-BE49-F238E27FC236}">
              <a16:creationId xmlns:a16="http://schemas.microsoft.com/office/drawing/2014/main" id="{3F0DAACD-120B-4F77-9265-9C8F5918292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59</xdr:row>
      <xdr:rowOff>0</xdr:rowOff>
    </xdr:from>
    <xdr:ext cx="298150" cy="302284"/>
    <xdr:sp macro="" textlink="">
      <xdr:nvSpPr>
        <xdr:cNvPr id="138" name="AutoShape 9" descr="Bath Rugby">
          <a:extLst>
            <a:ext uri="{FF2B5EF4-FFF2-40B4-BE49-F238E27FC236}">
              <a16:creationId xmlns:a16="http://schemas.microsoft.com/office/drawing/2014/main" id="{B13ECA32-CAA7-4AE9-87D7-EEF4ADF738CA}"/>
            </a:ext>
          </a:extLst>
        </xdr:cNvPr>
        <xdr:cNvSpPr>
          <a:spLocks noChangeAspect="1" noChangeArrowheads="1"/>
        </xdr:cNvSpPr>
      </xdr:nvSpPr>
      <xdr:spPr bwMode="auto">
        <a:xfrm>
          <a:off x="6596332" y="969788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304800" cy="302284"/>
    <xdr:sp macro="" textlink="">
      <xdr:nvSpPr>
        <xdr:cNvPr id="139" name="AutoShape 10" descr="Wasps">
          <a:extLst>
            <a:ext uri="{FF2B5EF4-FFF2-40B4-BE49-F238E27FC236}">
              <a16:creationId xmlns:a16="http://schemas.microsoft.com/office/drawing/2014/main" id="{F14FB6DF-F13B-4D56-99E5-A652685DE27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678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142" name="AutoShape 3" descr="Harlequins">
          <a:extLst>
            <a:ext uri="{FF2B5EF4-FFF2-40B4-BE49-F238E27FC236}">
              <a16:creationId xmlns:a16="http://schemas.microsoft.com/office/drawing/2014/main" id="{4B6A9D55-A1F5-4318-BCAE-51349753535B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143" name="AutoShape 4" descr="Sale Sharks">
          <a:extLst>
            <a:ext uri="{FF2B5EF4-FFF2-40B4-BE49-F238E27FC236}">
              <a16:creationId xmlns:a16="http://schemas.microsoft.com/office/drawing/2014/main" id="{7E91B885-7401-43F4-B5C6-88FCCB345F13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2284"/>
    <xdr:sp macro="" textlink="">
      <xdr:nvSpPr>
        <xdr:cNvPr id="144" name="AutoShape 5" descr="Northampton Saints">
          <a:extLst>
            <a:ext uri="{FF2B5EF4-FFF2-40B4-BE49-F238E27FC236}">
              <a16:creationId xmlns:a16="http://schemas.microsoft.com/office/drawing/2014/main" id="{ED360D3B-38D1-4EFB-9FAE-717F7D3A4A4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304800" cy="302284"/>
    <xdr:sp macro="" textlink="">
      <xdr:nvSpPr>
        <xdr:cNvPr id="145" name="AutoShape 6" descr="London Irish">
          <a:extLst>
            <a:ext uri="{FF2B5EF4-FFF2-40B4-BE49-F238E27FC236}">
              <a16:creationId xmlns:a16="http://schemas.microsoft.com/office/drawing/2014/main" id="{2454E998-12CF-4134-BFFE-0AE667131C5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2284"/>
    <xdr:sp macro="" textlink="">
      <xdr:nvSpPr>
        <xdr:cNvPr id="146" name="AutoShape 7" descr="Leicester Tigers">
          <a:extLst>
            <a:ext uri="{FF2B5EF4-FFF2-40B4-BE49-F238E27FC236}">
              <a16:creationId xmlns:a16="http://schemas.microsoft.com/office/drawing/2014/main" id="{EDEC5167-E246-4250-AD93-4693E60B30CE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9</xdr:row>
      <xdr:rowOff>0</xdr:rowOff>
    </xdr:from>
    <xdr:ext cx="304800" cy="302284"/>
    <xdr:sp macro="" textlink="">
      <xdr:nvSpPr>
        <xdr:cNvPr id="147" name="AutoShape 8" descr="Newcastle Falcons">
          <a:extLst>
            <a:ext uri="{FF2B5EF4-FFF2-40B4-BE49-F238E27FC236}">
              <a16:creationId xmlns:a16="http://schemas.microsoft.com/office/drawing/2014/main" id="{D393BD9F-4BFB-4C77-8AFD-34285501B49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11</xdr:row>
      <xdr:rowOff>19050</xdr:rowOff>
    </xdr:from>
    <xdr:ext cx="298150" cy="302284"/>
    <xdr:sp macro="" textlink="">
      <xdr:nvSpPr>
        <xdr:cNvPr id="148" name="AutoShape 9" descr="Bath Rugby">
          <a:extLst>
            <a:ext uri="{FF2B5EF4-FFF2-40B4-BE49-F238E27FC236}">
              <a16:creationId xmlns:a16="http://schemas.microsoft.com/office/drawing/2014/main" id="{153D8A8C-A2FF-4AFA-8FB1-208611D8F726}"/>
            </a:ext>
          </a:extLst>
        </xdr:cNvPr>
        <xdr:cNvSpPr>
          <a:spLocks noChangeAspect="1" noChangeArrowheads="1"/>
        </xdr:cNvSpPr>
      </xdr:nvSpPr>
      <xdr:spPr bwMode="auto">
        <a:xfrm>
          <a:off x="11263223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51759</xdr:colOff>
      <xdr:row>9</xdr:row>
      <xdr:rowOff>0</xdr:rowOff>
    </xdr:from>
    <xdr:ext cx="304800" cy="302284"/>
    <xdr:sp macro="" textlink="">
      <xdr:nvSpPr>
        <xdr:cNvPr id="149" name="AutoShape 10" descr="Wasps">
          <a:extLst>
            <a:ext uri="{FF2B5EF4-FFF2-40B4-BE49-F238E27FC236}">
              <a16:creationId xmlns:a16="http://schemas.microsoft.com/office/drawing/2014/main" id="{39A8726C-54D8-4113-8DB4-47F1CC8E039C}"/>
            </a:ext>
          </a:extLst>
        </xdr:cNvPr>
        <xdr:cNvSpPr>
          <a:spLocks noChangeAspect="1" noChangeArrowheads="1"/>
        </xdr:cNvSpPr>
      </xdr:nvSpPr>
      <xdr:spPr bwMode="auto">
        <a:xfrm>
          <a:off x="11317857" y="226874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150" name="AutoShape 1" descr="Bristol Bears">
          <a:extLst>
            <a:ext uri="{FF2B5EF4-FFF2-40B4-BE49-F238E27FC236}">
              <a16:creationId xmlns:a16="http://schemas.microsoft.com/office/drawing/2014/main" id="{FDEF35C7-51EE-48D7-A06B-92E577ACD2EC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14</xdr:row>
      <xdr:rowOff>0</xdr:rowOff>
    </xdr:from>
    <xdr:ext cx="304800" cy="302284"/>
    <xdr:sp macro="" textlink="">
      <xdr:nvSpPr>
        <xdr:cNvPr id="151" name="AutoShape 2" descr="Exeter Chiefs">
          <a:extLst>
            <a:ext uri="{FF2B5EF4-FFF2-40B4-BE49-F238E27FC236}">
              <a16:creationId xmlns:a16="http://schemas.microsoft.com/office/drawing/2014/main" id="{CDB37980-474E-400D-A602-D590A27C87B5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152" name="AutoShape 3" descr="Harlequins">
          <a:extLst>
            <a:ext uri="{FF2B5EF4-FFF2-40B4-BE49-F238E27FC236}">
              <a16:creationId xmlns:a16="http://schemas.microsoft.com/office/drawing/2014/main" id="{A11876D6-1E9D-4484-B35B-B60E38D0AE7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153" name="AutoShape 4" descr="Sale Sharks">
          <a:extLst>
            <a:ext uri="{FF2B5EF4-FFF2-40B4-BE49-F238E27FC236}">
              <a16:creationId xmlns:a16="http://schemas.microsoft.com/office/drawing/2014/main" id="{141ACFDC-6B91-412C-A85D-4CB5796001A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154" name="AutoShape 5" descr="Northampton Saints">
          <a:extLst>
            <a:ext uri="{FF2B5EF4-FFF2-40B4-BE49-F238E27FC236}">
              <a16:creationId xmlns:a16="http://schemas.microsoft.com/office/drawing/2014/main" id="{3F1B56C9-2FB9-44E3-8262-8A4235FC7E28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129396</xdr:colOff>
      <xdr:row>75</xdr:row>
      <xdr:rowOff>0</xdr:rowOff>
    </xdr:from>
    <xdr:ext cx="304800" cy="302284"/>
    <xdr:sp macro="" textlink="">
      <xdr:nvSpPr>
        <xdr:cNvPr id="157" name="AutoShape 1" descr="Bristol Bears">
          <a:extLst>
            <a:ext uri="{FF2B5EF4-FFF2-40B4-BE49-F238E27FC236}">
              <a16:creationId xmlns:a16="http://schemas.microsoft.com/office/drawing/2014/main" id="{4F6EBF1D-559C-4906-830A-E6C35F5E6595}"/>
            </a:ext>
          </a:extLst>
        </xdr:cNvPr>
        <xdr:cNvSpPr>
          <a:spLocks noChangeAspect="1" noChangeArrowheads="1"/>
        </xdr:cNvSpPr>
      </xdr:nvSpPr>
      <xdr:spPr bwMode="auto">
        <a:xfrm>
          <a:off x="1328468" y="104120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23</xdr:row>
      <xdr:rowOff>0</xdr:rowOff>
    </xdr:from>
    <xdr:ext cx="304800" cy="302284"/>
    <xdr:sp macro="" textlink="">
      <xdr:nvSpPr>
        <xdr:cNvPr id="159" name="AutoShape 3" descr="Harlequins">
          <a:extLst>
            <a:ext uri="{FF2B5EF4-FFF2-40B4-BE49-F238E27FC236}">
              <a16:creationId xmlns:a16="http://schemas.microsoft.com/office/drawing/2014/main" id="{3FCA1B70-A30E-44DB-AB3B-915B9A4E24B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304800" cy="302284"/>
    <xdr:sp macro="" textlink="">
      <xdr:nvSpPr>
        <xdr:cNvPr id="160" name="AutoShape 4" descr="Sale Sharks">
          <a:extLst>
            <a:ext uri="{FF2B5EF4-FFF2-40B4-BE49-F238E27FC236}">
              <a16:creationId xmlns:a16="http://schemas.microsoft.com/office/drawing/2014/main" id="{D1CF4A8C-EEAD-4C00-8B43-E2DEB3C2DE22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25</xdr:row>
      <xdr:rowOff>0</xdr:rowOff>
    </xdr:from>
    <xdr:ext cx="304800" cy="302284"/>
    <xdr:sp macro="" textlink="">
      <xdr:nvSpPr>
        <xdr:cNvPr id="161" name="AutoShape 5" descr="Northampton Saints">
          <a:extLst>
            <a:ext uri="{FF2B5EF4-FFF2-40B4-BE49-F238E27FC236}">
              <a16:creationId xmlns:a16="http://schemas.microsoft.com/office/drawing/2014/main" id="{406E36B1-C79C-4B08-8F18-974951B4B496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26</xdr:row>
      <xdr:rowOff>0</xdr:rowOff>
    </xdr:from>
    <xdr:ext cx="304800" cy="302284"/>
    <xdr:sp macro="" textlink="">
      <xdr:nvSpPr>
        <xdr:cNvPr id="162" name="AutoShape 6" descr="London Irish">
          <a:extLst>
            <a:ext uri="{FF2B5EF4-FFF2-40B4-BE49-F238E27FC236}">
              <a16:creationId xmlns:a16="http://schemas.microsoft.com/office/drawing/2014/main" id="{2FD2D924-A0CF-4C94-A4E1-DC335619A82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2284"/>
    <xdr:sp macro="" textlink="">
      <xdr:nvSpPr>
        <xdr:cNvPr id="163" name="AutoShape 7" descr="Leicester Tigers">
          <a:extLst>
            <a:ext uri="{FF2B5EF4-FFF2-40B4-BE49-F238E27FC236}">
              <a16:creationId xmlns:a16="http://schemas.microsoft.com/office/drawing/2014/main" id="{52131066-0C4C-40A3-88F9-6DFA51F5F5C7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27</xdr:row>
      <xdr:rowOff>0</xdr:rowOff>
    </xdr:from>
    <xdr:ext cx="304800" cy="302284"/>
    <xdr:sp macro="" textlink="">
      <xdr:nvSpPr>
        <xdr:cNvPr id="164" name="AutoShape 8" descr="Newcastle Falcons">
          <a:extLst>
            <a:ext uri="{FF2B5EF4-FFF2-40B4-BE49-F238E27FC236}">
              <a16:creationId xmlns:a16="http://schemas.microsoft.com/office/drawing/2014/main" id="{047AF83B-1F65-4397-B242-000E904C623D}"/>
            </a:ext>
          </a:extLst>
        </xdr:cNvPr>
        <xdr:cNvSpPr>
          <a:spLocks noChangeAspect="1" noChangeArrowheads="1"/>
        </xdr:cNvSpPr>
      </xdr:nvSpPr>
      <xdr:spPr bwMode="auto">
        <a:xfrm>
          <a:off x="11266098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19</xdr:row>
      <xdr:rowOff>19050</xdr:rowOff>
    </xdr:from>
    <xdr:ext cx="298150" cy="302284"/>
    <xdr:sp macro="" textlink="">
      <xdr:nvSpPr>
        <xdr:cNvPr id="165" name="AutoShape 9" descr="Bath Rugby">
          <a:extLst>
            <a:ext uri="{FF2B5EF4-FFF2-40B4-BE49-F238E27FC236}">
              <a16:creationId xmlns:a16="http://schemas.microsoft.com/office/drawing/2014/main" id="{BCE62CFA-71E3-4750-9ADE-586474649A68}"/>
            </a:ext>
          </a:extLst>
        </xdr:cNvPr>
        <xdr:cNvSpPr>
          <a:spLocks noChangeAspect="1" noChangeArrowheads="1"/>
        </xdr:cNvSpPr>
      </xdr:nvSpPr>
      <xdr:spPr bwMode="auto">
        <a:xfrm>
          <a:off x="6432430" y="192548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166" name="AutoShape 10" descr="Wasps">
          <a:extLst>
            <a:ext uri="{FF2B5EF4-FFF2-40B4-BE49-F238E27FC236}">
              <a16:creationId xmlns:a16="http://schemas.microsoft.com/office/drawing/2014/main" id="{CAC475DC-87B2-4C2E-86E2-37BA41774E33}"/>
            </a:ext>
          </a:extLst>
        </xdr:cNvPr>
        <xdr:cNvSpPr>
          <a:spLocks noChangeAspect="1" noChangeArrowheads="1"/>
        </xdr:cNvSpPr>
      </xdr:nvSpPr>
      <xdr:spPr bwMode="auto">
        <a:xfrm>
          <a:off x="6443932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04800" cy="302284"/>
    <xdr:sp macro="" textlink="">
      <xdr:nvSpPr>
        <xdr:cNvPr id="167" name="AutoShape 10" descr="Wasps">
          <a:extLst>
            <a:ext uri="{FF2B5EF4-FFF2-40B4-BE49-F238E27FC236}">
              <a16:creationId xmlns:a16="http://schemas.microsoft.com/office/drawing/2014/main" id="{4D2DFA3A-01AC-4999-A798-7AB4EABDBA28}"/>
            </a:ext>
          </a:extLst>
        </xdr:cNvPr>
        <xdr:cNvSpPr>
          <a:spLocks noChangeAspect="1" noChangeArrowheads="1"/>
        </xdr:cNvSpPr>
      </xdr:nvSpPr>
      <xdr:spPr bwMode="auto">
        <a:xfrm>
          <a:off x="6443932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68" name="AutoShape 10" descr="Wasps">
          <a:extLst>
            <a:ext uri="{FF2B5EF4-FFF2-40B4-BE49-F238E27FC236}">
              <a16:creationId xmlns:a16="http://schemas.microsoft.com/office/drawing/2014/main" id="{B6A2EA83-0CAD-4408-BC84-EE68C3C3BADA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69" name="AutoShape 10" descr="Wasps">
          <a:extLst>
            <a:ext uri="{FF2B5EF4-FFF2-40B4-BE49-F238E27FC236}">
              <a16:creationId xmlns:a16="http://schemas.microsoft.com/office/drawing/2014/main" id="{C4FE48CB-93DE-4E16-B120-31A7A751E3A5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70" name="AutoShape 10" descr="Wasps">
          <a:extLst>
            <a:ext uri="{FF2B5EF4-FFF2-40B4-BE49-F238E27FC236}">
              <a16:creationId xmlns:a16="http://schemas.microsoft.com/office/drawing/2014/main" id="{849FB504-CE3D-49D6-B96F-3F45D3433A7E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21</xdr:row>
      <xdr:rowOff>77638</xdr:rowOff>
    </xdr:from>
    <xdr:ext cx="304800" cy="302284"/>
    <xdr:sp macro="" textlink="">
      <xdr:nvSpPr>
        <xdr:cNvPr id="171" name="AutoShape 10" descr="Wasps">
          <a:extLst>
            <a:ext uri="{FF2B5EF4-FFF2-40B4-BE49-F238E27FC236}">
              <a16:creationId xmlns:a16="http://schemas.microsoft.com/office/drawing/2014/main" id="{29834AEC-3184-4947-86E3-D1D8B2FA91A1}"/>
            </a:ext>
          </a:extLst>
        </xdr:cNvPr>
        <xdr:cNvSpPr>
          <a:spLocks noChangeAspect="1" noChangeArrowheads="1"/>
        </xdr:cNvSpPr>
      </xdr:nvSpPr>
      <xdr:spPr bwMode="auto">
        <a:xfrm>
          <a:off x="6504317" y="2380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72" name="AutoShape 10" descr="Wasps">
          <a:extLst>
            <a:ext uri="{FF2B5EF4-FFF2-40B4-BE49-F238E27FC236}">
              <a16:creationId xmlns:a16="http://schemas.microsoft.com/office/drawing/2014/main" id="{B649AE70-B21E-43D4-B351-DA238D965438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73" name="AutoShape 10" descr="Wasps">
          <a:extLst>
            <a:ext uri="{FF2B5EF4-FFF2-40B4-BE49-F238E27FC236}">
              <a16:creationId xmlns:a16="http://schemas.microsoft.com/office/drawing/2014/main" id="{BC29E87A-DB3A-4C60-9C20-F8AE69797B74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74" name="AutoShape 10" descr="Wasps">
          <a:extLst>
            <a:ext uri="{FF2B5EF4-FFF2-40B4-BE49-F238E27FC236}">
              <a16:creationId xmlns:a16="http://schemas.microsoft.com/office/drawing/2014/main" id="{EF81FBCA-ADAA-4E89-B927-6C23FE3AA9B1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41AE0B20-DA7E-4AF2-A181-13DFD9DFEA08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7CAD6B07-E09A-4A3C-98DA-26C1C4BA0F07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0C2A47DD-4649-4D9E-9BCB-3DA2F5EA2035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C5FD0059-DCFD-446F-9B15-9751955AE383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E46204DB-361C-4880-98B9-D37F21267B8D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243E3924-5909-4F0C-AD91-FD1A9EE91C12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511542F2-D933-4CA0-BDDF-86160BF0CCF3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04800" cy="302284"/>
    <xdr:sp macro="" textlink="">
      <xdr:nvSpPr>
        <xdr:cNvPr id="182" name="AutoShape 1" descr="Bristol Bears">
          <a:extLst>
            <a:ext uri="{FF2B5EF4-FFF2-40B4-BE49-F238E27FC236}">
              <a16:creationId xmlns:a16="http://schemas.microsoft.com/office/drawing/2014/main" id="{D535EB1D-5D66-4271-A5DF-C1BB236C61DC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04800" cy="302284"/>
    <xdr:sp macro="" textlink="">
      <xdr:nvSpPr>
        <xdr:cNvPr id="183" name="AutoShape 2" descr="Exeter Chiefs">
          <a:extLst>
            <a:ext uri="{FF2B5EF4-FFF2-40B4-BE49-F238E27FC236}">
              <a16:creationId xmlns:a16="http://schemas.microsoft.com/office/drawing/2014/main" id="{43E309CB-BEFA-48CA-8B17-217421BADE43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04800" cy="302284"/>
    <xdr:sp macro="" textlink="">
      <xdr:nvSpPr>
        <xdr:cNvPr id="184" name="AutoShape 3" descr="Harlequins">
          <a:extLst>
            <a:ext uri="{FF2B5EF4-FFF2-40B4-BE49-F238E27FC236}">
              <a16:creationId xmlns:a16="http://schemas.microsoft.com/office/drawing/2014/main" id="{3947B83F-F0B2-49BD-A5A7-5BC529B9840E}"/>
            </a:ext>
          </a:extLst>
        </xdr:cNvPr>
        <xdr:cNvSpPr>
          <a:spLocks noChangeAspect="1" noChangeArrowheads="1"/>
        </xdr:cNvSpPr>
      </xdr:nvSpPr>
      <xdr:spPr bwMode="auto">
        <a:xfrm>
          <a:off x="6443932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6EFF2A2F-EB03-427C-B170-6A8349F5A453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0CE9A434-79E0-46AA-A0E2-DB153D036001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90" name="AutoShape 10" descr="Wasps">
          <a:extLst>
            <a:ext uri="{FF2B5EF4-FFF2-40B4-BE49-F238E27FC236}">
              <a16:creationId xmlns:a16="http://schemas.microsoft.com/office/drawing/2014/main" id="{9DFA7ACB-1CA2-4885-B146-1EC9480DBB02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91" name="AutoShape 10" descr="Wasps">
          <a:extLst>
            <a:ext uri="{FF2B5EF4-FFF2-40B4-BE49-F238E27FC236}">
              <a16:creationId xmlns:a16="http://schemas.microsoft.com/office/drawing/2014/main" id="{3E77DC7D-A5D3-4C1E-96DE-04F5D712B21C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92" name="AutoShape 10" descr="Wasps">
          <a:extLst>
            <a:ext uri="{FF2B5EF4-FFF2-40B4-BE49-F238E27FC236}">
              <a16:creationId xmlns:a16="http://schemas.microsoft.com/office/drawing/2014/main" id="{95C454AA-ACD1-4C7A-A024-BB056F962390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193" name="AutoShape 10" descr="Wasps">
          <a:extLst>
            <a:ext uri="{FF2B5EF4-FFF2-40B4-BE49-F238E27FC236}">
              <a16:creationId xmlns:a16="http://schemas.microsoft.com/office/drawing/2014/main" id="{E23BB154-10FE-403B-9295-7E8E500A6F68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94" name="AutoShape 10" descr="Wasps">
          <a:extLst>
            <a:ext uri="{FF2B5EF4-FFF2-40B4-BE49-F238E27FC236}">
              <a16:creationId xmlns:a16="http://schemas.microsoft.com/office/drawing/2014/main" id="{B0C38D70-85D6-4F71-B72A-AF7BDEE46B91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195" name="AutoShape 10" descr="Wasps">
          <a:extLst>
            <a:ext uri="{FF2B5EF4-FFF2-40B4-BE49-F238E27FC236}">
              <a16:creationId xmlns:a16="http://schemas.microsoft.com/office/drawing/2014/main" id="{2E311AD1-1265-4A0A-A81D-1C3F7F866DF2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96" name="AutoShape 10" descr="Wasps">
          <a:extLst>
            <a:ext uri="{FF2B5EF4-FFF2-40B4-BE49-F238E27FC236}">
              <a16:creationId xmlns:a16="http://schemas.microsoft.com/office/drawing/2014/main" id="{60B89054-0C3A-4595-8FE6-3E7FAB4F47B0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197" name="AutoShape 10" descr="Wasps">
          <a:extLst>
            <a:ext uri="{FF2B5EF4-FFF2-40B4-BE49-F238E27FC236}">
              <a16:creationId xmlns:a16="http://schemas.microsoft.com/office/drawing/2014/main" id="{BC0011A3-B504-4681-B5D8-A823BE6307C9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98" name="AutoShape 10" descr="Wasps">
          <a:extLst>
            <a:ext uri="{FF2B5EF4-FFF2-40B4-BE49-F238E27FC236}">
              <a16:creationId xmlns:a16="http://schemas.microsoft.com/office/drawing/2014/main" id="{F471909F-6514-4C7D-BE05-DE793A12888F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199" name="AutoShape 10" descr="Wasps">
          <a:extLst>
            <a:ext uri="{FF2B5EF4-FFF2-40B4-BE49-F238E27FC236}">
              <a16:creationId xmlns:a16="http://schemas.microsoft.com/office/drawing/2014/main" id="{A2FD00EF-CDC8-4C80-81B3-A59EBE4ADFE8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00" name="AutoShape 10" descr="Wasps">
          <a:extLst>
            <a:ext uri="{FF2B5EF4-FFF2-40B4-BE49-F238E27FC236}">
              <a16:creationId xmlns:a16="http://schemas.microsoft.com/office/drawing/2014/main" id="{3BB9D277-027C-44DF-9435-86D3C717F221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01" name="AutoShape 10" descr="Wasps">
          <a:extLst>
            <a:ext uri="{FF2B5EF4-FFF2-40B4-BE49-F238E27FC236}">
              <a16:creationId xmlns:a16="http://schemas.microsoft.com/office/drawing/2014/main" id="{36B3F229-EB7E-43F1-8344-361EE2DC8410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02" name="AutoShape 10" descr="Wasps">
          <a:extLst>
            <a:ext uri="{FF2B5EF4-FFF2-40B4-BE49-F238E27FC236}">
              <a16:creationId xmlns:a16="http://schemas.microsoft.com/office/drawing/2014/main" id="{D9AC8326-8D41-44F4-8DDD-CECD95FFF084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03" name="AutoShape 10" descr="Wasps">
          <a:extLst>
            <a:ext uri="{FF2B5EF4-FFF2-40B4-BE49-F238E27FC236}">
              <a16:creationId xmlns:a16="http://schemas.microsoft.com/office/drawing/2014/main" id="{13B1EFC7-CE58-40FA-9FFF-FCF9CE8F721A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33</xdr:row>
      <xdr:rowOff>19050</xdr:rowOff>
    </xdr:from>
    <xdr:ext cx="298150" cy="302284"/>
    <xdr:sp macro="" textlink="">
      <xdr:nvSpPr>
        <xdr:cNvPr id="204" name="AutoShape 9" descr="Bath Rugby">
          <a:extLst>
            <a:ext uri="{FF2B5EF4-FFF2-40B4-BE49-F238E27FC236}">
              <a16:creationId xmlns:a16="http://schemas.microsoft.com/office/drawing/2014/main" id="{A92D4FE7-DF0B-40E9-ABAA-25A891D598E1}"/>
            </a:ext>
          </a:extLst>
        </xdr:cNvPr>
        <xdr:cNvSpPr>
          <a:spLocks noChangeAspect="1" noChangeArrowheads="1"/>
        </xdr:cNvSpPr>
      </xdr:nvSpPr>
      <xdr:spPr bwMode="auto">
        <a:xfrm>
          <a:off x="6432430" y="444440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05" name="AutoShape 1" descr="Bristol Bears">
          <a:extLst>
            <a:ext uri="{FF2B5EF4-FFF2-40B4-BE49-F238E27FC236}">
              <a16:creationId xmlns:a16="http://schemas.microsoft.com/office/drawing/2014/main" id="{56C2E1C1-F6EF-4635-9B26-6CDBF0B7E41B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06" name="AutoShape 2" descr="Exeter Chiefs">
          <a:extLst>
            <a:ext uri="{FF2B5EF4-FFF2-40B4-BE49-F238E27FC236}">
              <a16:creationId xmlns:a16="http://schemas.microsoft.com/office/drawing/2014/main" id="{DF57AA2A-7B25-49AF-BFBF-667AE97BA925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07" name="AutoShape 3" descr="Harlequins">
          <a:extLst>
            <a:ext uri="{FF2B5EF4-FFF2-40B4-BE49-F238E27FC236}">
              <a16:creationId xmlns:a16="http://schemas.microsoft.com/office/drawing/2014/main" id="{A3C2A54E-5735-4E1C-9104-CA29DE546426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08" name="AutoShape 4" descr="Sale Sharks">
          <a:extLst>
            <a:ext uri="{FF2B5EF4-FFF2-40B4-BE49-F238E27FC236}">
              <a16:creationId xmlns:a16="http://schemas.microsoft.com/office/drawing/2014/main" id="{74993C79-FC59-4007-96AE-D9EA770A368C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09" name="AutoShape 5" descr="Northampton Saints">
          <a:extLst>
            <a:ext uri="{FF2B5EF4-FFF2-40B4-BE49-F238E27FC236}">
              <a16:creationId xmlns:a16="http://schemas.microsoft.com/office/drawing/2014/main" id="{520B0A70-5A71-4E38-AEFB-B9DACBEE5AB3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10" name="AutoShape 6" descr="London Irish">
          <a:extLst>
            <a:ext uri="{FF2B5EF4-FFF2-40B4-BE49-F238E27FC236}">
              <a16:creationId xmlns:a16="http://schemas.microsoft.com/office/drawing/2014/main" id="{0E8D704F-A7C4-4D33-B9B6-B9B41B0842B1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609600</xdr:colOff>
      <xdr:row>29</xdr:row>
      <xdr:rowOff>19050</xdr:rowOff>
    </xdr:from>
    <xdr:ext cx="298150" cy="302284"/>
    <xdr:sp macro="" textlink="">
      <xdr:nvSpPr>
        <xdr:cNvPr id="211" name="AutoShape 9" descr="Bath Rugby">
          <a:extLst>
            <a:ext uri="{FF2B5EF4-FFF2-40B4-BE49-F238E27FC236}">
              <a16:creationId xmlns:a16="http://schemas.microsoft.com/office/drawing/2014/main" id="{4B9F562C-C8C3-4F29-85CE-6FF533027F19}"/>
            </a:ext>
          </a:extLst>
        </xdr:cNvPr>
        <xdr:cNvSpPr>
          <a:spLocks noChangeAspect="1" noChangeArrowheads="1"/>
        </xdr:cNvSpPr>
      </xdr:nvSpPr>
      <xdr:spPr bwMode="auto">
        <a:xfrm>
          <a:off x="6432430" y="368527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212" name="AutoShape 10" descr="Wasps">
          <a:extLst>
            <a:ext uri="{FF2B5EF4-FFF2-40B4-BE49-F238E27FC236}">
              <a16:creationId xmlns:a16="http://schemas.microsoft.com/office/drawing/2014/main" id="{37A24331-6C78-44C8-8799-D673B2E0C89A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304800" cy="302284"/>
    <xdr:sp macro="" textlink="">
      <xdr:nvSpPr>
        <xdr:cNvPr id="213" name="AutoShape 10" descr="Wasps">
          <a:extLst>
            <a:ext uri="{FF2B5EF4-FFF2-40B4-BE49-F238E27FC236}">
              <a16:creationId xmlns:a16="http://schemas.microsoft.com/office/drawing/2014/main" id="{F7256CE6-CCF0-4156-B6C4-7C9B41910690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14" name="AutoShape 10" descr="Wasps">
          <a:extLst>
            <a:ext uri="{FF2B5EF4-FFF2-40B4-BE49-F238E27FC236}">
              <a16:creationId xmlns:a16="http://schemas.microsoft.com/office/drawing/2014/main" id="{25D8A7D3-380B-4BAD-934A-368A9A7B5935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15" name="AutoShape 10" descr="Wasps">
          <a:extLst>
            <a:ext uri="{FF2B5EF4-FFF2-40B4-BE49-F238E27FC236}">
              <a16:creationId xmlns:a16="http://schemas.microsoft.com/office/drawing/2014/main" id="{AF8B7BE3-2448-4639-8ADA-79927E15FB4F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16" name="AutoShape 10" descr="Wasps">
          <a:extLst>
            <a:ext uri="{FF2B5EF4-FFF2-40B4-BE49-F238E27FC236}">
              <a16:creationId xmlns:a16="http://schemas.microsoft.com/office/drawing/2014/main" id="{1788B7A4-B05A-4F15-9FE7-9BA3041D70AA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31</xdr:row>
      <xdr:rowOff>77638</xdr:rowOff>
    </xdr:from>
    <xdr:ext cx="304800" cy="302284"/>
    <xdr:sp macro="" textlink="">
      <xdr:nvSpPr>
        <xdr:cNvPr id="217" name="AutoShape 10" descr="Wasps">
          <a:extLst>
            <a:ext uri="{FF2B5EF4-FFF2-40B4-BE49-F238E27FC236}">
              <a16:creationId xmlns:a16="http://schemas.microsoft.com/office/drawing/2014/main" id="{685ED142-2590-426B-88C3-913292D88289}"/>
            </a:ext>
          </a:extLst>
        </xdr:cNvPr>
        <xdr:cNvSpPr>
          <a:spLocks noChangeAspect="1" noChangeArrowheads="1"/>
        </xdr:cNvSpPr>
      </xdr:nvSpPr>
      <xdr:spPr bwMode="auto">
        <a:xfrm>
          <a:off x="6504317" y="412342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18" name="AutoShape 10" descr="Wasps">
          <a:extLst>
            <a:ext uri="{FF2B5EF4-FFF2-40B4-BE49-F238E27FC236}">
              <a16:creationId xmlns:a16="http://schemas.microsoft.com/office/drawing/2014/main" id="{D3FA58C9-8216-440A-AFE4-7DC5722D75B9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</xdr:row>
      <xdr:rowOff>0</xdr:rowOff>
    </xdr:from>
    <xdr:ext cx="304800" cy="302284"/>
    <xdr:sp macro="" textlink="">
      <xdr:nvSpPr>
        <xdr:cNvPr id="219" name="AutoShape 10" descr="Wasps">
          <a:extLst>
            <a:ext uri="{FF2B5EF4-FFF2-40B4-BE49-F238E27FC236}">
              <a16:creationId xmlns:a16="http://schemas.microsoft.com/office/drawing/2014/main" id="{8D766E5B-CFBC-45CB-9383-922E012FB9CB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20" name="AutoShape 10" descr="Wasps">
          <a:extLst>
            <a:ext uri="{FF2B5EF4-FFF2-40B4-BE49-F238E27FC236}">
              <a16:creationId xmlns:a16="http://schemas.microsoft.com/office/drawing/2014/main" id="{88984210-9C76-4BD7-A888-894B788000ED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21" name="AutoShape 10" descr="Wasps">
          <a:extLst>
            <a:ext uri="{FF2B5EF4-FFF2-40B4-BE49-F238E27FC236}">
              <a16:creationId xmlns:a16="http://schemas.microsoft.com/office/drawing/2014/main" id="{CF627DE5-9C6D-482F-891D-27546426B675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22" name="AutoShape 10" descr="Wasps">
          <a:extLst>
            <a:ext uri="{FF2B5EF4-FFF2-40B4-BE49-F238E27FC236}">
              <a16:creationId xmlns:a16="http://schemas.microsoft.com/office/drawing/2014/main" id="{0D6ACFE1-3265-4F7B-B63D-FC6912C26759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23" name="AutoShape 10" descr="Wasps">
          <a:extLst>
            <a:ext uri="{FF2B5EF4-FFF2-40B4-BE49-F238E27FC236}">
              <a16:creationId xmlns:a16="http://schemas.microsoft.com/office/drawing/2014/main" id="{431D85C9-5EDE-4C4A-8D50-247692D991BB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24" name="AutoShape 10" descr="Wasps">
          <a:extLst>
            <a:ext uri="{FF2B5EF4-FFF2-40B4-BE49-F238E27FC236}">
              <a16:creationId xmlns:a16="http://schemas.microsoft.com/office/drawing/2014/main" id="{029E3960-7416-4424-B24A-409AB162C741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25" name="AutoShape 10" descr="Wasps">
          <a:extLst>
            <a:ext uri="{FF2B5EF4-FFF2-40B4-BE49-F238E27FC236}">
              <a16:creationId xmlns:a16="http://schemas.microsoft.com/office/drawing/2014/main" id="{F9E31EFB-8152-40F6-904E-16B45BD7CA0F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26" name="AutoShape 10" descr="Wasps">
          <a:extLst>
            <a:ext uri="{FF2B5EF4-FFF2-40B4-BE49-F238E27FC236}">
              <a16:creationId xmlns:a16="http://schemas.microsoft.com/office/drawing/2014/main" id="{8D82AD05-A3E1-4BC7-9585-F71601650B7C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27" name="AutoShape 10" descr="Wasps">
          <a:extLst>
            <a:ext uri="{FF2B5EF4-FFF2-40B4-BE49-F238E27FC236}">
              <a16:creationId xmlns:a16="http://schemas.microsoft.com/office/drawing/2014/main" id="{CBF8FC2D-52CE-46F8-BE72-C1EFD70DF977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</xdr:row>
      <xdr:rowOff>0</xdr:rowOff>
    </xdr:from>
    <xdr:ext cx="304800" cy="302284"/>
    <xdr:sp macro="" textlink="">
      <xdr:nvSpPr>
        <xdr:cNvPr id="228" name="AutoShape 1" descr="Bristol Bears">
          <a:extLst>
            <a:ext uri="{FF2B5EF4-FFF2-40B4-BE49-F238E27FC236}">
              <a16:creationId xmlns:a16="http://schemas.microsoft.com/office/drawing/2014/main" id="{E06EB30D-D06E-4E8A-AB8D-85DB04411DF0}"/>
            </a:ext>
          </a:extLst>
        </xdr:cNvPr>
        <xdr:cNvSpPr>
          <a:spLocks noChangeAspect="1" noChangeArrowheads="1"/>
        </xdr:cNvSpPr>
      </xdr:nvSpPr>
      <xdr:spPr bwMode="auto">
        <a:xfrm>
          <a:off x="6443932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1258</xdr:colOff>
      <xdr:row>30</xdr:row>
      <xdr:rowOff>188523</xdr:rowOff>
    </xdr:from>
    <xdr:ext cx="302284" cy="304800"/>
    <xdr:sp macro="" textlink="">
      <xdr:nvSpPr>
        <xdr:cNvPr id="229" name="AutoShape 2" descr="Exeter Chiefs">
          <a:extLst>
            <a:ext uri="{FF2B5EF4-FFF2-40B4-BE49-F238E27FC236}">
              <a16:creationId xmlns:a16="http://schemas.microsoft.com/office/drawing/2014/main" id="{B1614557-3596-4056-9452-1E7124DEC100}"/>
            </a:ext>
          </a:extLst>
        </xdr:cNvPr>
        <xdr:cNvSpPr>
          <a:spLocks noChangeAspect="1" noChangeArrowheads="1"/>
        </xdr:cNvSpPr>
      </xdr:nvSpPr>
      <xdr:spPr bwMode="auto">
        <a:xfrm rot="16200000"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</xdr:row>
      <xdr:rowOff>0</xdr:rowOff>
    </xdr:from>
    <xdr:ext cx="304800" cy="302284"/>
    <xdr:sp macro="" textlink="">
      <xdr:nvSpPr>
        <xdr:cNvPr id="230" name="AutoShape 3" descr="Harlequins">
          <a:extLst>
            <a:ext uri="{FF2B5EF4-FFF2-40B4-BE49-F238E27FC236}">
              <a16:creationId xmlns:a16="http://schemas.microsoft.com/office/drawing/2014/main" id="{98B29AC7-4583-446D-9078-8B3D977553E5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304800" cy="302284"/>
    <xdr:sp macro="" textlink="">
      <xdr:nvSpPr>
        <xdr:cNvPr id="231" name="AutoShape 4" descr="Sale Sharks">
          <a:extLst>
            <a:ext uri="{FF2B5EF4-FFF2-40B4-BE49-F238E27FC236}">
              <a16:creationId xmlns:a16="http://schemas.microsoft.com/office/drawing/2014/main" id="{849AC081-B633-475E-81CD-D897509DAA41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304800" cy="302284"/>
    <xdr:sp macro="" textlink="">
      <xdr:nvSpPr>
        <xdr:cNvPr id="232" name="AutoShape 5" descr="Northampton Saints">
          <a:extLst>
            <a:ext uri="{FF2B5EF4-FFF2-40B4-BE49-F238E27FC236}">
              <a16:creationId xmlns:a16="http://schemas.microsoft.com/office/drawing/2014/main" id="{B99C3B82-F04E-4812-BB24-DA4321CF4A5F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304800" cy="302284"/>
    <xdr:sp macro="" textlink="">
      <xdr:nvSpPr>
        <xdr:cNvPr id="233" name="AutoShape 6" descr="London Irish">
          <a:extLst>
            <a:ext uri="{FF2B5EF4-FFF2-40B4-BE49-F238E27FC236}">
              <a16:creationId xmlns:a16="http://schemas.microsoft.com/office/drawing/2014/main" id="{4FD13F20-998D-46C2-98B2-54EE363C484E}"/>
            </a:ext>
          </a:extLst>
        </xdr:cNvPr>
        <xdr:cNvSpPr>
          <a:spLocks noChangeAspect="1" noChangeArrowheads="1"/>
        </xdr:cNvSpPr>
      </xdr:nvSpPr>
      <xdr:spPr bwMode="auto">
        <a:xfrm>
          <a:off x="6443932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</xdr:row>
      <xdr:rowOff>0</xdr:rowOff>
    </xdr:from>
    <xdr:ext cx="304800" cy="302284"/>
    <xdr:sp macro="" textlink="">
      <xdr:nvSpPr>
        <xdr:cNvPr id="234" name="AutoShape 1" descr="Bristol Bears">
          <a:extLst>
            <a:ext uri="{FF2B5EF4-FFF2-40B4-BE49-F238E27FC236}">
              <a16:creationId xmlns:a16="http://schemas.microsoft.com/office/drawing/2014/main" id="{152B313E-3EA8-435F-B87B-3BD002CD5602}"/>
            </a:ext>
          </a:extLst>
        </xdr:cNvPr>
        <xdr:cNvSpPr>
          <a:spLocks noChangeAspect="1" noChangeArrowheads="1"/>
        </xdr:cNvSpPr>
      </xdr:nvSpPr>
      <xdr:spPr bwMode="auto">
        <a:xfrm>
          <a:off x="6211019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4</xdr:row>
      <xdr:rowOff>120770</xdr:rowOff>
    </xdr:from>
    <xdr:ext cx="304800" cy="302284"/>
    <xdr:sp macro="" textlink="">
      <xdr:nvSpPr>
        <xdr:cNvPr id="235" name="AutoShape 2" descr="Exeter Chiefs">
          <a:extLst>
            <a:ext uri="{FF2B5EF4-FFF2-40B4-BE49-F238E27FC236}">
              <a16:creationId xmlns:a16="http://schemas.microsoft.com/office/drawing/2014/main" id="{2CED2FC6-0F8F-46FF-A17A-61A8B7852658}"/>
            </a:ext>
          </a:extLst>
        </xdr:cNvPr>
        <xdr:cNvSpPr>
          <a:spLocks noChangeAspect="1" noChangeArrowheads="1"/>
        </xdr:cNvSpPr>
      </xdr:nvSpPr>
      <xdr:spPr bwMode="auto">
        <a:xfrm>
          <a:off x="6245525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</xdr:row>
      <xdr:rowOff>0</xdr:rowOff>
    </xdr:from>
    <xdr:ext cx="304800" cy="302284"/>
    <xdr:sp macro="" textlink="">
      <xdr:nvSpPr>
        <xdr:cNvPr id="236" name="AutoShape 3" descr="Harlequins">
          <a:extLst>
            <a:ext uri="{FF2B5EF4-FFF2-40B4-BE49-F238E27FC236}">
              <a16:creationId xmlns:a16="http://schemas.microsoft.com/office/drawing/2014/main" id="{1125AD99-DB2B-4812-8F63-C1A4967A7C5F}"/>
            </a:ext>
          </a:extLst>
        </xdr:cNvPr>
        <xdr:cNvSpPr>
          <a:spLocks noChangeAspect="1" noChangeArrowheads="1"/>
        </xdr:cNvSpPr>
      </xdr:nvSpPr>
      <xdr:spPr bwMode="auto">
        <a:xfrm>
          <a:off x="6211019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6</xdr:row>
      <xdr:rowOff>0</xdr:rowOff>
    </xdr:from>
    <xdr:ext cx="304800" cy="302284"/>
    <xdr:sp macro="" textlink="">
      <xdr:nvSpPr>
        <xdr:cNvPr id="237" name="AutoShape 4" descr="Sale Sharks">
          <a:extLst>
            <a:ext uri="{FF2B5EF4-FFF2-40B4-BE49-F238E27FC236}">
              <a16:creationId xmlns:a16="http://schemas.microsoft.com/office/drawing/2014/main" id="{60915EC2-5B26-4862-9BF7-3E23E972464A}"/>
            </a:ext>
          </a:extLst>
        </xdr:cNvPr>
        <xdr:cNvSpPr>
          <a:spLocks noChangeAspect="1" noChangeArrowheads="1"/>
        </xdr:cNvSpPr>
      </xdr:nvSpPr>
      <xdr:spPr bwMode="auto">
        <a:xfrm>
          <a:off x="6211019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7</xdr:row>
      <xdr:rowOff>0</xdr:rowOff>
    </xdr:from>
    <xdr:ext cx="304800" cy="302284"/>
    <xdr:sp macro="" textlink="">
      <xdr:nvSpPr>
        <xdr:cNvPr id="238" name="AutoShape 5" descr="Northampton Saints">
          <a:extLst>
            <a:ext uri="{FF2B5EF4-FFF2-40B4-BE49-F238E27FC236}">
              <a16:creationId xmlns:a16="http://schemas.microsoft.com/office/drawing/2014/main" id="{5A0B6FA6-033A-4D44-A39C-DAD5C87394B8}"/>
            </a:ext>
          </a:extLst>
        </xdr:cNvPr>
        <xdr:cNvSpPr>
          <a:spLocks noChangeAspect="1" noChangeArrowheads="1"/>
        </xdr:cNvSpPr>
      </xdr:nvSpPr>
      <xdr:spPr bwMode="auto">
        <a:xfrm>
          <a:off x="6211019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13</xdr:row>
      <xdr:rowOff>0</xdr:rowOff>
    </xdr:from>
    <xdr:ext cx="304800" cy="302284"/>
    <xdr:sp macro="" textlink="">
      <xdr:nvSpPr>
        <xdr:cNvPr id="239" name="AutoShape 1" descr="Bristol Bears">
          <a:extLst>
            <a:ext uri="{FF2B5EF4-FFF2-40B4-BE49-F238E27FC236}">
              <a16:creationId xmlns:a16="http://schemas.microsoft.com/office/drawing/2014/main" id="{9E851A82-934A-4A4B-8EFF-2934750D90AF}"/>
            </a:ext>
          </a:extLst>
        </xdr:cNvPr>
        <xdr:cNvSpPr>
          <a:spLocks noChangeAspect="1" noChangeArrowheads="1"/>
        </xdr:cNvSpPr>
      </xdr:nvSpPr>
      <xdr:spPr bwMode="auto">
        <a:xfrm>
          <a:off x="6211019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14</xdr:row>
      <xdr:rowOff>120770</xdr:rowOff>
    </xdr:from>
    <xdr:ext cx="304800" cy="302284"/>
    <xdr:sp macro="" textlink="">
      <xdr:nvSpPr>
        <xdr:cNvPr id="240" name="AutoShape 2" descr="Exeter Chiefs">
          <a:extLst>
            <a:ext uri="{FF2B5EF4-FFF2-40B4-BE49-F238E27FC236}">
              <a16:creationId xmlns:a16="http://schemas.microsoft.com/office/drawing/2014/main" id="{F720776C-6465-4102-B095-CA40869BCC5B}"/>
            </a:ext>
          </a:extLst>
        </xdr:cNvPr>
        <xdr:cNvSpPr>
          <a:spLocks noChangeAspect="1" noChangeArrowheads="1"/>
        </xdr:cNvSpPr>
      </xdr:nvSpPr>
      <xdr:spPr bwMode="auto">
        <a:xfrm>
          <a:off x="6245525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15</xdr:row>
      <xdr:rowOff>0</xdr:rowOff>
    </xdr:from>
    <xdr:ext cx="304800" cy="302284"/>
    <xdr:sp macro="" textlink="">
      <xdr:nvSpPr>
        <xdr:cNvPr id="241" name="AutoShape 3" descr="Harlequins">
          <a:extLst>
            <a:ext uri="{FF2B5EF4-FFF2-40B4-BE49-F238E27FC236}">
              <a16:creationId xmlns:a16="http://schemas.microsoft.com/office/drawing/2014/main" id="{50F5AA3B-A034-4121-B440-3C78950E6274}"/>
            </a:ext>
          </a:extLst>
        </xdr:cNvPr>
        <xdr:cNvSpPr>
          <a:spLocks noChangeAspect="1" noChangeArrowheads="1"/>
        </xdr:cNvSpPr>
      </xdr:nvSpPr>
      <xdr:spPr bwMode="auto">
        <a:xfrm>
          <a:off x="6211019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16</xdr:row>
      <xdr:rowOff>0</xdr:rowOff>
    </xdr:from>
    <xdr:ext cx="304800" cy="302284"/>
    <xdr:sp macro="" textlink="">
      <xdr:nvSpPr>
        <xdr:cNvPr id="242" name="AutoShape 4" descr="Sale Sharks">
          <a:extLst>
            <a:ext uri="{FF2B5EF4-FFF2-40B4-BE49-F238E27FC236}">
              <a16:creationId xmlns:a16="http://schemas.microsoft.com/office/drawing/2014/main" id="{8C9E8AE7-83E6-4662-9A0B-BC70C87602E3}"/>
            </a:ext>
          </a:extLst>
        </xdr:cNvPr>
        <xdr:cNvSpPr>
          <a:spLocks noChangeAspect="1" noChangeArrowheads="1"/>
        </xdr:cNvSpPr>
      </xdr:nvSpPr>
      <xdr:spPr bwMode="auto">
        <a:xfrm>
          <a:off x="6211019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304800" cy="302284"/>
    <xdr:sp macro="" textlink="">
      <xdr:nvSpPr>
        <xdr:cNvPr id="243" name="AutoShape 5" descr="Northampton Saints">
          <a:extLst>
            <a:ext uri="{FF2B5EF4-FFF2-40B4-BE49-F238E27FC236}">
              <a16:creationId xmlns:a16="http://schemas.microsoft.com/office/drawing/2014/main" id="{C15D5BC2-F271-4ADD-B044-362F40B2F02B}"/>
            </a:ext>
          </a:extLst>
        </xdr:cNvPr>
        <xdr:cNvSpPr>
          <a:spLocks noChangeAspect="1" noChangeArrowheads="1"/>
        </xdr:cNvSpPr>
      </xdr:nvSpPr>
      <xdr:spPr bwMode="auto">
        <a:xfrm>
          <a:off x="6211019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21</xdr:row>
      <xdr:rowOff>0</xdr:rowOff>
    </xdr:from>
    <xdr:ext cx="304800" cy="302284"/>
    <xdr:sp macro="" textlink="">
      <xdr:nvSpPr>
        <xdr:cNvPr id="244" name="AutoShape 1" descr="Bristol Bears">
          <a:extLst>
            <a:ext uri="{FF2B5EF4-FFF2-40B4-BE49-F238E27FC236}">
              <a16:creationId xmlns:a16="http://schemas.microsoft.com/office/drawing/2014/main" id="{1B79F2CB-3D0B-468D-8876-D35ECA5F953F}"/>
            </a:ext>
          </a:extLst>
        </xdr:cNvPr>
        <xdr:cNvSpPr>
          <a:spLocks noChangeAspect="1" noChangeArrowheads="1"/>
        </xdr:cNvSpPr>
      </xdr:nvSpPr>
      <xdr:spPr bwMode="auto">
        <a:xfrm>
          <a:off x="6211019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1258</xdr:colOff>
      <xdr:row>22</xdr:row>
      <xdr:rowOff>188523</xdr:rowOff>
    </xdr:from>
    <xdr:ext cx="302284" cy="304800"/>
    <xdr:sp macro="" textlink="">
      <xdr:nvSpPr>
        <xdr:cNvPr id="246" name="AutoShape 3" descr="Harlequins">
          <a:extLst>
            <a:ext uri="{FF2B5EF4-FFF2-40B4-BE49-F238E27FC236}">
              <a16:creationId xmlns:a16="http://schemas.microsoft.com/office/drawing/2014/main" id="{9D96632A-2B08-4BD1-9D8E-73A77C0F8634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10843404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75</xdr:row>
      <xdr:rowOff>181155</xdr:rowOff>
    </xdr:from>
    <xdr:to>
      <xdr:col>3</xdr:col>
      <xdr:colOff>246679</xdr:colOff>
      <xdr:row>83</xdr:row>
      <xdr:rowOff>137410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DF6024D-4896-4E98-95A4-76288E0CF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2634"/>
          <a:ext cx="1445751" cy="1431372"/>
        </a:xfrm>
        <a:prstGeom prst="rect">
          <a:avLst/>
        </a:prstGeom>
      </xdr:spPr>
    </xdr:pic>
    <xdr:clientData/>
  </xdr:twoCellAnchor>
  <xdr:oneCellAnchor>
    <xdr:from>
      <xdr:col>12</xdr:col>
      <xdr:colOff>109268</xdr:colOff>
      <xdr:row>75</xdr:row>
      <xdr:rowOff>0</xdr:rowOff>
    </xdr:from>
    <xdr:ext cx="298150" cy="302284"/>
    <xdr:sp macro="" textlink="">
      <xdr:nvSpPr>
        <xdr:cNvPr id="64" name="AutoShape 9" descr="Bath Rugby">
          <a:extLst>
            <a:ext uri="{FF2B5EF4-FFF2-40B4-BE49-F238E27FC236}">
              <a16:creationId xmlns:a16="http://schemas.microsoft.com/office/drawing/2014/main" id="{423F2A39-BA00-4694-A63B-18DE6E2155D8}"/>
            </a:ext>
          </a:extLst>
        </xdr:cNvPr>
        <xdr:cNvSpPr>
          <a:spLocks noChangeAspect="1" noChangeArrowheads="1"/>
        </xdr:cNvSpPr>
      </xdr:nvSpPr>
      <xdr:spPr bwMode="auto">
        <a:xfrm>
          <a:off x="3904891" y="1027585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207033</xdr:colOff>
      <xdr:row>64</xdr:row>
      <xdr:rowOff>0</xdr:rowOff>
    </xdr:from>
    <xdr:ext cx="304800" cy="302284"/>
    <xdr:sp macro="" textlink="">
      <xdr:nvSpPr>
        <xdr:cNvPr id="65" name="AutoShape 10" descr="Wasps">
          <a:extLst>
            <a:ext uri="{FF2B5EF4-FFF2-40B4-BE49-F238E27FC236}">
              <a16:creationId xmlns:a16="http://schemas.microsoft.com/office/drawing/2014/main" id="{8F47565D-A01D-4797-A56B-16F23B09F4B2}"/>
            </a:ext>
          </a:extLst>
        </xdr:cNvPr>
        <xdr:cNvSpPr>
          <a:spLocks noChangeAspect="1" noChangeArrowheads="1"/>
        </xdr:cNvSpPr>
      </xdr:nvSpPr>
      <xdr:spPr bwMode="auto">
        <a:xfrm>
          <a:off x="10670875" y="9937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17253</xdr:colOff>
      <xdr:row>75</xdr:row>
      <xdr:rowOff>0</xdr:rowOff>
    </xdr:from>
    <xdr:ext cx="304800" cy="302284"/>
    <xdr:sp macro="" textlink="">
      <xdr:nvSpPr>
        <xdr:cNvPr id="140" name="AutoShape 10" descr="Wasps">
          <a:extLst>
            <a:ext uri="{FF2B5EF4-FFF2-40B4-BE49-F238E27FC236}">
              <a16:creationId xmlns:a16="http://schemas.microsoft.com/office/drawing/2014/main" id="{9332596D-B62B-4643-86A8-DA037827E04B}"/>
            </a:ext>
          </a:extLst>
        </xdr:cNvPr>
        <xdr:cNvSpPr>
          <a:spLocks noChangeAspect="1" noChangeArrowheads="1"/>
        </xdr:cNvSpPr>
      </xdr:nvSpPr>
      <xdr:spPr bwMode="auto">
        <a:xfrm>
          <a:off x="595223" y="1131785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258792</xdr:colOff>
      <xdr:row>75</xdr:row>
      <xdr:rowOff>0</xdr:rowOff>
    </xdr:from>
    <xdr:ext cx="304800" cy="302284"/>
    <xdr:sp macro="" textlink="">
      <xdr:nvSpPr>
        <xdr:cNvPr id="156" name="AutoShape 10" descr="Wasps">
          <a:extLst>
            <a:ext uri="{FF2B5EF4-FFF2-40B4-BE49-F238E27FC236}">
              <a16:creationId xmlns:a16="http://schemas.microsoft.com/office/drawing/2014/main" id="{13A9F89F-F957-4BA2-B8FA-165F6220AC3D}"/>
            </a:ext>
          </a:extLst>
        </xdr:cNvPr>
        <xdr:cNvSpPr>
          <a:spLocks noChangeAspect="1" noChangeArrowheads="1"/>
        </xdr:cNvSpPr>
      </xdr:nvSpPr>
      <xdr:spPr bwMode="auto">
        <a:xfrm>
          <a:off x="4330460" y="1029993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103517</xdr:colOff>
      <xdr:row>75</xdr:row>
      <xdr:rowOff>0</xdr:rowOff>
    </xdr:from>
    <xdr:ext cx="304800" cy="302284"/>
    <xdr:sp macro="" textlink="">
      <xdr:nvSpPr>
        <xdr:cNvPr id="158" name="AutoShape 10" descr="Wasps">
          <a:extLst>
            <a:ext uri="{FF2B5EF4-FFF2-40B4-BE49-F238E27FC236}">
              <a16:creationId xmlns:a16="http://schemas.microsoft.com/office/drawing/2014/main" id="{0ED614CC-2A61-4404-9222-6F59BE9F3081}"/>
            </a:ext>
          </a:extLst>
        </xdr:cNvPr>
        <xdr:cNvSpPr>
          <a:spLocks noChangeAspect="1" noChangeArrowheads="1"/>
        </xdr:cNvSpPr>
      </xdr:nvSpPr>
      <xdr:spPr bwMode="auto">
        <a:xfrm>
          <a:off x="3347049" y="99462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94890</xdr:colOff>
      <xdr:row>75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778F98B6-CE6E-4426-934C-1CCF0D836657}"/>
            </a:ext>
          </a:extLst>
        </xdr:cNvPr>
        <xdr:cNvSpPr>
          <a:spLocks noChangeAspect="1" noChangeArrowheads="1"/>
        </xdr:cNvSpPr>
      </xdr:nvSpPr>
      <xdr:spPr bwMode="auto">
        <a:xfrm>
          <a:off x="2398143" y="9514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43131</xdr:colOff>
      <xdr:row>43</xdr:row>
      <xdr:rowOff>43132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F35D9DED-216E-4E46-B16E-2E1BD1E3EC29}"/>
            </a:ext>
          </a:extLst>
        </xdr:cNvPr>
        <xdr:cNvSpPr>
          <a:spLocks noChangeAspect="1" noChangeArrowheads="1"/>
        </xdr:cNvSpPr>
      </xdr:nvSpPr>
      <xdr:spPr bwMode="auto">
        <a:xfrm>
          <a:off x="8626414" y="82037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34505</xdr:colOff>
      <xdr:row>86</xdr:row>
      <xdr:rowOff>17253</xdr:rowOff>
    </xdr:from>
    <xdr:ext cx="304800" cy="302284"/>
    <xdr:sp macro="" textlink="">
      <xdr:nvSpPr>
        <xdr:cNvPr id="245" name="AutoShape 10" descr="Wasps">
          <a:extLst>
            <a:ext uri="{FF2B5EF4-FFF2-40B4-BE49-F238E27FC236}">
              <a16:creationId xmlns:a16="http://schemas.microsoft.com/office/drawing/2014/main" id="{27C273FD-3554-4AC2-A778-6D373DEAE073}"/>
            </a:ext>
          </a:extLst>
        </xdr:cNvPr>
        <xdr:cNvSpPr>
          <a:spLocks noChangeAspect="1" noChangeArrowheads="1"/>
        </xdr:cNvSpPr>
      </xdr:nvSpPr>
      <xdr:spPr bwMode="auto">
        <a:xfrm>
          <a:off x="612475" y="1337094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163902</xdr:colOff>
      <xdr:row>88</xdr:row>
      <xdr:rowOff>86264</xdr:rowOff>
    </xdr:from>
    <xdr:ext cx="304800" cy="302284"/>
    <xdr:sp macro="" textlink="">
      <xdr:nvSpPr>
        <xdr:cNvPr id="247" name="AutoShape 10" descr="Wasps">
          <a:extLst>
            <a:ext uri="{FF2B5EF4-FFF2-40B4-BE49-F238E27FC236}">
              <a16:creationId xmlns:a16="http://schemas.microsoft.com/office/drawing/2014/main" id="{A94F4145-E0DF-496E-B865-B3D8EB184B0A}"/>
            </a:ext>
          </a:extLst>
        </xdr:cNvPr>
        <xdr:cNvSpPr>
          <a:spLocks noChangeAspect="1" noChangeArrowheads="1"/>
        </xdr:cNvSpPr>
      </xdr:nvSpPr>
      <xdr:spPr bwMode="auto">
        <a:xfrm>
          <a:off x="422694" y="138022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232913</xdr:colOff>
      <xdr:row>75</xdr:row>
      <xdr:rowOff>0</xdr:rowOff>
    </xdr:from>
    <xdr:ext cx="304800" cy="302284"/>
    <xdr:sp macro="" textlink="">
      <xdr:nvSpPr>
        <xdr:cNvPr id="251" name="AutoShape 1" descr="Bristol Bears">
          <a:extLst>
            <a:ext uri="{FF2B5EF4-FFF2-40B4-BE49-F238E27FC236}">
              <a16:creationId xmlns:a16="http://schemas.microsoft.com/office/drawing/2014/main" id="{F0A5713F-0D70-4409-9368-6C80EFD2CD80}"/>
            </a:ext>
          </a:extLst>
        </xdr:cNvPr>
        <xdr:cNvSpPr>
          <a:spLocks noChangeAspect="1" noChangeArrowheads="1"/>
        </xdr:cNvSpPr>
      </xdr:nvSpPr>
      <xdr:spPr bwMode="auto">
        <a:xfrm>
          <a:off x="810883" y="99117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241539</xdr:colOff>
      <xdr:row>80</xdr:row>
      <xdr:rowOff>120769</xdr:rowOff>
    </xdr:from>
    <xdr:ext cx="304800" cy="302284"/>
    <xdr:sp macro="" textlink="">
      <xdr:nvSpPr>
        <xdr:cNvPr id="252" name="AutoShape 2" descr="Exeter Chiefs">
          <a:extLst>
            <a:ext uri="{FF2B5EF4-FFF2-40B4-BE49-F238E27FC236}">
              <a16:creationId xmlns:a16="http://schemas.microsoft.com/office/drawing/2014/main" id="{AB075D2C-D829-4837-AF7B-236351A4B565}"/>
            </a:ext>
          </a:extLst>
        </xdr:cNvPr>
        <xdr:cNvSpPr>
          <a:spLocks noChangeAspect="1" noChangeArrowheads="1"/>
        </xdr:cNvSpPr>
      </xdr:nvSpPr>
      <xdr:spPr bwMode="auto">
        <a:xfrm>
          <a:off x="3761116" y="11585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42</xdr:col>
      <xdr:colOff>362309</xdr:colOff>
      <xdr:row>0</xdr:row>
      <xdr:rowOff>0</xdr:rowOff>
    </xdr:from>
    <xdr:to>
      <xdr:col>45</xdr:col>
      <xdr:colOff>194921</xdr:colOff>
      <xdr:row>7</xdr:row>
      <xdr:rowOff>102904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EA07E911-4522-459D-9B43-C4124776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0347" y="0"/>
          <a:ext cx="1445751" cy="143137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583109</xdr:colOff>
      <xdr:row>36</xdr:row>
      <xdr:rowOff>102905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14BF9B-3811-4120-A85D-0C34180E0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8106"/>
          <a:ext cx="1445751" cy="143137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2</xdr:col>
      <xdr:colOff>143162</xdr:colOff>
      <xdr:row>17</xdr:row>
      <xdr:rowOff>102904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A43C4F-B509-4BE2-9EB3-6CA2285D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58400"/>
          <a:ext cx="1445751" cy="143137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</xdr:col>
      <xdr:colOff>203547</xdr:colOff>
      <xdr:row>21</xdr:row>
      <xdr:rowOff>154663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881D90-6E76-4A96-B0EB-EB287FDC2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5842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60385</xdr:rowOff>
    </xdr:from>
    <xdr:to>
      <xdr:col>0</xdr:col>
      <xdr:colOff>304800</xdr:colOff>
      <xdr:row>5</xdr:row>
      <xdr:rowOff>181515</xdr:rowOff>
    </xdr:to>
    <xdr:sp macro="" textlink="">
      <xdr:nvSpPr>
        <xdr:cNvPr id="3" name="AutoShape 1" descr="Bristol Bears">
          <a:extLst>
            <a:ext uri="{FF2B5EF4-FFF2-40B4-BE49-F238E27FC236}">
              <a16:creationId xmlns:a16="http://schemas.microsoft.com/office/drawing/2014/main" id="{2FF6A969-9C45-4E2A-9753-561EB519AD7E}"/>
            </a:ext>
          </a:extLst>
        </xdr:cNvPr>
        <xdr:cNvSpPr>
          <a:spLocks noChangeAspect="1" noChangeArrowheads="1"/>
        </xdr:cNvSpPr>
      </xdr:nvSpPr>
      <xdr:spPr bwMode="auto">
        <a:xfrm>
          <a:off x="5331125" y="100929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5</xdr:row>
      <xdr:rowOff>60385</xdr:rowOff>
    </xdr:from>
    <xdr:ext cx="304800" cy="310911"/>
    <xdr:sp macro="" textlink="">
      <xdr:nvSpPr>
        <xdr:cNvPr id="4" name="AutoShape 1" descr="Bristol Bears">
          <a:extLst>
            <a:ext uri="{FF2B5EF4-FFF2-40B4-BE49-F238E27FC236}">
              <a16:creationId xmlns:a16="http://schemas.microsoft.com/office/drawing/2014/main" id="{09A59D64-1C64-488D-B607-ED3AD3B65E51}"/>
            </a:ext>
          </a:extLst>
        </xdr:cNvPr>
        <xdr:cNvSpPr>
          <a:spLocks noChangeAspect="1" noChangeArrowheads="1"/>
        </xdr:cNvSpPr>
      </xdr:nvSpPr>
      <xdr:spPr bwMode="auto">
        <a:xfrm>
          <a:off x="0" y="819510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60385</xdr:rowOff>
    </xdr:from>
    <xdr:ext cx="304800" cy="310911"/>
    <xdr:sp macro="" textlink="">
      <xdr:nvSpPr>
        <xdr:cNvPr id="5" name="AutoShape 1" descr="Bristol Bears">
          <a:extLst>
            <a:ext uri="{FF2B5EF4-FFF2-40B4-BE49-F238E27FC236}">
              <a16:creationId xmlns:a16="http://schemas.microsoft.com/office/drawing/2014/main" id="{74C42F61-559C-4AA7-8158-07BD9E456FBD}"/>
            </a:ext>
          </a:extLst>
        </xdr:cNvPr>
        <xdr:cNvSpPr>
          <a:spLocks noChangeAspect="1" noChangeArrowheads="1"/>
        </xdr:cNvSpPr>
      </xdr:nvSpPr>
      <xdr:spPr bwMode="auto">
        <a:xfrm>
          <a:off x="0" y="819510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9</xdr:row>
      <xdr:rowOff>138380</xdr:rowOff>
    </xdr:to>
    <xdr:sp macro="" textlink="">
      <xdr:nvSpPr>
        <xdr:cNvPr id="11" name="AutoShape 10" descr="Wasps">
          <a:extLst>
            <a:ext uri="{FF2B5EF4-FFF2-40B4-BE49-F238E27FC236}">
              <a16:creationId xmlns:a16="http://schemas.microsoft.com/office/drawing/2014/main" id="{9242E636-5198-440D-A81B-68B41560D36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138687"/>
          <a:ext cx="304800" cy="31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28</xdr:col>
      <xdr:colOff>609600</xdr:colOff>
      <xdr:row>25</xdr:row>
      <xdr:rowOff>19050</xdr:rowOff>
    </xdr:from>
    <xdr:ext cx="298150" cy="302284"/>
    <xdr:sp macro="" textlink="">
      <xdr:nvSpPr>
        <xdr:cNvPr id="2" name="AutoShape 9" descr="Bath Rugby">
          <a:extLst>
            <a:ext uri="{FF2B5EF4-FFF2-40B4-BE49-F238E27FC236}">
              <a16:creationId xmlns:a16="http://schemas.microsoft.com/office/drawing/2014/main" id="{EEDC7FBF-42D4-4A0C-8CEC-C964759CD47C}"/>
            </a:ext>
          </a:extLst>
        </xdr:cNvPr>
        <xdr:cNvSpPr>
          <a:spLocks noChangeAspect="1" noChangeArrowheads="1"/>
        </xdr:cNvSpPr>
      </xdr:nvSpPr>
      <xdr:spPr bwMode="auto">
        <a:xfrm>
          <a:off x="10478219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5</xdr:row>
      <xdr:rowOff>60385</xdr:rowOff>
    </xdr:from>
    <xdr:to>
      <xdr:col>16</xdr:col>
      <xdr:colOff>304800</xdr:colOff>
      <xdr:row>6</xdr:row>
      <xdr:rowOff>181515</xdr:rowOff>
    </xdr:to>
    <xdr:sp macro="" textlink="">
      <xdr:nvSpPr>
        <xdr:cNvPr id="3" name="AutoShape 1" descr="Bristol Bears">
          <a:extLst>
            <a:ext uri="{FF2B5EF4-FFF2-40B4-BE49-F238E27FC236}">
              <a16:creationId xmlns:a16="http://schemas.microsoft.com/office/drawing/2014/main" id="{AB6236DE-5CA8-4D49-9880-4B052AA7111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100929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9</xdr:row>
      <xdr:rowOff>129755</xdr:rowOff>
    </xdr:to>
    <xdr:sp macro="" textlink="">
      <xdr:nvSpPr>
        <xdr:cNvPr id="7" name="AutoShape 5" descr="Northampton Saints">
          <a:extLst>
            <a:ext uri="{FF2B5EF4-FFF2-40B4-BE49-F238E27FC236}">
              <a16:creationId xmlns:a16="http://schemas.microsoft.com/office/drawing/2014/main" id="{0BD7E457-6767-4EC8-9567-D64277AD440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138687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9</xdr:row>
      <xdr:rowOff>147007</xdr:rowOff>
    </xdr:to>
    <xdr:sp macro="" textlink="">
      <xdr:nvSpPr>
        <xdr:cNvPr id="8" name="AutoShape 7" descr="Leicester Tigers">
          <a:extLst>
            <a:ext uri="{FF2B5EF4-FFF2-40B4-BE49-F238E27FC236}">
              <a16:creationId xmlns:a16="http://schemas.microsoft.com/office/drawing/2014/main" id="{F5ADF1E3-8FA5-4F84-87A4-87A5AFF4FF4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138687"/>
          <a:ext cx="304800" cy="32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9</xdr:row>
      <xdr:rowOff>138380</xdr:rowOff>
    </xdr:to>
    <xdr:sp macro="" textlink="">
      <xdr:nvSpPr>
        <xdr:cNvPr id="9" name="AutoShape 8" descr="Newcastle Falcons">
          <a:extLst>
            <a:ext uri="{FF2B5EF4-FFF2-40B4-BE49-F238E27FC236}">
              <a16:creationId xmlns:a16="http://schemas.microsoft.com/office/drawing/2014/main" id="{25029D56-4A59-4BD0-9892-1DFD721A4EC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138687"/>
          <a:ext cx="304800" cy="31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609600</xdr:colOff>
      <xdr:row>10</xdr:row>
      <xdr:rowOff>19050</xdr:rowOff>
    </xdr:from>
    <xdr:to>
      <xdr:col>16</xdr:col>
      <xdr:colOff>295275</xdr:colOff>
      <xdr:row>11</xdr:row>
      <xdr:rowOff>148804</xdr:rowOff>
    </xdr:to>
    <xdr:sp macro="" textlink="">
      <xdr:nvSpPr>
        <xdr:cNvPr id="10" name="AutoShape 9" descr="Bath Rugby">
          <a:extLst>
            <a:ext uri="{FF2B5EF4-FFF2-40B4-BE49-F238E27FC236}">
              <a16:creationId xmlns:a16="http://schemas.microsoft.com/office/drawing/2014/main" id="{7BA2CB4E-CF53-408B-B79E-0613C083A444}"/>
            </a:ext>
          </a:extLst>
        </xdr:cNvPr>
        <xdr:cNvSpPr>
          <a:spLocks noChangeAspect="1" noChangeArrowheads="1"/>
        </xdr:cNvSpPr>
      </xdr:nvSpPr>
      <xdr:spPr bwMode="auto">
        <a:xfrm>
          <a:off x="5656053" y="1916861"/>
          <a:ext cx="298150" cy="31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304800</xdr:colOff>
      <xdr:row>18</xdr:row>
      <xdr:rowOff>138381</xdr:rowOff>
    </xdr:to>
    <xdr:sp macro="" textlink="">
      <xdr:nvSpPr>
        <xdr:cNvPr id="12" name="AutoShape 11" descr="Gloucester Rugby">
          <a:extLst>
            <a:ext uri="{FF2B5EF4-FFF2-40B4-BE49-F238E27FC236}">
              <a16:creationId xmlns:a16="http://schemas.microsoft.com/office/drawing/2014/main" id="{3AECE414-41F5-407B-A7A1-4DA859F133F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238451</xdr:colOff>
      <xdr:row>22</xdr:row>
      <xdr:rowOff>64923</xdr:rowOff>
    </xdr:from>
    <xdr:ext cx="887407" cy="304800"/>
    <xdr:sp macro="" textlink="">
      <xdr:nvSpPr>
        <xdr:cNvPr id="13" name="AutoShape 10" descr="Wasps">
          <a:extLst>
            <a:ext uri="{FF2B5EF4-FFF2-40B4-BE49-F238E27FC236}">
              <a16:creationId xmlns:a16="http://schemas.microsoft.com/office/drawing/2014/main" id="{CC88B6FA-7E77-461D-B754-535B4C73118D}"/>
            </a:ext>
          </a:extLst>
        </xdr:cNvPr>
        <xdr:cNvSpPr>
          <a:spLocks noChangeAspect="1" noChangeArrowheads="1"/>
        </xdr:cNvSpPr>
      </xdr:nvSpPr>
      <xdr:spPr bwMode="auto">
        <a:xfrm rot="14834694" flipV="1">
          <a:off x="3574880" y="3948804"/>
          <a:ext cx="304800" cy="887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14" name="AutoShape 10" descr="Wasps">
          <a:extLst>
            <a:ext uri="{FF2B5EF4-FFF2-40B4-BE49-F238E27FC236}">
              <a16:creationId xmlns:a16="http://schemas.microsoft.com/office/drawing/2014/main" id="{7CEA3101-5D65-4CCF-88F3-17F7D61A0040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10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9ACD0C3C-99A2-4FA1-B898-E2C0B463947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4E792364-40F1-4924-ADAD-E2CDF726873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60AEB6E0-7DD9-47E6-972D-20FDD857FDF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42BC4154-A1A1-4BBA-A025-1E8EF2137B7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12</xdr:row>
      <xdr:rowOff>77638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30C94720-3A3B-468F-A7D5-815AE9A5CA6A}"/>
            </a:ext>
          </a:extLst>
        </xdr:cNvPr>
        <xdr:cNvSpPr>
          <a:spLocks noChangeAspect="1" noChangeArrowheads="1"/>
        </xdr:cNvSpPr>
      </xdr:nvSpPr>
      <xdr:spPr bwMode="auto">
        <a:xfrm>
          <a:off x="5719313" y="19754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A7C32BA6-9694-446E-8218-16E2856570C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C9359DD6-40D8-4B8F-B376-BACDD7731C2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3B6C77D0-4641-44B7-BA10-8917105FBDE6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13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689C37D1-EFF7-4581-9C37-CDA7BA485D5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14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B4A98F91-4580-43EF-9945-36282205275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14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48CB9589-F32D-4051-8A52-9E79FA0FF77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3378EF77-FC0A-41E5-8D77-790E7F88A30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B154B4B9-B039-4B28-AA72-FD4A9A508B7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C343046F-9E84-4293-914A-240B3B0F514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FC0391F5-A366-487E-B07A-2C68C592A75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1C89DF90-2AF5-43CF-9102-D92703F6B01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364000C1-CA81-4415-8644-41769A0E78EA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0D9457DF-404B-4444-97A9-6366BC53B73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03003"/>
    <xdr:sp macro="" textlink="">
      <xdr:nvSpPr>
        <xdr:cNvPr id="33" name="AutoShape 1" descr="Bristol Bears">
          <a:extLst>
            <a:ext uri="{FF2B5EF4-FFF2-40B4-BE49-F238E27FC236}">
              <a16:creationId xmlns:a16="http://schemas.microsoft.com/office/drawing/2014/main" id="{EB5D1737-698C-4028-8758-742E80372048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</xdr:row>
      <xdr:rowOff>0</xdr:rowOff>
    </xdr:from>
    <xdr:ext cx="304800" cy="303002"/>
    <xdr:sp macro="" textlink="">
      <xdr:nvSpPr>
        <xdr:cNvPr id="34" name="AutoShape 2" descr="Exeter Chiefs">
          <a:extLst>
            <a:ext uri="{FF2B5EF4-FFF2-40B4-BE49-F238E27FC236}">
              <a16:creationId xmlns:a16="http://schemas.microsoft.com/office/drawing/2014/main" id="{1763FDB4-7D53-4C4D-8559-847A0047B56D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3003"/>
    <xdr:sp macro="" textlink="">
      <xdr:nvSpPr>
        <xdr:cNvPr id="35" name="AutoShape 3" descr="Harlequins">
          <a:extLst>
            <a:ext uri="{FF2B5EF4-FFF2-40B4-BE49-F238E27FC236}">
              <a16:creationId xmlns:a16="http://schemas.microsoft.com/office/drawing/2014/main" id="{92790BCD-CD69-49F3-B9CD-3828AC6E42B5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3003"/>
    <xdr:sp macro="" textlink="">
      <xdr:nvSpPr>
        <xdr:cNvPr id="36" name="AutoShape 4" descr="Sale Sharks">
          <a:extLst>
            <a:ext uri="{FF2B5EF4-FFF2-40B4-BE49-F238E27FC236}">
              <a16:creationId xmlns:a16="http://schemas.microsoft.com/office/drawing/2014/main" id="{490631EF-A936-435C-B438-E6971F862C93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3003"/>
    <xdr:sp macro="" textlink="">
      <xdr:nvSpPr>
        <xdr:cNvPr id="37" name="AutoShape 5" descr="Northampton Saints">
          <a:extLst>
            <a:ext uri="{FF2B5EF4-FFF2-40B4-BE49-F238E27FC236}">
              <a16:creationId xmlns:a16="http://schemas.microsoft.com/office/drawing/2014/main" id="{7B93E665-7B95-4EF3-838D-745D47D42676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3003"/>
    <xdr:sp macro="" textlink="">
      <xdr:nvSpPr>
        <xdr:cNvPr id="38" name="AutoShape 6" descr="London Irish">
          <a:extLst>
            <a:ext uri="{FF2B5EF4-FFF2-40B4-BE49-F238E27FC236}">
              <a16:creationId xmlns:a16="http://schemas.microsoft.com/office/drawing/2014/main" id="{F04A3C79-D351-49BF-B619-A59699A28393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3003"/>
    <xdr:sp macro="" textlink="">
      <xdr:nvSpPr>
        <xdr:cNvPr id="39" name="AutoShape 7" descr="Leicester Tigers">
          <a:extLst>
            <a:ext uri="{FF2B5EF4-FFF2-40B4-BE49-F238E27FC236}">
              <a16:creationId xmlns:a16="http://schemas.microsoft.com/office/drawing/2014/main" id="{3E24418C-9FE2-4939-98E5-7D2D58E83CE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3003"/>
    <xdr:sp macro="" textlink="">
      <xdr:nvSpPr>
        <xdr:cNvPr id="40" name="AutoShape 8" descr="Newcastle Falcons">
          <a:extLst>
            <a:ext uri="{FF2B5EF4-FFF2-40B4-BE49-F238E27FC236}">
              <a16:creationId xmlns:a16="http://schemas.microsoft.com/office/drawing/2014/main" id="{495B85A1-9059-45A3-A57E-F3F1CCB8D92E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295275" cy="303003"/>
    <xdr:sp macro="" textlink="">
      <xdr:nvSpPr>
        <xdr:cNvPr id="41" name="AutoShape 9" descr="Bath Rugby">
          <a:extLst>
            <a:ext uri="{FF2B5EF4-FFF2-40B4-BE49-F238E27FC236}">
              <a16:creationId xmlns:a16="http://schemas.microsoft.com/office/drawing/2014/main" id="{F3DC0631-7363-4C7E-BC6B-B0A84FEA0EA0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3002"/>
    <xdr:sp macro="" textlink="">
      <xdr:nvSpPr>
        <xdr:cNvPr id="42" name="AutoShape 10" descr="Wasps">
          <a:extLst>
            <a:ext uri="{FF2B5EF4-FFF2-40B4-BE49-F238E27FC236}">
              <a16:creationId xmlns:a16="http://schemas.microsoft.com/office/drawing/2014/main" id="{AA4233C1-3A96-4619-A7C6-2E1310B13BF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336430</xdr:colOff>
      <xdr:row>9</xdr:row>
      <xdr:rowOff>0</xdr:rowOff>
    </xdr:from>
    <xdr:ext cx="304800" cy="302284"/>
    <xdr:sp macro="" textlink="">
      <xdr:nvSpPr>
        <xdr:cNvPr id="43" name="AutoShape 10" descr="Wasps">
          <a:extLst>
            <a:ext uri="{FF2B5EF4-FFF2-40B4-BE49-F238E27FC236}">
              <a16:creationId xmlns:a16="http://schemas.microsoft.com/office/drawing/2014/main" id="{E07F0423-F81D-477E-B809-2463B9A881F3}"/>
            </a:ext>
          </a:extLst>
        </xdr:cNvPr>
        <xdr:cNvSpPr>
          <a:spLocks noChangeAspect="1" noChangeArrowheads="1"/>
        </xdr:cNvSpPr>
      </xdr:nvSpPr>
      <xdr:spPr bwMode="auto">
        <a:xfrm>
          <a:off x="1081752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304800" cy="302284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02815D0D-252F-45A4-99F1-4B6D59D0817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CA18E7BA-9063-4380-A998-538AEAAC367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ED1B6E64-945E-4DC6-951A-E061FD32943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ECB89C8B-1099-45E5-9E59-AF8941645CE4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5441791D-7305-4276-B0F1-98663424A406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0B1AEDD4-CB43-4272-8B44-FF260DBB7D5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AF2AA69B-D728-4D36-AEE8-7DAA84C79A43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964A055B-0AF4-4671-80B9-FDBC5289E906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DB1A0BC4-A2F2-47E3-8007-092EC4F10B01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EF7D6013-B2C0-4AAD-944F-FDD243A17042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6251E40B-A24B-4B40-ACD8-E98257747A6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EB11D6A6-841E-4C3C-834A-8D628BE5BD7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050EB1FA-346B-43CD-A5FB-C1E135FFEFD3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EC287E68-C5C6-476D-9B4A-95821FEB3D6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5DDB9FD5-EA00-492B-AADE-55EECAA9B59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88D04F73-8A54-40C1-B0D1-F20A5AFD8791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B2667286-6F69-4A94-8057-B8D9F4AC2901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82B6D83A-2245-4C6D-AE7D-7154E961314F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3003"/>
    <xdr:sp macro="" textlink="">
      <xdr:nvSpPr>
        <xdr:cNvPr id="63" name="AutoShape 3" descr="Harlequins">
          <a:extLst>
            <a:ext uri="{FF2B5EF4-FFF2-40B4-BE49-F238E27FC236}">
              <a16:creationId xmlns:a16="http://schemas.microsoft.com/office/drawing/2014/main" id="{0C9E1095-A566-4C16-B0EA-3D193255EFD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60584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03003"/>
    <xdr:sp macro="" textlink="">
      <xdr:nvSpPr>
        <xdr:cNvPr id="64" name="AutoShape 4" descr="Sale Sharks">
          <a:extLst>
            <a:ext uri="{FF2B5EF4-FFF2-40B4-BE49-F238E27FC236}">
              <a16:creationId xmlns:a16="http://schemas.microsoft.com/office/drawing/2014/main" id="{6435CDBC-ACBA-479E-BA00-A0A14DF96845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79562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3003"/>
    <xdr:sp macro="" textlink="">
      <xdr:nvSpPr>
        <xdr:cNvPr id="65" name="AutoShape 5" descr="Northampton Saints">
          <a:extLst>
            <a:ext uri="{FF2B5EF4-FFF2-40B4-BE49-F238E27FC236}">
              <a16:creationId xmlns:a16="http://schemas.microsoft.com/office/drawing/2014/main" id="{81B67908-FB31-45CB-9EAB-5B7810003095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3003"/>
    <xdr:sp macro="" textlink="">
      <xdr:nvSpPr>
        <xdr:cNvPr id="66" name="AutoShape 6" descr="London Irish">
          <a:extLst>
            <a:ext uri="{FF2B5EF4-FFF2-40B4-BE49-F238E27FC236}">
              <a16:creationId xmlns:a16="http://schemas.microsoft.com/office/drawing/2014/main" id="{2B91E4BD-F1EA-4D1E-9625-C483EF95EA69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3003"/>
    <xdr:sp macro="" textlink="">
      <xdr:nvSpPr>
        <xdr:cNvPr id="67" name="AutoShape 7" descr="Leicester Tigers">
          <a:extLst>
            <a:ext uri="{FF2B5EF4-FFF2-40B4-BE49-F238E27FC236}">
              <a16:creationId xmlns:a16="http://schemas.microsoft.com/office/drawing/2014/main" id="{CCC53D4A-87F6-4185-B1FB-B70EE1CA718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3003"/>
    <xdr:sp macro="" textlink="">
      <xdr:nvSpPr>
        <xdr:cNvPr id="68" name="AutoShape 8" descr="Newcastle Falcons">
          <a:extLst>
            <a:ext uri="{FF2B5EF4-FFF2-40B4-BE49-F238E27FC236}">
              <a16:creationId xmlns:a16="http://schemas.microsoft.com/office/drawing/2014/main" id="{3C95E6FD-CBA0-49FE-AA17-7B32D74F6A4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69" name="AutoShape 11" descr="Gloucester Rugby">
          <a:extLst>
            <a:ext uri="{FF2B5EF4-FFF2-40B4-BE49-F238E27FC236}">
              <a16:creationId xmlns:a16="http://schemas.microsoft.com/office/drawing/2014/main" id="{FF6A1385-4157-481E-96CF-779A26DEB50A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172530</xdr:colOff>
      <xdr:row>17</xdr:row>
      <xdr:rowOff>172528</xdr:rowOff>
    </xdr:from>
    <xdr:ext cx="304800" cy="302284"/>
    <xdr:sp macro="" textlink="">
      <xdr:nvSpPr>
        <xdr:cNvPr id="70" name="AutoShape 10" descr="Wasps">
          <a:extLst>
            <a:ext uri="{FF2B5EF4-FFF2-40B4-BE49-F238E27FC236}">
              <a16:creationId xmlns:a16="http://schemas.microsoft.com/office/drawing/2014/main" id="{5BABA26C-F147-4FC6-8BC8-5184ED20EFF7}"/>
            </a:ext>
          </a:extLst>
        </xdr:cNvPr>
        <xdr:cNvSpPr>
          <a:spLocks noChangeAspect="1" noChangeArrowheads="1"/>
        </xdr:cNvSpPr>
      </xdr:nvSpPr>
      <xdr:spPr bwMode="auto">
        <a:xfrm>
          <a:off x="7591247" y="26396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71" name="AutoShape 10" descr="Wasps">
          <a:extLst>
            <a:ext uri="{FF2B5EF4-FFF2-40B4-BE49-F238E27FC236}">
              <a16:creationId xmlns:a16="http://schemas.microsoft.com/office/drawing/2014/main" id="{52A61778-2A2B-4BAA-95CA-B970F1BEA55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72" name="AutoShape 10" descr="Wasps">
          <a:extLst>
            <a:ext uri="{FF2B5EF4-FFF2-40B4-BE49-F238E27FC236}">
              <a16:creationId xmlns:a16="http://schemas.microsoft.com/office/drawing/2014/main" id="{B99A1B9D-2388-4BA7-8320-C045FE060C6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B633DF65-01A7-400E-AD70-0DE8BB8B80C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A54789B7-A737-4FB4-9303-3EC59374E67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E5E1C63D-1B60-4984-9C57-31A335BD06F0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375168F1-658E-4F98-94C7-29D75B645D8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3C08E15A-C796-4974-AB3F-0BBBA31E8D2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F184C150-97E0-4A63-B71B-4F0EE29633C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E83D6D43-4CFF-4973-8095-2EDD9F297B3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672E0CD0-E774-44A9-B654-71F45C5DB06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468BEE4B-A49F-4601-844E-F93F0C448990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8BC958D6-14F0-4DB0-84C4-5BAD00644CB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4D7A18F5-DB18-4C65-A517-4FD972C99A1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3609E5E8-98E4-4A55-8AB0-385795DC432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C761E663-E7EB-4CC7-8015-D89CB7F2D88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81A001BD-0860-42D4-B2F3-DCBAB155225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B9F1A510-7AB5-408A-88A4-A65273DFA78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15A4C169-E3BF-4752-AD3F-B337EEF2863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6C54C239-7E7D-43BA-8C53-8919BECBCFC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90" name="AutoShape 11" descr="Gloucester Rugby">
          <a:extLst>
            <a:ext uri="{FF2B5EF4-FFF2-40B4-BE49-F238E27FC236}">
              <a16:creationId xmlns:a16="http://schemas.microsoft.com/office/drawing/2014/main" id="{E5574A4C-638C-49B8-8546-3007EEE0D95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5CAE500E-A422-4B5F-91FE-9433610ED272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2F14FD64-C60A-422F-B5FF-41753A8F3AE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93" name="AutoShape 10" descr="Wasps">
          <a:extLst>
            <a:ext uri="{FF2B5EF4-FFF2-40B4-BE49-F238E27FC236}">
              <a16:creationId xmlns:a16="http://schemas.microsoft.com/office/drawing/2014/main" id="{631FB4F0-36B6-4538-8B90-0C12458B01E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DFE2754A-F24C-425B-83A3-BDE81250D2D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07825AC0-2810-4421-A4DF-F8A812C1E55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7AA65DA0-7963-4DD0-9925-7C464BF67F0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175BCF04-9FDA-4D2F-A02C-28F374DBE37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4B92ED67-D8B0-48B7-B202-59C92433C45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4F6D023F-8F4C-461D-ADF2-73993F152C3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42655439-CCEA-4BFA-ACCB-123AB32647B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1DCF6F86-1199-4A48-9D33-FDAB36B548E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AE352D6D-4B53-470E-ABEA-746227A507A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13081EF5-6B35-449D-A445-AA12D99FAE4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466FBB9D-D084-4E73-ACF8-C656E34B215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5B3CE592-580A-4D73-9C5E-1D992FB0DD5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EA5CAA1E-FB53-4ED2-BACA-DB249DCBE7C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EE3A2A74-4FB9-4E93-A18D-DD5ED04618D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834ECD18-B097-47FE-8B0F-098A5A76BE3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C3943583-5410-4288-B2C1-1E6EF950CE3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2</xdr:colOff>
      <xdr:row>11</xdr:row>
      <xdr:rowOff>0</xdr:rowOff>
    </xdr:from>
    <xdr:ext cx="0" cy="0"/>
    <xdr:sp macro="" textlink="">
      <xdr:nvSpPr>
        <xdr:cNvPr id="110" name="AutoShape 1" descr="Bristol Bears">
          <a:extLst>
            <a:ext uri="{FF2B5EF4-FFF2-40B4-BE49-F238E27FC236}">
              <a16:creationId xmlns:a16="http://schemas.microsoft.com/office/drawing/2014/main" id="{27B0495E-FF16-4C61-91A9-FD7C1A4C0097}"/>
            </a:ext>
          </a:extLst>
        </xdr:cNvPr>
        <xdr:cNvSpPr>
          <a:spLocks noChangeAspect="1" noChangeArrowheads="1"/>
        </xdr:cNvSpPr>
      </xdr:nvSpPr>
      <xdr:spPr bwMode="auto">
        <a:xfrm>
          <a:off x="5840085" y="2087592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304800" cy="302284"/>
    <xdr:sp macro="" textlink="">
      <xdr:nvSpPr>
        <xdr:cNvPr id="111" name="AutoShape 2" descr="Exeter Chiefs">
          <a:extLst>
            <a:ext uri="{FF2B5EF4-FFF2-40B4-BE49-F238E27FC236}">
              <a16:creationId xmlns:a16="http://schemas.microsoft.com/office/drawing/2014/main" id="{332DE2AC-B6DE-49A1-8CA4-829DB711C176}"/>
            </a:ext>
          </a:extLst>
        </xdr:cNvPr>
        <xdr:cNvSpPr>
          <a:spLocks noChangeAspect="1" noChangeArrowheads="1"/>
        </xdr:cNvSpPr>
      </xdr:nvSpPr>
      <xdr:spPr bwMode="auto">
        <a:xfrm>
          <a:off x="5658928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14</xdr:row>
      <xdr:rowOff>0</xdr:rowOff>
    </xdr:from>
    <xdr:ext cx="304800" cy="302284"/>
    <xdr:sp macro="" textlink="">
      <xdr:nvSpPr>
        <xdr:cNvPr id="113" name="AutoShape 4" descr="Sale Sharks">
          <a:extLst>
            <a:ext uri="{FF2B5EF4-FFF2-40B4-BE49-F238E27FC236}">
              <a16:creationId xmlns:a16="http://schemas.microsoft.com/office/drawing/2014/main" id="{1D654F33-AD3B-4DF4-8A6A-E81DBF79F686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2284"/>
    <xdr:sp macro="" textlink="">
      <xdr:nvSpPr>
        <xdr:cNvPr id="114" name="AutoShape 5" descr="Northampton Saints">
          <a:extLst>
            <a:ext uri="{FF2B5EF4-FFF2-40B4-BE49-F238E27FC236}">
              <a16:creationId xmlns:a16="http://schemas.microsoft.com/office/drawing/2014/main" id="{464E37F7-2A66-4620-9CED-3DFCAF6369F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23</xdr:row>
      <xdr:rowOff>19050</xdr:rowOff>
    </xdr:from>
    <xdr:ext cx="298150" cy="302284"/>
    <xdr:sp macro="" textlink="">
      <xdr:nvSpPr>
        <xdr:cNvPr id="117" name="AutoShape 9" descr="Bath Rugby">
          <a:extLst>
            <a:ext uri="{FF2B5EF4-FFF2-40B4-BE49-F238E27FC236}">
              <a16:creationId xmlns:a16="http://schemas.microsoft.com/office/drawing/2014/main" id="{20FDC75B-CDE3-4F63-8CC6-8097BC16B8F7}"/>
            </a:ext>
          </a:extLst>
        </xdr:cNvPr>
        <xdr:cNvSpPr>
          <a:spLocks noChangeAspect="1" noChangeArrowheads="1"/>
        </xdr:cNvSpPr>
      </xdr:nvSpPr>
      <xdr:spPr bwMode="auto">
        <a:xfrm>
          <a:off x="5656053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18" name="AutoShape 1" descr="Bristol Bears">
          <a:extLst>
            <a:ext uri="{FF2B5EF4-FFF2-40B4-BE49-F238E27FC236}">
              <a16:creationId xmlns:a16="http://schemas.microsoft.com/office/drawing/2014/main" id="{21654384-C0D2-4933-BF95-BE82AEA8D54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19" name="AutoShape 2" descr="Exeter Chiefs">
          <a:extLst>
            <a:ext uri="{FF2B5EF4-FFF2-40B4-BE49-F238E27FC236}">
              <a16:creationId xmlns:a16="http://schemas.microsoft.com/office/drawing/2014/main" id="{162569CE-251C-4D8A-B60A-A6C94616C17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120" name="AutoShape 3" descr="Harlequins">
          <a:extLst>
            <a:ext uri="{FF2B5EF4-FFF2-40B4-BE49-F238E27FC236}">
              <a16:creationId xmlns:a16="http://schemas.microsoft.com/office/drawing/2014/main" id="{37353F92-951C-47B0-A233-6BCA81FC5F8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121" name="AutoShape 4" descr="Sale Sharks">
          <a:extLst>
            <a:ext uri="{FF2B5EF4-FFF2-40B4-BE49-F238E27FC236}">
              <a16:creationId xmlns:a16="http://schemas.microsoft.com/office/drawing/2014/main" id="{B42B1D34-633A-4142-A23E-825C9988345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22" name="AutoShape 5" descr="Northampton Saints">
          <a:extLst>
            <a:ext uri="{FF2B5EF4-FFF2-40B4-BE49-F238E27FC236}">
              <a16:creationId xmlns:a16="http://schemas.microsoft.com/office/drawing/2014/main" id="{408D049C-7F86-4EDC-B64E-8352269C8C4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23" name="AutoShape 6" descr="London Irish">
          <a:extLst>
            <a:ext uri="{FF2B5EF4-FFF2-40B4-BE49-F238E27FC236}">
              <a16:creationId xmlns:a16="http://schemas.microsoft.com/office/drawing/2014/main" id="{95BF452F-E574-4A99-8743-41208CE45FC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24" name="AutoShape 7" descr="Leicester Tigers">
          <a:extLst>
            <a:ext uri="{FF2B5EF4-FFF2-40B4-BE49-F238E27FC236}">
              <a16:creationId xmlns:a16="http://schemas.microsoft.com/office/drawing/2014/main" id="{0FC3695D-85EC-4117-8945-A0537506364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25" name="AutoShape 8" descr="Newcastle Falcons">
          <a:extLst>
            <a:ext uri="{FF2B5EF4-FFF2-40B4-BE49-F238E27FC236}">
              <a16:creationId xmlns:a16="http://schemas.microsoft.com/office/drawing/2014/main" id="{621DAFBF-30C6-45AE-B38B-4382F8AD27D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126" name="AutoShape 1" descr="Bristol Bears">
          <a:extLst>
            <a:ext uri="{FF2B5EF4-FFF2-40B4-BE49-F238E27FC236}">
              <a16:creationId xmlns:a16="http://schemas.microsoft.com/office/drawing/2014/main" id="{7730C235-CD8F-4D67-BC8A-D3B08F0A49A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127" name="AutoShape 2" descr="Exeter Chiefs">
          <a:extLst>
            <a:ext uri="{FF2B5EF4-FFF2-40B4-BE49-F238E27FC236}">
              <a16:creationId xmlns:a16="http://schemas.microsoft.com/office/drawing/2014/main" id="{A86A9190-2C76-4DC5-8AEB-20BB298338C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128" name="AutoShape 3" descr="Harlequins">
          <a:extLst>
            <a:ext uri="{FF2B5EF4-FFF2-40B4-BE49-F238E27FC236}">
              <a16:creationId xmlns:a16="http://schemas.microsoft.com/office/drawing/2014/main" id="{878221CD-BC65-4CD1-9494-AAE4BA2946B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129" name="AutoShape 4" descr="Sale Sharks">
          <a:extLst>
            <a:ext uri="{FF2B5EF4-FFF2-40B4-BE49-F238E27FC236}">
              <a16:creationId xmlns:a16="http://schemas.microsoft.com/office/drawing/2014/main" id="{6D17DAD1-D8D5-45BD-8B65-3E069885C62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30" name="AutoShape 5" descr="Northampton Saints">
          <a:extLst>
            <a:ext uri="{FF2B5EF4-FFF2-40B4-BE49-F238E27FC236}">
              <a16:creationId xmlns:a16="http://schemas.microsoft.com/office/drawing/2014/main" id="{96C48EB1-9BAA-46A4-85A8-39FBD7FD2A4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31" name="AutoShape 6" descr="London Irish">
          <a:extLst>
            <a:ext uri="{FF2B5EF4-FFF2-40B4-BE49-F238E27FC236}">
              <a16:creationId xmlns:a16="http://schemas.microsoft.com/office/drawing/2014/main" id="{BF6E5912-3343-4087-9E76-B4A497B4F16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32" name="AutoShape 7" descr="Leicester Tigers">
          <a:extLst>
            <a:ext uri="{FF2B5EF4-FFF2-40B4-BE49-F238E27FC236}">
              <a16:creationId xmlns:a16="http://schemas.microsoft.com/office/drawing/2014/main" id="{ACE82D10-F31C-442F-93AE-5088B25ECFF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33" name="AutoShape 8" descr="Newcastle Falcons">
          <a:extLst>
            <a:ext uri="{FF2B5EF4-FFF2-40B4-BE49-F238E27FC236}">
              <a16:creationId xmlns:a16="http://schemas.microsoft.com/office/drawing/2014/main" id="{10F1C19B-413F-45C0-B33B-C8F0389C1BE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34" name="AutoShape 10" descr="Wasps">
          <a:extLst>
            <a:ext uri="{FF2B5EF4-FFF2-40B4-BE49-F238E27FC236}">
              <a16:creationId xmlns:a16="http://schemas.microsoft.com/office/drawing/2014/main" id="{741BC54C-9F73-4C3A-88B4-DB928414BD7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2284"/>
    <xdr:sp macro="" textlink="">
      <xdr:nvSpPr>
        <xdr:cNvPr id="135" name="AutoShape 3" descr="Harlequins">
          <a:extLst>
            <a:ext uri="{FF2B5EF4-FFF2-40B4-BE49-F238E27FC236}">
              <a16:creationId xmlns:a16="http://schemas.microsoft.com/office/drawing/2014/main" id="{314702E3-F525-4A38-AB05-981C5CDC6FDD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2284"/>
    <xdr:sp macro="" textlink="">
      <xdr:nvSpPr>
        <xdr:cNvPr id="136" name="AutoShape 4" descr="Sale Sharks">
          <a:extLst>
            <a:ext uri="{FF2B5EF4-FFF2-40B4-BE49-F238E27FC236}">
              <a16:creationId xmlns:a16="http://schemas.microsoft.com/office/drawing/2014/main" id="{98E48DF1-2EC3-4DC5-8BD4-73D96550736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137" name="AutoShape 5" descr="Northampton Saints">
          <a:extLst>
            <a:ext uri="{FF2B5EF4-FFF2-40B4-BE49-F238E27FC236}">
              <a16:creationId xmlns:a16="http://schemas.microsoft.com/office/drawing/2014/main" id="{669C5F10-0CE2-4737-B098-BC052EC49909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138" name="AutoShape 6" descr="London Irish">
          <a:extLst>
            <a:ext uri="{FF2B5EF4-FFF2-40B4-BE49-F238E27FC236}">
              <a16:creationId xmlns:a16="http://schemas.microsoft.com/office/drawing/2014/main" id="{2DC48D0E-9AD5-4882-99CC-77A539F6F00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139" name="AutoShape 7" descr="Leicester Tigers">
          <a:extLst>
            <a:ext uri="{FF2B5EF4-FFF2-40B4-BE49-F238E27FC236}">
              <a16:creationId xmlns:a16="http://schemas.microsoft.com/office/drawing/2014/main" id="{CCB079ED-59A6-43F4-8D9A-04B1F682A172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140" name="AutoShape 8" descr="Newcastle Falcons">
          <a:extLst>
            <a:ext uri="{FF2B5EF4-FFF2-40B4-BE49-F238E27FC236}">
              <a16:creationId xmlns:a16="http://schemas.microsoft.com/office/drawing/2014/main" id="{6B62771B-B4DB-47CF-8323-BB296F16B04F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609600</xdr:colOff>
      <xdr:row>11</xdr:row>
      <xdr:rowOff>19050</xdr:rowOff>
    </xdr:from>
    <xdr:ext cx="298150" cy="302284"/>
    <xdr:sp macro="" textlink="">
      <xdr:nvSpPr>
        <xdr:cNvPr id="141" name="AutoShape 9" descr="Bath Rugby">
          <a:extLst>
            <a:ext uri="{FF2B5EF4-FFF2-40B4-BE49-F238E27FC236}">
              <a16:creationId xmlns:a16="http://schemas.microsoft.com/office/drawing/2014/main" id="{ED1AAE7C-3400-4195-911D-4FC04D734196}"/>
            </a:ext>
          </a:extLst>
        </xdr:cNvPr>
        <xdr:cNvSpPr>
          <a:spLocks noChangeAspect="1" noChangeArrowheads="1"/>
        </xdr:cNvSpPr>
      </xdr:nvSpPr>
      <xdr:spPr bwMode="auto">
        <a:xfrm>
          <a:off x="10478219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51759</xdr:colOff>
      <xdr:row>9</xdr:row>
      <xdr:rowOff>0</xdr:rowOff>
    </xdr:from>
    <xdr:ext cx="304800" cy="302284"/>
    <xdr:sp macro="" textlink="">
      <xdr:nvSpPr>
        <xdr:cNvPr id="142" name="AutoShape 10" descr="Wasps">
          <a:extLst>
            <a:ext uri="{FF2B5EF4-FFF2-40B4-BE49-F238E27FC236}">
              <a16:creationId xmlns:a16="http://schemas.microsoft.com/office/drawing/2014/main" id="{37F06727-CE67-4B54-A52A-E38F18397E66}"/>
            </a:ext>
          </a:extLst>
        </xdr:cNvPr>
        <xdr:cNvSpPr>
          <a:spLocks noChangeAspect="1" noChangeArrowheads="1"/>
        </xdr:cNvSpPr>
      </xdr:nvSpPr>
      <xdr:spPr bwMode="auto">
        <a:xfrm>
          <a:off x="10532853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143" name="AutoShape 1" descr="Bristol Bears">
          <a:extLst>
            <a:ext uri="{FF2B5EF4-FFF2-40B4-BE49-F238E27FC236}">
              <a16:creationId xmlns:a16="http://schemas.microsoft.com/office/drawing/2014/main" id="{75B18CF5-9727-4AD6-A97A-96716E11F3DE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2284"/>
    <xdr:sp macro="" textlink="">
      <xdr:nvSpPr>
        <xdr:cNvPr id="144" name="AutoShape 2" descr="Exeter Chiefs">
          <a:extLst>
            <a:ext uri="{FF2B5EF4-FFF2-40B4-BE49-F238E27FC236}">
              <a16:creationId xmlns:a16="http://schemas.microsoft.com/office/drawing/2014/main" id="{4DB0D06D-55B3-47CF-9E42-51AFAA5131C3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145" name="AutoShape 3" descr="Harlequins">
          <a:extLst>
            <a:ext uri="{FF2B5EF4-FFF2-40B4-BE49-F238E27FC236}">
              <a16:creationId xmlns:a16="http://schemas.microsoft.com/office/drawing/2014/main" id="{56A245FE-0957-4990-8A46-B0F89C1E6179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146" name="AutoShape 4" descr="Sale Sharks">
          <a:extLst>
            <a:ext uri="{FF2B5EF4-FFF2-40B4-BE49-F238E27FC236}">
              <a16:creationId xmlns:a16="http://schemas.microsoft.com/office/drawing/2014/main" id="{903FED06-3D3C-4FB6-A2F2-F62CA7AAD763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304800" cy="302284"/>
    <xdr:sp macro="" textlink="">
      <xdr:nvSpPr>
        <xdr:cNvPr id="147" name="AutoShape 5" descr="Northampton Saints">
          <a:extLst>
            <a:ext uri="{FF2B5EF4-FFF2-40B4-BE49-F238E27FC236}">
              <a16:creationId xmlns:a16="http://schemas.microsoft.com/office/drawing/2014/main" id="{38CCB1F3-BE19-4185-99B8-E2B1F658F7A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129396</xdr:colOff>
      <xdr:row>20</xdr:row>
      <xdr:rowOff>112143</xdr:rowOff>
    </xdr:from>
    <xdr:ext cx="304800" cy="302284"/>
    <xdr:sp macro="" textlink="">
      <xdr:nvSpPr>
        <xdr:cNvPr id="148" name="AutoShape 1" descr="Bristol Bears">
          <a:extLst>
            <a:ext uri="{FF2B5EF4-FFF2-40B4-BE49-F238E27FC236}">
              <a16:creationId xmlns:a16="http://schemas.microsoft.com/office/drawing/2014/main" id="{F102D1B9-5311-4E93-B57C-7B319BF48F32}"/>
            </a:ext>
          </a:extLst>
        </xdr:cNvPr>
        <xdr:cNvSpPr>
          <a:spLocks noChangeAspect="1" noChangeArrowheads="1"/>
        </xdr:cNvSpPr>
      </xdr:nvSpPr>
      <xdr:spPr bwMode="auto">
        <a:xfrm>
          <a:off x="11231592" y="3148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149" name="AutoShape 3" descr="Harlequins">
          <a:extLst>
            <a:ext uri="{FF2B5EF4-FFF2-40B4-BE49-F238E27FC236}">
              <a16:creationId xmlns:a16="http://schemas.microsoft.com/office/drawing/2014/main" id="{AA1F7CB1-7C5D-455E-A3CE-88603544DFB6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02284"/>
    <xdr:sp macro="" textlink="">
      <xdr:nvSpPr>
        <xdr:cNvPr id="150" name="AutoShape 4" descr="Sale Sharks">
          <a:extLst>
            <a:ext uri="{FF2B5EF4-FFF2-40B4-BE49-F238E27FC236}">
              <a16:creationId xmlns:a16="http://schemas.microsoft.com/office/drawing/2014/main" id="{F9CE3D7F-54FF-48E0-B15D-65664382EA2F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2284"/>
    <xdr:sp macro="" textlink="">
      <xdr:nvSpPr>
        <xdr:cNvPr id="151" name="AutoShape 5" descr="Northampton Saints">
          <a:extLst>
            <a:ext uri="{FF2B5EF4-FFF2-40B4-BE49-F238E27FC236}">
              <a16:creationId xmlns:a16="http://schemas.microsoft.com/office/drawing/2014/main" id="{0DF1641D-3E64-4C57-9BDF-2DA7EC3EEB0E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2284"/>
    <xdr:sp macro="" textlink="">
      <xdr:nvSpPr>
        <xdr:cNvPr id="152" name="AutoShape 6" descr="London Irish">
          <a:extLst>
            <a:ext uri="{FF2B5EF4-FFF2-40B4-BE49-F238E27FC236}">
              <a16:creationId xmlns:a16="http://schemas.microsoft.com/office/drawing/2014/main" id="{7E5865A5-91C4-4CD2-81AB-274FA3B14FE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2284"/>
    <xdr:sp macro="" textlink="">
      <xdr:nvSpPr>
        <xdr:cNvPr id="153" name="AutoShape 7" descr="Leicester Tigers">
          <a:extLst>
            <a:ext uri="{FF2B5EF4-FFF2-40B4-BE49-F238E27FC236}">
              <a16:creationId xmlns:a16="http://schemas.microsoft.com/office/drawing/2014/main" id="{12C94373-6AC8-4720-98DD-66625F6706B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304800" cy="302284"/>
    <xdr:sp macro="" textlink="">
      <xdr:nvSpPr>
        <xdr:cNvPr id="154" name="AutoShape 8" descr="Newcastle Falcons">
          <a:extLst>
            <a:ext uri="{FF2B5EF4-FFF2-40B4-BE49-F238E27FC236}">
              <a16:creationId xmlns:a16="http://schemas.microsoft.com/office/drawing/2014/main" id="{BA261FB8-8B3A-495D-AB12-E71ADFC1F830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19</xdr:row>
      <xdr:rowOff>19050</xdr:rowOff>
    </xdr:from>
    <xdr:ext cx="298150" cy="302284"/>
    <xdr:sp macro="" textlink="">
      <xdr:nvSpPr>
        <xdr:cNvPr id="155" name="AutoShape 9" descr="Bath Rugby">
          <a:extLst>
            <a:ext uri="{FF2B5EF4-FFF2-40B4-BE49-F238E27FC236}">
              <a16:creationId xmlns:a16="http://schemas.microsoft.com/office/drawing/2014/main" id="{CA3F3232-FF35-46EF-BF7C-8C8F8C85D1DE}"/>
            </a:ext>
          </a:extLst>
        </xdr:cNvPr>
        <xdr:cNvSpPr>
          <a:spLocks noChangeAspect="1" noChangeArrowheads="1"/>
        </xdr:cNvSpPr>
      </xdr:nvSpPr>
      <xdr:spPr bwMode="auto">
        <a:xfrm>
          <a:off x="5656053" y="362489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56" name="AutoShape 10" descr="Wasps">
          <a:extLst>
            <a:ext uri="{FF2B5EF4-FFF2-40B4-BE49-F238E27FC236}">
              <a16:creationId xmlns:a16="http://schemas.microsoft.com/office/drawing/2014/main" id="{D147B3E4-C480-44F4-B58C-07CFA6348D2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157" name="AutoShape 10" descr="Wasps">
          <a:extLst>
            <a:ext uri="{FF2B5EF4-FFF2-40B4-BE49-F238E27FC236}">
              <a16:creationId xmlns:a16="http://schemas.microsoft.com/office/drawing/2014/main" id="{0D5E99AF-7AFB-43AA-A05B-DBA37AC2E51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58" name="AutoShape 10" descr="Wasps">
          <a:extLst>
            <a:ext uri="{FF2B5EF4-FFF2-40B4-BE49-F238E27FC236}">
              <a16:creationId xmlns:a16="http://schemas.microsoft.com/office/drawing/2014/main" id="{57CF2724-70A3-4A97-B203-B67A4B212AD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59" name="AutoShape 10" descr="Wasps">
          <a:extLst>
            <a:ext uri="{FF2B5EF4-FFF2-40B4-BE49-F238E27FC236}">
              <a16:creationId xmlns:a16="http://schemas.microsoft.com/office/drawing/2014/main" id="{9B8FBA65-8F6B-464D-8402-62E0FFE9E8B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60" name="AutoShape 10" descr="Wasps">
          <a:extLst>
            <a:ext uri="{FF2B5EF4-FFF2-40B4-BE49-F238E27FC236}">
              <a16:creationId xmlns:a16="http://schemas.microsoft.com/office/drawing/2014/main" id="{F5A2D1E1-0C55-4A6E-952C-95DB8F38F75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21</xdr:row>
      <xdr:rowOff>77638</xdr:rowOff>
    </xdr:from>
    <xdr:ext cx="304800" cy="302284"/>
    <xdr:sp macro="" textlink="">
      <xdr:nvSpPr>
        <xdr:cNvPr id="161" name="AutoShape 10" descr="Wasps">
          <a:extLst>
            <a:ext uri="{FF2B5EF4-FFF2-40B4-BE49-F238E27FC236}">
              <a16:creationId xmlns:a16="http://schemas.microsoft.com/office/drawing/2014/main" id="{A1C0C0E7-5805-4FEE-A75C-AC25679AE50D}"/>
            </a:ext>
          </a:extLst>
        </xdr:cNvPr>
        <xdr:cNvSpPr>
          <a:spLocks noChangeAspect="1" noChangeArrowheads="1"/>
        </xdr:cNvSpPr>
      </xdr:nvSpPr>
      <xdr:spPr bwMode="auto">
        <a:xfrm>
          <a:off x="5719313" y="33039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62" name="AutoShape 10" descr="Wasps">
          <a:extLst>
            <a:ext uri="{FF2B5EF4-FFF2-40B4-BE49-F238E27FC236}">
              <a16:creationId xmlns:a16="http://schemas.microsoft.com/office/drawing/2014/main" id="{B2764137-C886-4D30-8573-1DEE87511A56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63" name="AutoShape 10" descr="Wasps">
          <a:extLst>
            <a:ext uri="{FF2B5EF4-FFF2-40B4-BE49-F238E27FC236}">
              <a16:creationId xmlns:a16="http://schemas.microsoft.com/office/drawing/2014/main" id="{C1C0E234-1D40-40B5-A2B8-46FC74AA277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164" name="AutoShape 10" descr="Wasps">
          <a:extLst>
            <a:ext uri="{FF2B5EF4-FFF2-40B4-BE49-F238E27FC236}">
              <a16:creationId xmlns:a16="http://schemas.microsoft.com/office/drawing/2014/main" id="{FDABB334-CD08-49AB-86DC-89DA795B0B8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165" name="AutoShape 10" descr="Wasps">
          <a:extLst>
            <a:ext uri="{FF2B5EF4-FFF2-40B4-BE49-F238E27FC236}">
              <a16:creationId xmlns:a16="http://schemas.microsoft.com/office/drawing/2014/main" id="{9DA931F4-3AA8-4575-AAD6-FF7D53988A7A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166" name="AutoShape 10" descr="Wasps">
          <a:extLst>
            <a:ext uri="{FF2B5EF4-FFF2-40B4-BE49-F238E27FC236}">
              <a16:creationId xmlns:a16="http://schemas.microsoft.com/office/drawing/2014/main" id="{C6DE514E-3E4E-48A5-BF56-2BBA9B1232A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167" name="AutoShape 10" descr="Wasps">
          <a:extLst>
            <a:ext uri="{FF2B5EF4-FFF2-40B4-BE49-F238E27FC236}">
              <a16:creationId xmlns:a16="http://schemas.microsoft.com/office/drawing/2014/main" id="{7D682255-7B82-4C05-8082-065F0FC6BC2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68" name="AutoShape 10" descr="Wasps">
          <a:extLst>
            <a:ext uri="{FF2B5EF4-FFF2-40B4-BE49-F238E27FC236}">
              <a16:creationId xmlns:a16="http://schemas.microsoft.com/office/drawing/2014/main" id="{485480F4-8361-4AC4-A1C8-11A8BDEE7B4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69" name="AutoShape 10" descr="Wasps">
          <a:extLst>
            <a:ext uri="{FF2B5EF4-FFF2-40B4-BE49-F238E27FC236}">
              <a16:creationId xmlns:a16="http://schemas.microsoft.com/office/drawing/2014/main" id="{FBF14EE6-F805-4841-86D3-5492C28D91C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70" name="AutoShape 10" descr="Wasps">
          <a:extLst>
            <a:ext uri="{FF2B5EF4-FFF2-40B4-BE49-F238E27FC236}">
              <a16:creationId xmlns:a16="http://schemas.microsoft.com/office/drawing/2014/main" id="{483CEA11-CE20-4626-B98B-9DBFED586E9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304800" cy="302284"/>
    <xdr:sp macro="" textlink="">
      <xdr:nvSpPr>
        <xdr:cNvPr id="171" name="AutoShape 10" descr="Wasps">
          <a:extLst>
            <a:ext uri="{FF2B5EF4-FFF2-40B4-BE49-F238E27FC236}">
              <a16:creationId xmlns:a16="http://schemas.microsoft.com/office/drawing/2014/main" id="{41DAC0D9-74AA-4C14-9C17-6B3686A1232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172" name="AutoShape 1" descr="Bristol Bears">
          <a:extLst>
            <a:ext uri="{FF2B5EF4-FFF2-40B4-BE49-F238E27FC236}">
              <a16:creationId xmlns:a16="http://schemas.microsoft.com/office/drawing/2014/main" id="{8B99532E-07CF-46C8-8F88-6AD770E3462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173" name="AutoShape 2" descr="Exeter Chiefs">
          <a:extLst>
            <a:ext uri="{FF2B5EF4-FFF2-40B4-BE49-F238E27FC236}">
              <a16:creationId xmlns:a16="http://schemas.microsoft.com/office/drawing/2014/main" id="{85638074-844F-492A-A0B2-1D4370933B7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174" name="AutoShape 3" descr="Harlequins">
          <a:extLst>
            <a:ext uri="{FF2B5EF4-FFF2-40B4-BE49-F238E27FC236}">
              <a16:creationId xmlns:a16="http://schemas.microsoft.com/office/drawing/2014/main" id="{45B8715F-111A-4EBC-96E0-90A427519DC6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DE4666F8-2C87-448F-BA7B-31D94EED6F3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BFF7DAD3-A247-4DC7-8F8D-C0941E7812A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E076A0C5-9D54-4F7F-B286-1816A85697F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8987D3CC-131D-4382-AD1D-8F549DC6D9A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A9EA04C3-34B1-4CC3-BC7F-CBADC523DE5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A780203A-4F4A-43C5-AAF9-CF11AB8F2D9A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43188DB3-F640-45A4-B19B-09781659E37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5926EB9E-BA81-4FE0-8953-A1BC14D3B18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A90B46DA-5F55-4627-A19D-95C4AD465B0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4CB2CB7C-CDDA-410E-93E0-0DC03959EBF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F3DE7EEC-8C5D-42B7-B0A0-051613FD5CC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AF78B92A-BF61-4C81-965A-4946097E084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41058F0C-6F16-4E2F-B6B2-6C20DA1B9FE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30F91A88-9223-4DDF-98D0-8623D9C544F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8946222E-7CC8-45A7-8835-B3679AF7DC8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90" name="AutoShape 10" descr="Wasps">
          <a:extLst>
            <a:ext uri="{FF2B5EF4-FFF2-40B4-BE49-F238E27FC236}">
              <a16:creationId xmlns:a16="http://schemas.microsoft.com/office/drawing/2014/main" id="{53C80F4B-50D4-4C83-8A9C-ABAAB0F3502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28</xdr:row>
      <xdr:rowOff>19050</xdr:rowOff>
    </xdr:from>
    <xdr:ext cx="298150" cy="302284"/>
    <xdr:sp macro="" textlink="">
      <xdr:nvSpPr>
        <xdr:cNvPr id="191" name="AutoShape 9" descr="Bath Rugby">
          <a:extLst>
            <a:ext uri="{FF2B5EF4-FFF2-40B4-BE49-F238E27FC236}">
              <a16:creationId xmlns:a16="http://schemas.microsoft.com/office/drawing/2014/main" id="{326C40C9-9E20-4323-A544-5BDECC993599}"/>
            </a:ext>
          </a:extLst>
        </xdr:cNvPr>
        <xdr:cNvSpPr>
          <a:spLocks noChangeAspect="1" noChangeArrowheads="1"/>
        </xdr:cNvSpPr>
      </xdr:nvSpPr>
      <xdr:spPr bwMode="auto">
        <a:xfrm>
          <a:off x="5656053" y="625594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192" name="AutoShape 1" descr="Bristol Bears">
          <a:extLst>
            <a:ext uri="{FF2B5EF4-FFF2-40B4-BE49-F238E27FC236}">
              <a16:creationId xmlns:a16="http://schemas.microsoft.com/office/drawing/2014/main" id="{9F9B9393-392C-450F-9010-3A06530B45B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193" name="AutoShape 2" descr="Exeter Chiefs">
          <a:extLst>
            <a:ext uri="{FF2B5EF4-FFF2-40B4-BE49-F238E27FC236}">
              <a16:creationId xmlns:a16="http://schemas.microsoft.com/office/drawing/2014/main" id="{CAC7A0F4-3017-4CCD-B100-5A716F0FD5D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194" name="AutoShape 3" descr="Harlequins">
          <a:extLst>
            <a:ext uri="{FF2B5EF4-FFF2-40B4-BE49-F238E27FC236}">
              <a16:creationId xmlns:a16="http://schemas.microsoft.com/office/drawing/2014/main" id="{FF268406-433C-436F-BC58-14DCB32642B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195" name="AutoShape 4" descr="Sale Sharks">
          <a:extLst>
            <a:ext uri="{FF2B5EF4-FFF2-40B4-BE49-F238E27FC236}">
              <a16:creationId xmlns:a16="http://schemas.microsoft.com/office/drawing/2014/main" id="{02E5CF77-2B17-45E9-9E76-7D4518CA3C2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96" name="AutoShape 5" descr="Northampton Saints">
          <a:extLst>
            <a:ext uri="{FF2B5EF4-FFF2-40B4-BE49-F238E27FC236}">
              <a16:creationId xmlns:a16="http://schemas.microsoft.com/office/drawing/2014/main" id="{31E2E36E-8EFD-447E-8183-30A8B5AD1BF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197" name="AutoShape 6" descr="London Irish">
          <a:extLst>
            <a:ext uri="{FF2B5EF4-FFF2-40B4-BE49-F238E27FC236}">
              <a16:creationId xmlns:a16="http://schemas.microsoft.com/office/drawing/2014/main" id="{2466C44E-308F-4CA0-82E2-62A379D3E76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26</xdr:row>
      <xdr:rowOff>0</xdr:rowOff>
    </xdr:from>
    <xdr:ext cx="298150" cy="302284"/>
    <xdr:sp macro="" textlink="">
      <xdr:nvSpPr>
        <xdr:cNvPr id="198" name="AutoShape 9" descr="Bath Rugby">
          <a:extLst>
            <a:ext uri="{FF2B5EF4-FFF2-40B4-BE49-F238E27FC236}">
              <a16:creationId xmlns:a16="http://schemas.microsoft.com/office/drawing/2014/main" id="{07589032-2833-4219-A8D9-C4CB6C6794F9}"/>
            </a:ext>
          </a:extLst>
        </xdr:cNvPr>
        <xdr:cNvSpPr>
          <a:spLocks noChangeAspect="1" noChangeArrowheads="1"/>
        </xdr:cNvSpPr>
      </xdr:nvSpPr>
      <xdr:spPr bwMode="auto">
        <a:xfrm>
          <a:off x="5656053" y="5522703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199" name="AutoShape 10" descr="Wasps">
          <a:extLst>
            <a:ext uri="{FF2B5EF4-FFF2-40B4-BE49-F238E27FC236}">
              <a16:creationId xmlns:a16="http://schemas.microsoft.com/office/drawing/2014/main" id="{531DAFDC-05AA-445E-91D2-078125F2BF4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200" name="AutoShape 10" descr="Wasps">
          <a:extLst>
            <a:ext uri="{FF2B5EF4-FFF2-40B4-BE49-F238E27FC236}">
              <a16:creationId xmlns:a16="http://schemas.microsoft.com/office/drawing/2014/main" id="{1DB35F54-C3AC-4C06-B037-D74F6336AA5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201" name="AutoShape 10" descr="Wasps">
          <a:extLst>
            <a:ext uri="{FF2B5EF4-FFF2-40B4-BE49-F238E27FC236}">
              <a16:creationId xmlns:a16="http://schemas.microsoft.com/office/drawing/2014/main" id="{D44B5741-05D6-405E-A3F0-A2B24F3E3D2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202" name="AutoShape 10" descr="Wasps">
          <a:extLst>
            <a:ext uri="{FF2B5EF4-FFF2-40B4-BE49-F238E27FC236}">
              <a16:creationId xmlns:a16="http://schemas.microsoft.com/office/drawing/2014/main" id="{C53F0483-EF88-49B4-AC98-4FC76322257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203" name="AutoShape 10" descr="Wasps">
          <a:extLst>
            <a:ext uri="{FF2B5EF4-FFF2-40B4-BE49-F238E27FC236}">
              <a16:creationId xmlns:a16="http://schemas.microsoft.com/office/drawing/2014/main" id="{E849114D-DCE1-4993-A55A-5CF35FDDC6C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31</xdr:row>
      <xdr:rowOff>77638</xdr:rowOff>
    </xdr:from>
    <xdr:ext cx="304800" cy="302284"/>
    <xdr:sp macro="" textlink="">
      <xdr:nvSpPr>
        <xdr:cNvPr id="204" name="AutoShape 10" descr="Wasps">
          <a:extLst>
            <a:ext uri="{FF2B5EF4-FFF2-40B4-BE49-F238E27FC236}">
              <a16:creationId xmlns:a16="http://schemas.microsoft.com/office/drawing/2014/main" id="{A5AC4ED4-C84D-4EE3-8F3B-3795145A7C7C}"/>
            </a:ext>
          </a:extLst>
        </xdr:cNvPr>
        <xdr:cNvSpPr>
          <a:spLocks noChangeAspect="1" noChangeArrowheads="1"/>
        </xdr:cNvSpPr>
      </xdr:nvSpPr>
      <xdr:spPr bwMode="auto">
        <a:xfrm>
          <a:off x="5719313" y="48221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205" name="AutoShape 10" descr="Wasps">
          <a:extLst>
            <a:ext uri="{FF2B5EF4-FFF2-40B4-BE49-F238E27FC236}">
              <a16:creationId xmlns:a16="http://schemas.microsoft.com/office/drawing/2014/main" id="{83C9CB38-866C-4E85-9960-1CCD91901C4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206" name="AutoShape 10" descr="Wasps">
          <a:extLst>
            <a:ext uri="{FF2B5EF4-FFF2-40B4-BE49-F238E27FC236}">
              <a16:creationId xmlns:a16="http://schemas.microsoft.com/office/drawing/2014/main" id="{50A64294-E89F-4B6A-A276-F10BE07A7E3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207" name="AutoShape 10" descr="Wasps">
          <a:extLst>
            <a:ext uri="{FF2B5EF4-FFF2-40B4-BE49-F238E27FC236}">
              <a16:creationId xmlns:a16="http://schemas.microsoft.com/office/drawing/2014/main" id="{EE6DC800-3BD7-404C-A13D-C78C8CF9AA30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208" name="AutoShape 10" descr="Wasps">
          <a:extLst>
            <a:ext uri="{FF2B5EF4-FFF2-40B4-BE49-F238E27FC236}">
              <a16:creationId xmlns:a16="http://schemas.microsoft.com/office/drawing/2014/main" id="{57C15F51-C18C-4420-8A49-C2B70EED12B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209" name="AutoShape 10" descr="Wasps">
          <a:extLst>
            <a:ext uri="{FF2B5EF4-FFF2-40B4-BE49-F238E27FC236}">
              <a16:creationId xmlns:a16="http://schemas.microsoft.com/office/drawing/2014/main" id="{600020F8-1C60-4E23-97EA-24A20374C662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210" name="AutoShape 10" descr="Wasps">
          <a:extLst>
            <a:ext uri="{FF2B5EF4-FFF2-40B4-BE49-F238E27FC236}">
              <a16:creationId xmlns:a16="http://schemas.microsoft.com/office/drawing/2014/main" id="{1AA770C6-8030-40A8-9834-04146CDCF17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211" name="AutoShape 10" descr="Wasps">
          <a:extLst>
            <a:ext uri="{FF2B5EF4-FFF2-40B4-BE49-F238E27FC236}">
              <a16:creationId xmlns:a16="http://schemas.microsoft.com/office/drawing/2014/main" id="{3B2104BE-801F-44BA-91F0-C68D1F96B90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212" name="AutoShape 10" descr="Wasps">
          <a:extLst>
            <a:ext uri="{FF2B5EF4-FFF2-40B4-BE49-F238E27FC236}">
              <a16:creationId xmlns:a16="http://schemas.microsoft.com/office/drawing/2014/main" id="{DE47D860-729E-41B8-ABD2-58E58FFEC3E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213" name="AutoShape 10" descr="Wasps">
          <a:extLst>
            <a:ext uri="{FF2B5EF4-FFF2-40B4-BE49-F238E27FC236}">
              <a16:creationId xmlns:a16="http://schemas.microsoft.com/office/drawing/2014/main" id="{809EF031-5E55-4D58-A3C6-F9566DE886A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214" name="AutoShape 10" descr="Wasps">
          <a:extLst>
            <a:ext uri="{FF2B5EF4-FFF2-40B4-BE49-F238E27FC236}">
              <a16:creationId xmlns:a16="http://schemas.microsoft.com/office/drawing/2014/main" id="{EEA1CDF4-ADCB-4A99-A209-CD467997739B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215" name="AutoShape 1" descr="Bristol Bears">
          <a:extLst>
            <a:ext uri="{FF2B5EF4-FFF2-40B4-BE49-F238E27FC236}">
              <a16:creationId xmlns:a16="http://schemas.microsoft.com/office/drawing/2014/main" id="{359D7D5C-902F-42EF-904D-554965F6A66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1258</xdr:colOff>
      <xdr:row>30</xdr:row>
      <xdr:rowOff>188523</xdr:rowOff>
    </xdr:from>
    <xdr:ext cx="302284" cy="304800"/>
    <xdr:sp macro="" textlink="">
      <xdr:nvSpPr>
        <xdr:cNvPr id="216" name="AutoShape 2" descr="Exeter Chiefs">
          <a:extLst>
            <a:ext uri="{FF2B5EF4-FFF2-40B4-BE49-F238E27FC236}">
              <a16:creationId xmlns:a16="http://schemas.microsoft.com/office/drawing/2014/main" id="{FD4FB6E3-5FA8-4871-BA05-BA1B5D3C195E}"/>
            </a:ext>
          </a:extLst>
        </xdr:cNvPr>
        <xdr:cNvSpPr>
          <a:spLocks noChangeAspect="1" noChangeArrowheads="1"/>
        </xdr:cNvSpPr>
      </xdr:nvSpPr>
      <xdr:spPr bwMode="auto">
        <a:xfrm rot="16200000">
          <a:off x="5658928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217" name="AutoShape 3" descr="Harlequins">
          <a:extLst>
            <a:ext uri="{FF2B5EF4-FFF2-40B4-BE49-F238E27FC236}">
              <a16:creationId xmlns:a16="http://schemas.microsoft.com/office/drawing/2014/main" id="{8324C06D-6093-4812-B129-50B81EEEC23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218" name="AutoShape 4" descr="Sale Sharks">
          <a:extLst>
            <a:ext uri="{FF2B5EF4-FFF2-40B4-BE49-F238E27FC236}">
              <a16:creationId xmlns:a16="http://schemas.microsoft.com/office/drawing/2014/main" id="{32122D15-24F5-47FA-8472-D4A2B9641EB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219" name="AutoShape 5" descr="Northampton Saints">
          <a:extLst>
            <a:ext uri="{FF2B5EF4-FFF2-40B4-BE49-F238E27FC236}">
              <a16:creationId xmlns:a16="http://schemas.microsoft.com/office/drawing/2014/main" id="{E049ADDC-4101-4320-B460-C8249522C433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36</xdr:row>
      <xdr:rowOff>0</xdr:rowOff>
    </xdr:from>
    <xdr:ext cx="304800" cy="302284"/>
    <xdr:sp macro="" textlink="">
      <xdr:nvSpPr>
        <xdr:cNvPr id="220" name="AutoShape 6" descr="London Irish">
          <a:extLst>
            <a:ext uri="{FF2B5EF4-FFF2-40B4-BE49-F238E27FC236}">
              <a16:creationId xmlns:a16="http://schemas.microsoft.com/office/drawing/2014/main" id="{6DB6C9E6-8D4F-4701-AA4F-A66882BA0EDE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02284"/>
    <xdr:sp macro="" textlink="">
      <xdr:nvSpPr>
        <xdr:cNvPr id="221" name="AutoShape 1" descr="Bristol Bears">
          <a:extLst>
            <a:ext uri="{FF2B5EF4-FFF2-40B4-BE49-F238E27FC236}">
              <a16:creationId xmlns:a16="http://schemas.microsoft.com/office/drawing/2014/main" id="{F1F989AC-EC74-439D-AB47-32D2697D2C39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4</xdr:row>
      <xdr:rowOff>120770</xdr:rowOff>
    </xdr:from>
    <xdr:ext cx="304800" cy="302284"/>
    <xdr:sp macro="" textlink="">
      <xdr:nvSpPr>
        <xdr:cNvPr id="222" name="AutoShape 2" descr="Exeter Chiefs">
          <a:extLst>
            <a:ext uri="{FF2B5EF4-FFF2-40B4-BE49-F238E27FC236}">
              <a16:creationId xmlns:a16="http://schemas.microsoft.com/office/drawing/2014/main" id="{288C9B1A-57F9-4AC1-B540-072737AE9917}"/>
            </a:ext>
          </a:extLst>
        </xdr:cNvPr>
        <xdr:cNvSpPr>
          <a:spLocks noChangeAspect="1" noChangeArrowheads="1"/>
        </xdr:cNvSpPr>
      </xdr:nvSpPr>
      <xdr:spPr bwMode="auto">
        <a:xfrm>
          <a:off x="10515600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2284"/>
    <xdr:sp macro="" textlink="">
      <xdr:nvSpPr>
        <xdr:cNvPr id="223" name="AutoShape 3" descr="Harlequins">
          <a:extLst>
            <a:ext uri="{FF2B5EF4-FFF2-40B4-BE49-F238E27FC236}">
              <a16:creationId xmlns:a16="http://schemas.microsoft.com/office/drawing/2014/main" id="{22287ABB-9116-4895-ACF1-DA7323B8F88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2284"/>
    <xdr:sp macro="" textlink="">
      <xdr:nvSpPr>
        <xdr:cNvPr id="224" name="AutoShape 4" descr="Sale Sharks">
          <a:extLst>
            <a:ext uri="{FF2B5EF4-FFF2-40B4-BE49-F238E27FC236}">
              <a16:creationId xmlns:a16="http://schemas.microsoft.com/office/drawing/2014/main" id="{2972FCB6-D65D-44A5-919C-90E8F357759E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304800" cy="302284"/>
    <xdr:sp macro="" textlink="">
      <xdr:nvSpPr>
        <xdr:cNvPr id="225" name="AutoShape 5" descr="Northampton Saints">
          <a:extLst>
            <a:ext uri="{FF2B5EF4-FFF2-40B4-BE49-F238E27FC236}">
              <a16:creationId xmlns:a16="http://schemas.microsoft.com/office/drawing/2014/main" id="{D9C92F5B-CFF2-4213-8D3B-E63B095CF69C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226" name="AutoShape 1" descr="Bristol Bears">
          <a:extLst>
            <a:ext uri="{FF2B5EF4-FFF2-40B4-BE49-F238E27FC236}">
              <a16:creationId xmlns:a16="http://schemas.microsoft.com/office/drawing/2014/main" id="{52B37FC6-1577-4D2F-AD89-A8218882D50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14</xdr:row>
      <xdr:rowOff>120770</xdr:rowOff>
    </xdr:from>
    <xdr:ext cx="304800" cy="302284"/>
    <xdr:sp macro="" textlink="">
      <xdr:nvSpPr>
        <xdr:cNvPr id="227" name="AutoShape 2" descr="Exeter Chiefs">
          <a:extLst>
            <a:ext uri="{FF2B5EF4-FFF2-40B4-BE49-F238E27FC236}">
              <a16:creationId xmlns:a16="http://schemas.microsoft.com/office/drawing/2014/main" id="{E177E0E4-17EE-4A04-9B29-CB801CA539A4}"/>
            </a:ext>
          </a:extLst>
        </xdr:cNvPr>
        <xdr:cNvSpPr>
          <a:spLocks noChangeAspect="1" noChangeArrowheads="1"/>
        </xdr:cNvSpPr>
      </xdr:nvSpPr>
      <xdr:spPr bwMode="auto">
        <a:xfrm>
          <a:off x="10515600" y="239814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228" name="AutoShape 3" descr="Harlequins">
          <a:extLst>
            <a:ext uri="{FF2B5EF4-FFF2-40B4-BE49-F238E27FC236}">
              <a16:creationId xmlns:a16="http://schemas.microsoft.com/office/drawing/2014/main" id="{563C868B-32AD-404F-A7A5-BAC8547A8DC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229" name="AutoShape 4" descr="Sale Sharks">
          <a:extLst>
            <a:ext uri="{FF2B5EF4-FFF2-40B4-BE49-F238E27FC236}">
              <a16:creationId xmlns:a16="http://schemas.microsoft.com/office/drawing/2014/main" id="{9A63388C-95D0-4FE0-A07C-7E0C72F77A7C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569344</xdr:colOff>
      <xdr:row>16</xdr:row>
      <xdr:rowOff>155275</xdr:rowOff>
    </xdr:from>
    <xdr:ext cx="304800" cy="302284"/>
    <xdr:sp macro="" textlink="">
      <xdr:nvSpPr>
        <xdr:cNvPr id="230" name="AutoShape 5" descr="Northampton Saints">
          <a:extLst>
            <a:ext uri="{FF2B5EF4-FFF2-40B4-BE49-F238E27FC236}">
              <a16:creationId xmlns:a16="http://schemas.microsoft.com/office/drawing/2014/main" id="{A18AB9B3-6F4D-44B8-AE6D-9FD9154CDEEA}"/>
            </a:ext>
          </a:extLst>
        </xdr:cNvPr>
        <xdr:cNvSpPr>
          <a:spLocks noChangeAspect="1" noChangeArrowheads="1"/>
        </xdr:cNvSpPr>
      </xdr:nvSpPr>
      <xdr:spPr bwMode="auto">
        <a:xfrm>
          <a:off x="12171872" y="28122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2284"/>
    <xdr:sp macro="" textlink="">
      <xdr:nvSpPr>
        <xdr:cNvPr id="231" name="AutoShape 1" descr="Bristol Bears">
          <a:extLst>
            <a:ext uri="{FF2B5EF4-FFF2-40B4-BE49-F238E27FC236}">
              <a16:creationId xmlns:a16="http://schemas.microsoft.com/office/drawing/2014/main" id="{AC820BEF-805E-4297-8738-B76A106D03D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1258</xdr:colOff>
      <xdr:row>22</xdr:row>
      <xdr:rowOff>188523</xdr:rowOff>
    </xdr:from>
    <xdr:ext cx="302284" cy="304800"/>
    <xdr:sp macro="" textlink="">
      <xdr:nvSpPr>
        <xdr:cNvPr id="232" name="AutoShape 3" descr="Harlequins">
          <a:extLst>
            <a:ext uri="{FF2B5EF4-FFF2-40B4-BE49-F238E27FC236}">
              <a16:creationId xmlns:a16="http://schemas.microsoft.com/office/drawing/2014/main" id="{240277DF-B6B5-45B3-9BCA-313E4743BF59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10481094" y="36058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14</xdr:row>
      <xdr:rowOff>0</xdr:rowOff>
    </xdr:from>
    <xdr:ext cx="304800" cy="310911"/>
    <xdr:sp macro="" textlink="">
      <xdr:nvSpPr>
        <xdr:cNvPr id="236" name="AutoShape 4" descr="Sale Sharks">
          <a:extLst>
            <a:ext uri="{FF2B5EF4-FFF2-40B4-BE49-F238E27FC236}">
              <a16:creationId xmlns:a16="http://schemas.microsoft.com/office/drawing/2014/main" id="{3194AE78-3B08-4DBD-8A11-2EFAA8F3389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2277374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5"/>
    <xdr:sp macro="" textlink="">
      <xdr:nvSpPr>
        <xdr:cNvPr id="237" name="AutoShape 1" descr="Bristol Bears">
          <a:extLst>
            <a:ext uri="{FF2B5EF4-FFF2-40B4-BE49-F238E27FC236}">
              <a16:creationId xmlns:a16="http://schemas.microsoft.com/office/drawing/2014/main" id="{3492A630-1030-4EAA-8495-BF14961D293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036498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21</xdr:row>
      <xdr:rowOff>120770</xdr:rowOff>
    </xdr:from>
    <xdr:ext cx="304800" cy="302284"/>
    <xdr:sp macro="" textlink="">
      <xdr:nvSpPr>
        <xdr:cNvPr id="238" name="AutoShape 2" descr="Exeter Chiefs">
          <a:extLst>
            <a:ext uri="{FF2B5EF4-FFF2-40B4-BE49-F238E27FC236}">
              <a16:creationId xmlns:a16="http://schemas.microsoft.com/office/drawing/2014/main" id="{1DDCF49C-28C2-40BC-AAB6-515EE7151E0E}"/>
            </a:ext>
          </a:extLst>
        </xdr:cNvPr>
        <xdr:cNvSpPr>
          <a:spLocks noChangeAspect="1" noChangeArrowheads="1"/>
        </xdr:cNvSpPr>
      </xdr:nvSpPr>
      <xdr:spPr bwMode="auto">
        <a:xfrm>
          <a:off x="5693434" y="33470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239" name="AutoShape 3" descr="Harlequins">
          <a:extLst>
            <a:ext uri="{FF2B5EF4-FFF2-40B4-BE49-F238E27FC236}">
              <a16:creationId xmlns:a16="http://schemas.microsoft.com/office/drawing/2014/main" id="{D68B5BA7-4312-4185-ACA7-C5A1EA4E35B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10911"/>
    <xdr:sp macro="" textlink="">
      <xdr:nvSpPr>
        <xdr:cNvPr id="240" name="AutoShape 4" descr="Sale Sharks">
          <a:extLst>
            <a:ext uri="{FF2B5EF4-FFF2-40B4-BE49-F238E27FC236}">
              <a16:creationId xmlns:a16="http://schemas.microsoft.com/office/drawing/2014/main" id="{68EBA9C7-8472-459D-9F9C-3E01A085C8D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60584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5"/>
    <xdr:sp macro="" textlink="">
      <xdr:nvSpPr>
        <xdr:cNvPr id="241" name="AutoShape 1" descr="Bristol Bears">
          <a:extLst>
            <a:ext uri="{FF2B5EF4-FFF2-40B4-BE49-F238E27FC236}">
              <a16:creationId xmlns:a16="http://schemas.microsoft.com/office/drawing/2014/main" id="{0E6BAB58-6E94-4301-8F31-BC53CD70D5C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554747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31</xdr:row>
      <xdr:rowOff>120770</xdr:rowOff>
    </xdr:from>
    <xdr:ext cx="304800" cy="302284"/>
    <xdr:sp macro="" textlink="">
      <xdr:nvSpPr>
        <xdr:cNvPr id="242" name="AutoShape 2" descr="Exeter Chiefs">
          <a:extLst>
            <a:ext uri="{FF2B5EF4-FFF2-40B4-BE49-F238E27FC236}">
              <a16:creationId xmlns:a16="http://schemas.microsoft.com/office/drawing/2014/main" id="{47EB5526-52F3-4199-9ECB-8A1542D3C875}"/>
            </a:ext>
          </a:extLst>
        </xdr:cNvPr>
        <xdr:cNvSpPr>
          <a:spLocks noChangeAspect="1" noChangeArrowheads="1"/>
        </xdr:cNvSpPr>
      </xdr:nvSpPr>
      <xdr:spPr bwMode="auto">
        <a:xfrm>
          <a:off x="5693434" y="48652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243" name="AutoShape 3" descr="Harlequins">
          <a:extLst>
            <a:ext uri="{FF2B5EF4-FFF2-40B4-BE49-F238E27FC236}">
              <a16:creationId xmlns:a16="http://schemas.microsoft.com/office/drawing/2014/main" id="{D9069DAC-B53D-4E95-BBD8-EB300204623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10911"/>
    <xdr:sp macro="" textlink="">
      <xdr:nvSpPr>
        <xdr:cNvPr id="244" name="AutoShape 4" descr="Sale Sharks">
          <a:extLst>
            <a:ext uri="{FF2B5EF4-FFF2-40B4-BE49-F238E27FC236}">
              <a16:creationId xmlns:a16="http://schemas.microsoft.com/office/drawing/2014/main" id="{6E206D7D-D79F-4383-9F77-FA87F79376A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512409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</xdr:row>
      <xdr:rowOff>0</xdr:rowOff>
    </xdr:from>
    <xdr:ext cx="304800" cy="302285"/>
    <xdr:sp macro="" textlink="">
      <xdr:nvSpPr>
        <xdr:cNvPr id="245" name="AutoShape 1" descr="Bristol Bears">
          <a:extLst>
            <a:ext uri="{FF2B5EF4-FFF2-40B4-BE49-F238E27FC236}">
              <a16:creationId xmlns:a16="http://schemas.microsoft.com/office/drawing/2014/main" id="{FDD1BCF8-ED15-4F86-B02F-2A88937E5A6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569343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4</xdr:row>
      <xdr:rowOff>120770</xdr:rowOff>
    </xdr:from>
    <xdr:ext cx="304800" cy="302284"/>
    <xdr:sp macro="" textlink="">
      <xdr:nvSpPr>
        <xdr:cNvPr id="246" name="AutoShape 2" descr="Exeter Chiefs">
          <a:extLst>
            <a:ext uri="{FF2B5EF4-FFF2-40B4-BE49-F238E27FC236}">
              <a16:creationId xmlns:a16="http://schemas.microsoft.com/office/drawing/2014/main" id="{CC0BEBD6-3854-48BB-8212-9F87AE71F1D1}"/>
            </a:ext>
          </a:extLst>
        </xdr:cNvPr>
        <xdr:cNvSpPr>
          <a:spLocks noChangeAspect="1" noChangeArrowheads="1"/>
        </xdr:cNvSpPr>
      </xdr:nvSpPr>
      <xdr:spPr bwMode="auto">
        <a:xfrm>
          <a:off x="10515600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2284"/>
    <xdr:sp macro="" textlink="">
      <xdr:nvSpPr>
        <xdr:cNvPr id="247" name="AutoShape 3" descr="Harlequins">
          <a:extLst>
            <a:ext uri="{FF2B5EF4-FFF2-40B4-BE49-F238E27FC236}">
              <a16:creationId xmlns:a16="http://schemas.microsoft.com/office/drawing/2014/main" id="{C27ABDEB-BD3C-4FC5-BAB4-D17C54DBE14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10911"/>
    <xdr:sp macro="" textlink="">
      <xdr:nvSpPr>
        <xdr:cNvPr id="248" name="AutoShape 4" descr="Sale Sharks">
          <a:extLst>
            <a:ext uri="{FF2B5EF4-FFF2-40B4-BE49-F238E27FC236}">
              <a16:creationId xmlns:a16="http://schemas.microsoft.com/office/drawing/2014/main" id="{AF8F50D7-B86C-410F-8A30-578E1DF47BD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5"/>
    <xdr:sp macro="" textlink="">
      <xdr:nvSpPr>
        <xdr:cNvPr id="249" name="AutoShape 1" descr="Bristol Bears">
          <a:extLst>
            <a:ext uri="{FF2B5EF4-FFF2-40B4-BE49-F238E27FC236}">
              <a16:creationId xmlns:a16="http://schemas.microsoft.com/office/drawing/2014/main" id="{1FCC7FC0-D110-4E46-9C3D-95C37B91D82A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08759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14</xdr:row>
      <xdr:rowOff>120770</xdr:rowOff>
    </xdr:from>
    <xdr:ext cx="304800" cy="302284"/>
    <xdr:sp macro="" textlink="">
      <xdr:nvSpPr>
        <xdr:cNvPr id="250" name="AutoShape 2" descr="Exeter Chiefs">
          <a:extLst>
            <a:ext uri="{FF2B5EF4-FFF2-40B4-BE49-F238E27FC236}">
              <a16:creationId xmlns:a16="http://schemas.microsoft.com/office/drawing/2014/main" id="{ADE002FE-5D52-454A-94EA-6BC6D6C50D2D}"/>
            </a:ext>
          </a:extLst>
        </xdr:cNvPr>
        <xdr:cNvSpPr>
          <a:spLocks noChangeAspect="1" noChangeArrowheads="1"/>
        </xdr:cNvSpPr>
      </xdr:nvSpPr>
      <xdr:spPr bwMode="auto">
        <a:xfrm>
          <a:off x="10515600" y="239814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251" name="AutoShape 3" descr="Harlequins">
          <a:extLst>
            <a:ext uri="{FF2B5EF4-FFF2-40B4-BE49-F238E27FC236}">
              <a16:creationId xmlns:a16="http://schemas.microsoft.com/office/drawing/2014/main" id="{E46F63D1-CD6C-4C02-8254-F458A460DACB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10911"/>
    <xdr:sp macro="" textlink="">
      <xdr:nvSpPr>
        <xdr:cNvPr id="252" name="AutoShape 4" descr="Sale Sharks">
          <a:extLst>
            <a:ext uri="{FF2B5EF4-FFF2-40B4-BE49-F238E27FC236}">
              <a16:creationId xmlns:a16="http://schemas.microsoft.com/office/drawing/2014/main" id="{BE79741E-1998-4CA3-AB9C-09F9A562C797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265693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232913</xdr:colOff>
      <xdr:row>40</xdr:row>
      <xdr:rowOff>129397</xdr:rowOff>
    </xdr:from>
    <xdr:ext cx="304800" cy="302284"/>
    <xdr:sp macro="" textlink="">
      <xdr:nvSpPr>
        <xdr:cNvPr id="255" name="AutoShape 3" descr="Harlequins">
          <a:extLst>
            <a:ext uri="{FF2B5EF4-FFF2-40B4-BE49-F238E27FC236}">
              <a16:creationId xmlns:a16="http://schemas.microsoft.com/office/drawing/2014/main" id="{4184745C-0223-44BD-B403-2A510F586B79}"/>
            </a:ext>
          </a:extLst>
        </xdr:cNvPr>
        <xdr:cNvSpPr>
          <a:spLocks noChangeAspect="1" noChangeArrowheads="1"/>
        </xdr:cNvSpPr>
      </xdr:nvSpPr>
      <xdr:spPr bwMode="auto">
        <a:xfrm>
          <a:off x="724619" y="753086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10911"/>
    <xdr:sp macro="" textlink="">
      <xdr:nvSpPr>
        <xdr:cNvPr id="256" name="AutoShape 4" descr="Sale Sharks">
          <a:extLst>
            <a:ext uri="{FF2B5EF4-FFF2-40B4-BE49-F238E27FC236}">
              <a16:creationId xmlns:a16="http://schemas.microsoft.com/office/drawing/2014/main" id="{D25E0C8B-8589-4910-A716-0C48394753F6}"/>
            </a:ext>
          </a:extLst>
        </xdr:cNvPr>
        <xdr:cNvSpPr>
          <a:spLocks noChangeAspect="1" noChangeArrowheads="1"/>
        </xdr:cNvSpPr>
      </xdr:nvSpPr>
      <xdr:spPr bwMode="auto">
        <a:xfrm>
          <a:off x="10481094" y="3795623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27</xdr:row>
      <xdr:rowOff>8626</xdr:rowOff>
    </xdr:from>
    <xdr:to>
      <xdr:col>2</xdr:col>
      <xdr:colOff>617615</xdr:colOff>
      <xdr:row>34</xdr:row>
      <xdr:rowOff>111531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01D0B25-4772-468E-B94C-E19ED081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14</xdr:row>
      <xdr:rowOff>60385</xdr:rowOff>
    </xdr:from>
    <xdr:ext cx="304800" cy="310911"/>
    <xdr:sp macro="" textlink="">
      <xdr:nvSpPr>
        <xdr:cNvPr id="258" name="AutoShape 1" descr="Bristol Bears">
          <a:extLst>
            <a:ext uri="{FF2B5EF4-FFF2-40B4-BE49-F238E27FC236}">
              <a16:creationId xmlns:a16="http://schemas.microsoft.com/office/drawing/2014/main" id="{FC044D1B-6E08-4EDA-8F98-6636897EDC7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100929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59" name="AutoShape 10" descr="Wasps">
          <a:extLst>
            <a:ext uri="{FF2B5EF4-FFF2-40B4-BE49-F238E27FC236}">
              <a16:creationId xmlns:a16="http://schemas.microsoft.com/office/drawing/2014/main" id="{5A70A909-5CDF-44C6-AF98-7E37C8C8CF4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60" name="AutoShape 10" descr="Wasps">
          <a:extLst>
            <a:ext uri="{FF2B5EF4-FFF2-40B4-BE49-F238E27FC236}">
              <a16:creationId xmlns:a16="http://schemas.microsoft.com/office/drawing/2014/main" id="{10759266-0475-402E-92C2-B1601174336B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304800" cy="302284"/>
    <xdr:sp macro="" textlink="">
      <xdr:nvSpPr>
        <xdr:cNvPr id="261" name="AutoShape 10" descr="Wasps">
          <a:extLst>
            <a:ext uri="{FF2B5EF4-FFF2-40B4-BE49-F238E27FC236}">
              <a16:creationId xmlns:a16="http://schemas.microsoft.com/office/drawing/2014/main" id="{059FF888-A3D4-4723-B040-01759C334604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304800" cy="302284"/>
    <xdr:sp macro="" textlink="">
      <xdr:nvSpPr>
        <xdr:cNvPr id="262" name="AutoShape 10" descr="Wasps">
          <a:extLst>
            <a:ext uri="{FF2B5EF4-FFF2-40B4-BE49-F238E27FC236}">
              <a16:creationId xmlns:a16="http://schemas.microsoft.com/office/drawing/2014/main" id="{015F751C-5915-4939-A60F-9F062ED9ACA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25</xdr:row>
      <xdr:rowOff>0</xdr:rowOff>
    </xdr:from>
    <xdr:ext cx="304800" cy="302284"/>
    <xdr:sp macro="" textlink="">
      <xdr:nvSpPr>
        <xdr:cNvPr id="263" name="AutoShape 10" descr="Wasps">
          <a:extLst>
            <a:ext uri="{FF2B5EF4-FFF2-40B4-BE49-F238E27FC236}">
              <a16:creationId xmlns:a16="http://schemas.microsoft.com/office/drawing/2014/main" id="{DFA38CE4-EBE3-42FA-A8BC-689AC492ADAD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25</xdr:row>
      <xdr:rowOff>0</xdr:rowOff>
    </xdr:from>
    <xdr:ext cx="304800" cy="302284"/>
    <xdr:sp macro="" textlink="">
      <xdr:nvSpPr>
        <xdr:cNvPr id="264" name="AutoShape 10" descr="Wasps">
          <a:extLst>
            <a:ext uri="{FF2B5EF4-FFF2-40B4-BE49-F238E27FC236}">
              <a16:creationId xmlns:a16="http://schemas.microsoft.com/office/drawing/2014/main" id="{D37852E4-02C7-465B-9C23-0C0AEB7BCB5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25</xdr:row>
      <xdr:rowOff>19050</xdr:rowOff>
    </xdr:from>
    <xdr:ext cx="298150" cy="302284"/>
    <xdr:sp macro="" textlink="">
      <xdr:nvSpPr>
        <xdr:cNvPr id="265" name="AutoShape 9" descr="Bath Rugby">
          <a:extLst>
            <a:ext uri="{FF2B5EF4-FFF2-40B4-BE49-F238E27FC236}">
              <a16:creationId xmlns:a16="http://schemas.microsoft.com/office/drawing/2014/main" id="{B5057DBC-FC6A-4380-9F33-5C0487933137}"/>
            </a:ext>
          </a:extLst>
        </xdr:cNvPr>
        <xdr:cNvSpPr>
          <a:spLocks noChangeAspect="1" noChangeArrowheads="1"/>
        </xdr:cNvSpPr>
      </xdr:nvSpPr>
      <xdr:spPr bwMode="auto">
        <a:xfrm>
          <a:off x="5828581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66" name="AutoShape 2" descr="Exeter Chiefs">
          <a:extLst>
            <a:ext uri="{FF2B5EF4-FFF2-40B4-BE49-F238E27FC236}">
              <a16:creationId xmlns:a16="http://schemas.microsoft.com/office/drawing/2014/main" id="{CC3ADB35-4B8D-40B7-B54B-28390D8B4F9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304800" cy="302284"/>
    <xdr:sp macro="" textlink="">
      <xdr:nvSpPr>
        <xdr:cNvPr id="267" name="AutoShape 3" descr="Harlequins">
          <a:extLst>
            <a:ext uri="{FF2B5EF4-FFF2-40B4-BE49-F238E27FC236}">
              <a16:creationId xmlns:a16="http://schemas.microsoft.com/office/drawing/2014/main" id="{198C685A-9C58-43C7-A684-DBAC242E143B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25</xdr:row>
      <xdr:rowOff>0</xdr:rowOff>
    </xdr:from>
    <xdr:ext cx="304800" cy="302284"/>
    <xdr:sp macro="" textlink="">
      <xdr:nvSpPr>
        <xdr:cNvPr id="268" name="AutoShape 4" descr="Sale Sharks">
          <a:extLst>
            <a:ext uri="{FF2B5EF4-FFF2-40B4-BE49-F238E27FC236}">
              <a16:creationId xmlns:a16="http://schemas.microsoft.com/office/drawing/2014/main" id="{3C0435D1-3712-4BBD-AF4C-5A5D3F17636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23</xdr:row>
      <xdr:rowOff>77638</xdr:rowOff>
    </xdr:from>
    <xdr:ext cx="304800" cy="302284"/>
    <xdr:sp macro="" textlink="">
      <xdr:nvSpPr>
        <xdr:cNvPr id="269" name="AutoShape 10" descr="Wasps">
          <a:extLst>
            <a:ext uri="{FF2B5EF4-FFF2-40B4-BE49-F238E27FC236}">
              <a16:creationId xmlns:a16="http://schemas.microsoft.com/office/drawing/2014/main" id="{7B5C4702-A218-4FBB-BE29-442344D0F7AA}"/>
            </a:ext>
          </a:extLst>
        </xdr:cNvPr>
        <xdr:cNvSpPr>
          <a:spLocks noChangeAspect="1" noChangeArrowheads="1"/>
        </xdr:cNvSpPr>
      </xdr:nvSpPr>
      <xdr:spPr bwMode="auto">
        <a:xfrm>
          <a:off x="5900468" y="40630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70" name="AutoShape 10" descr="Wasps">
          <a:extLst>
            <a:ext uri="{FF2B5EF4-FFF2-40B4-BE49-F238E27FC236}">
              <a16:creationId xmlns:a16="http://schemas.microsoft.com/office/drawing/2014/main" id="{ACFE794D-9507-4DD6-BE2A-AB3B012C7E3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71" name="AutoShape 10" descr="Wasps">
          <a:extLst>
            <a:ext uri="{FF2B5EF4-FFF2-40B4-BE49-F238E27FC236}">
              <a16:creationId xmlns:a16="http://schemas.microsoft.com/office/drawing/2014/main" id="{8F16DCDA-1320-41A2-A734-61E64ADE680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304800" cy="302284"/>
    <xdr:sp macro="" textlink="">
      <xdr:nvSpPr>
        <xdr:cNvPr id="272" name="AutoShape 10" descr="Wasps">
          <a:extLst>
            <a:ext uri="{FF2B5EF4-FFF2-40B4-BE49-F238E27FC236}">
              <a16:creationId xmlns:a16="http://schemas.microsoft.com/office/drawing/2014/main" id="{98E9B42C-FC0E-4CBF-8016-89E80A35EBA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304800" cy="302284"/>
    <xdr:sp macro="" textlink="">
      <xdr:nvSpPr>
        <xdr:cNvPr id="273" name="AutoShape 10" descr="Wasps">
          <a:extLst>
            <a:ext uri="{FF2B5EF4-FFF2-40B4-BE49-F238E27FC236}">
              <a16:creationId xmlns:a16="http://schemas.microsoft.com/office/drawing/2014/main" id="{F35FB31D-CFDF-4941-9A54-98820E3767C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25</xdr:row>
      <xdr:rowOff>0</xdr:rowOff>
    </xdr:from>
    <xdr:ext cx="304800" cy="302284"/>
    <xdr:sp macro="" textlink="">
      <xdr:nvSpPr>
        <xdr:cNvPr id="274" name="AutoShape 10" descr="Wasps">
          <a:extLst>
            <a:ext uri="{FF2B5EF4-FFF2-40B4-BE49-F238E27FC236}">
              <a16:creationId xmlns:a16="http://schemas.microsoft.com/office/drawing/2014/main" id="{BC6D00D3-D0C2-42F2-8BE0-F5955352D7F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25</xdr:row>
      <xdr:rowOff>0</xdr:rowOff>
    </xdr:from>
    <xdr:ext cx="304800" cy="302284"/>
    <xdr:sp macro="" textlink="">
      <xdr:nvSpPr>
        <xdr:cNvPr id="275" name="AutoShape 10" descr="Wasps">
          <a:extLst>
            <a:ext uri="{FF2B5EF4-FFF2-40B4-BE49-F238E27FC236}">
              <a16:creationId xmlns:a16="http://schemas.microsoft.com/office/drawing/2014/main" id="{0B004310-D5D2-44C0-921A-38DE9FBDF06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76" name="AutoShape 2" descr="Exeter Chiefs">
          <a:extLst>
            <a:ext uri="{FF2B5EF4-FFF2-40B4-BE49-F238E27FC236}">
              <a16:creationId xmlns:a16="http://schemas.microsoft.com/office/drawing/2014/main" id="{2688722E-3F51-4831-A135-2A4F13FD78D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304800" cy="302284"/>
    <xdr:sp macro="" textlink="">
      <xdr:nvSpPr>
        <xdr:cNvPr id="277" name="AutoShape 3" descr="Harlequins">
          <a:extLst>
            <a:ext uri="{FF2B5EF4-FFF2-40B4-BE49-F238E27FC236}">
              <a16:creationId xmlns:a16="http://schemas.microsoft.com/office/drawing/2014/main" id="{3999349F-B277-42CE-9016-4B66D02DD781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23</xdr:row>
      <xdr:rowOff>120770</xdr:rowOff>
    </xdr:from>
    <xdr:ext cx="304800" cy="302284"/>
    <xdr:sp macro="" textlink="">
      <xdr:nvSpPr>
        <xdr:cNvPr id="278" name="AutoShape 2" descr="Exeter Chiefs">
          <a:extLst>
            <a:ext uri="{FF2B5EF4-FFF2-40B4-BE49-F238E27FC236}">
              <a16:creationId xmlns:a16="http://schemas.microsoft.com/office/drawing/2014/main" id="{F6061332-C0EB-40CA-8A38-B29C6BC0DD33}"/>
            </a:ext>
          </a:extLst>
        </xdr:cNvPr>
        <xdr:cNvSpPr>
          <a:spLocks noChangeAspect="1" noChangeArrowheads="1"/>
        </xdr:cNvSpPr>
      </xdr:nvSpPr>
      <xdr:spPr bwMode="auto">
        <a:xfrm>
          <a:off x="5874589" y="41061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24</xdr:row>
      <xdr:rowOff>0</xdr:rowOff>
    </xdr:from>
    <xdr:ext cx="304800" cy="302284"/>
    <xdr:sp macro="" textlink="">
      <xdr:nvSpPr>
        <xdr:cNvPr id="279" name="AutoShape 3" descr="Harlequins">
          <a:extLst>
            <a:ext uri="{FF2B5EF4-FFF2-40B4-BE49-F238E27FC236}">
              <a16:creationId xmlns:a16="http://schemas.microsoft.com/office/drawing/2014/main" id="{3FF809D0-AFF1-4BB6-A2BE-068394D5AC5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25</xdr:row>
      <xdr:rowOff>0</xdr:rowOff>
    </xdr:from>
    <xdr:ext cx="304800" cy="310911"/>
    <xdr:sp macro="" textlink="">
      <xdr:nvSpPr>
        <xdr:cNvPr id="280" name="AutoShape 4" descr="Sale Sharks">
          <a:extLst>
            <a:ext uri="{FF2B5EF4-FFF2-40B4-BE49-F238E27FC236}">
              <a16:creationId xmlns:a16="http://schemas.microsoft.com/office/drawing/2014/main" id="{15380336-4873-49ED-814A-3AC20D9B317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19</xdr:row>
      <xdr:rowOff>19050</xdr:rowOff>
    </xdr:from>
    <xdr:ext cx="298150" cy="319535"/>
    <xdr:sp macro="" textlink="">
      <xdr:nvSpPr>
        <xdr:cNvPr id="281" name="AutoShape 9" descr="Bath Rugby">
          <a:extLst>
            <a:ext uri="{FF2B5EF4-FFF2-40B4-BE49-F238E27FC236}">
              <a16:creationId xmlns:a16="http://schemas.microsoft.com/office/drawing/2014/main" id="{4722E0F3-0761-4E8A-A000-1B6E4D5EB7DF}"/>
            </a:ext>
          </a:extLst>
        </xdr:cNvPr>
        <xdr:cNvSpPr>
          <a:spLocks noChangeAspect="1" noChangeArrowheads="1"/>
        </xdr:cNvSpPr>
      </xdr:nvSpPr>
      <xdr:spPr bwMode="auto">
        <a:xfrm>
          <a:off x="5828581" y="1916861"/>
          <a:ext cx="298150" cy="31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282" name="AutoShape 10" descr="Wasps">
          <a:extLst>
            <a:ext uri="{FF2B5EF4-FFF2-40B4-BE49-F238E27FC236}">
              <a16:creationId xmlns:a16="http://schemas.microsoft.com/office/drawing/2014/main" id="{DDFDFC14-250B-4378-BF1D-457F0185E304}"/>
            </a:ext>
          </a:extLst>
        </xdr:cNvPr>
        <xdr:cNvSpPr>
          <a:spLocks noChangeAspect="1" noChangeArrowheads="1"/>
        </xdr:cNvSpPr>
      </xdr:nvSpPr>
      <xdr:spPr bwMode="auto">
        <a:xfrm>
          <a:off x="5840083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19</xdr:row>
      <xdr:rowOff>0</xdr:rowOff>
    </xdr:from>
    <xdr:ext cx="304800" cy="302284"/>
    <xdr:sp macro="" textlink="">
      <xdr:nvSpPr>
        <xdr:cNvPr id="283" name="AutoShape 10" descr="Wasps">
          <a:extLst>
            <a:ext uri="{FF2B5EF4-FFF2-40B4-BE49-F238E27FC236}">
              <a16:creationId xmlns:a16="http://schemas.microsoft.com/office/drawing/2014/main" id="{D1FF0D84-E5CC-4784-99A5-0ADBD7B98D1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284" name="AutoShape 10" descr="Wasps">
          <a:extLst>
            <a:ext uri="{FF2B5EF4-FFF2-40B4-BE49-F238E27FC236}">
              <a16:creationId xmlns:a16="http://schemas.microsoft.com/office/drawing/2014/main" id="{6DF75C27-8BFA-43FF-9700-5DFA6581DA6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0</xdr:rowOff>
    </xdr:from>
    <xdr:ext cx="304800" cy="302284"/>
    <xdr:sp macro="" textlink="">
      <xdr:nvSpPr>
        <xdr:cNvPr id="285" name="AutoShape 10" descr="Wasps">
          <a:extLst>
            <a:ext uri="{FF2B5EF4-FFF2-40B4-BE49-F238E27FC236}">
              <a16:creationId xmlns:a16="http://schemas.microsoft.com/office/drawing/2014/main" id="{C8BC7ABC-F2EB-4F1F-9465-F5EE420137A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0875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20</xdr:row>
      <xdr:rowOff>25879</xdr:rowOff>
    </xdr:from>
    <xdr:ext cx="304800" cy="302284"/>
    <xdr:sp macro="" textlink="">
      <xdr:nvSpPr>
        <xdr:cNvPr id="286" name="AutoShape 10" descr="Wasps">
          <a:extLst>
            <a:ext uri="{FF2B5EF4-FFF2-40B4-BE49-F238E27FC236}">
              <a16:creationId xmlns:a16="http://schemas.microsoft.com/office/drawing/2014/main" id="{F8E6AA3F-09DD-464E-BC3C-41A8EAB20F7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8215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21</xdr:row>
      <xdr:rowOff>77638</xdr:rowOff>
    </xdr:from>
    <xdr:ext cx="304800" cy="302284"/>
    <xdr:sp macro="" textlink="">
      <xdr:nvSpPr>
        <xdr:cNvPr id="287" name="AutoShape 10" descr="Wasps">
          <a:extLst>
            <a:ext uri="{FF2B5EF4-FFF2-40B4-BE49-F238E27FC236}">
              <a16:creationId xmlns:a16="http://schemas.microsoft.com/office/drawing/2014/main" id="{F55058A9-0059-4E46-A16F-153DE069AFD0}"/>
            </a:ext>
          </a:extLst>
        </xdr:cNvPr>
        <xdr:cNvSpPr>
          <a:spLocks noChangeAspect="1" noChangeArrowheads="1"/>
        </xdr:cNvSpPr>
      </xdr:nvSpPr>
      <xdr:spPr bwMode="auto">
        <a:xfrm>
          <a:off x="5900468" y="235501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88" name="AutoShape 10" descr="Wasps">
          <a:extLst>
            <a:ext uri="{FF2B5EF4-FFF2-40B4-BE49-F238E27FC236}">
              <a16:creationId xmlns:a16="http://schemas.microsoft.com/office/drawing/2014/main" id="{E3F563C5-F3FC-402D-9059-3D3F6AAFA18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89" name="AutoShape 10" descr="Wasps">
          <a:extLst>
            <a:ext uri="{FF2B5EF4-FFF2-40B4-BE49-F238E27FC236}">
              <a16:creationId xmlns:a16="http://schemas.microsoft.com/office/drawing/2014/main" id="{D8E503C4-D341-452B-A5A4-692304D27C5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290" name="AutoShape 10" descr="Wasps">
          <a:extLst>
            <a:ext uri="{FF2B5EF4-FFF2-40B4-BE49-F238E27FC236}">
              <a16:creationId xmlns:a16="http://schemas.microsoft.com/office/drawing/2014/main" id="{EC2DE022-53C7-4325-8746-63DF3A31E83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22</xdr:row>
      <xdr:rowOff>0</xdr:rowOff>
    </xdr:from>
    <xdr:ext cx="304800" cy="302284"/>
    <xdr:sp macro="" textlink="">
      <xdr:nvSpPr>
        <xdr:cNvPr id="291" name="AutoShape 10" descr="Wasps">
          <a:extLst>
            <a:ext uri="{FF2B5EF4-FFF2-40B4-BE49-F238E27FC236}">
              <a16:creationId xmlns:a16="http://schemas.microsoft.com/office/drawing/2014/main" id="{753A36F3-D619-4E5B-B71C-999D52F96D6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467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92" name="AutoShape 10" descr="Wasps">
          <a:extLst>
            <a:ext uri="{FF2B5EF4-FFF2-40B4-BE49-F238E27FC236}">
              <a16:creationId xmlns:a16="http://schemas.microsoft.com/office/drawing/2014/main" id="{AAC4CBDC-6B03-4B3A-A195-B9BF773A27F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93" name="AutoShape 10" descr="Wasps">
          <a:extLst>
            <a:ext uri="{FF2B5EF4-FFF2-40B4-BE49-F238E27FC236}">
              <a16:creationId xmlns:a16="http://schemas.microsoft.com/office/drawing/2014/main" id="{A067015E-8F01-447A-8A96-032A85B453BD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21</xdr:row>
      <xdr:rowOff>0</xdr:rowOff>
    </xdr:from>
    <xdr:ext cx="304800" cy="302284"/>
    <xdr:sp macro="" textlink="">
      <xdr:nvSpPr>
        <xdr:cNvPr id="294" name="AutoShape 2" descr="Exeter Chiefs">
          <a:extLst>
            <a:ext uri="{FF2B5EF4-FFF2-40B4-BE49-F238E27FC236}">
              <a16:creationId xmlns:a16="http://schemas.microsoft.com/office/drawing/2014/main" id="{0B012312-AAA2-41CF-B5C5-557F0F73133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2773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02284"/>
    <xdr:sp macro="" textlink="">
      <xdr:nvSpPr>
        <xdr:cNvPr id="295" name="AutoShape 4" descr="Sale Sharks">
          <a:extLst>
            <a:ext uri="{FF2B5EF4-FFF2-40B4-BE49-F238E27FC236}">
              <a16:creationId xmlns:a16="http://schemas.microsoft.com/office/drawing/2014/main" id="{16E0FA7D-E11E-49AA-B349-D3A91F6AB8B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0</xdr:rowOff>
    </xdr:from>
    <xdr:ext cx="304800" cy="310911"/>
    <xdr:sp macro="" textlink="">
      <xdr:nvSpPr>
        <xdr:cNvPr id="296" name="AutoShape 4" descr="Sale Sharks">
          <a:extLst>
            <a:ext uri="{FF2B5EF4-FFF2-40B4-BE49-F238E27FC236}">
              <a16:creationId xmlns:a16="http://schemas.microsoft.com/office/drawing/2014/main" id="{6B01EC94-A6D6-42D5-AA2F-3AC06AED4C9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65693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23</xdr:row>
      <xdr:rowOff>60385</xdr:rowOff>
    </xdr:from>
    <xdr:ext cx="304800" cy="310911"/>
    <xdr:sp macro="" textlink="">
      <xdr:nvSpPr>
        <xdr:cNvPr id="297" name="AutoShape 1" descr="Bristol Bears">
          <a:extLst>
            <a:ext uri="{FF2B5EF4-FFF2-40B4-BE49-F238E27FC236}">
              <a16:creationId xmlns:a16="http://schemas.microsoft.com/office/drawing/2014/main" id="{E51718AA-8AB6-46EB-8810-1CDD16B483E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271732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298" name="AutoShape 10" descr="Wasps">
          <a:extLst>
            <a:ext uri="{FF2B5EF4-FFF2-40B4-BE49-F238E27FC236}">
              <a16:creationId xmlns:a16="http://schemas.microsoft.com/office/drawing/2014/main" id="{77A1F1AE-1B01-4C9A-A291-C762172EF0ED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299" name="AutoShape 10" descr="Wasps">
          <a:extLst>
            <a:ext uri="{FF2B5EF4-FFF2-40B4-BE49-F238E27FC236}">
              <a16:creationId xmlns:a16="http://schemas.microsoft.com/office/drawing/2014/main" id="{79F203B4-66B9-4961-ADA4-4CB50FC2AD04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00" name="AutoShape 10" descr="Wasps">
          <a:extLst>
            <a:ext uri="{FF2B5EF4-FFF2-40B4-BE49-F238E27FC236}">
              <a16:creationId xmlns:a16="http://schemas.microsoft.com/office/drawing/2014/main" id="{3B38CE54-374C-4D6B-9659-2F3F86381CA4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01" name="AutoShape 10" descr="Wasps">
          <a:extLst>
            <a:ext uri="{FF2B5EF4-FFF2-40B4-BE49-F238E27FC236}">
              <a16:creationId xmlns:a16="http://schemas.microsoft.com/office/drawing/2014/main" id="{500DC24B-AEA2-478F-B580-9BE05A4D99A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02" name="AutoShape 10" descr="Wasps">
          <a:extLst>
            <a:ext uri="{FF2B5EF4-FFF2-40B4-BE49-F238E27FC236}">
              <a16:creationId xmlns:a16="http://schemas.microsoft.com/office/drawing/2014/main" id="{B92C2EE5-A45C-4AE3-B87F-C7CFE1FA61F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03" name="AutoShape 10" descr="Wasps">
          <a:extLst>
            <a:ext uri="{FF2B5EF4-FFF2-40B4-BE49-F238E27FC236}">
              <a16:creationId xmlns:a16="http://schemas.microsoft.com/office/drawing/2014/main" id="{DC429868-AA70-4D90-BD28-C44D4CB21A9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04" name="AutoShape 2" descr="Exeter Chiefs">
          <a:extLst>
            <a:ext uri="{FF2B5EF4-FFF2-40B4-BE49-F238E27FC236}">
              <a16:creationId xmlns:a16="http://schemas.microsoft.com/office/drawing/2014/main" id="{943021AE-EE5D-48E8-A4C4-BFCEA3ABA588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05" name="AutoShape 3" descr="Harlequins">
          <a:extLst>
            <a:ext uri="{FF2B5EF4-FFF2-40B4-BE49-F238E27FC236}">
              <a16:creationId xmlns:a16="http://schemas.microsoft.com/office/drawing/2014/main" id="{943CC7FD-15E6-429C-A2C9-BAB14346F7E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06" name="AutoShape 4" descr="Sale Sharks">
          <a:extLst>
            <a:ext uri="{FF2B5EF4-FFF2-40B4-BE49-F238E27FC236}">
              <a16:creationId xmlns:a16="http://schemas.microsoft.com/office/drawing/2014/main" id="{4EEDC1E3-072A-4BC5-B36D-C6247ED80AF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07" name="AutoShape 10" descr="Wasps">
          <a:extLst>
            <a:ext uri="{FF2B5EF4-FFF2-40B4-BE49-F238E27FC236}">
              <a16:creationId xmlns:a16="http://schemas.microsoft.com/office/drawing/2014/main" id="{39650B5B-0511-4CF3-9F75-FAD0A243F7E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08" name="AutoShape 10" descr="Wasps">
          <a:extLst>
            <a:ext uri="{FF2B5EF4-FFF2-40B4-BE49-F238E27FC236}">
              <a16:creationId xmlns:a16="http://schemas.microsoft.com/office/drawing/2014/main" id="{DDFB73C2-64A3-4BFF-98DE-D5258C4FAFC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09" name="AutoShape 10" descr="Wasps">
          <a:extLst>
            <a:ext uri="{FF2B5EF4-FFF2-40B4-BE49-F238E27FC236}">
              <a16:creationId xmlns:a16="http://schemas.microsoft.com/office/drawing/2014/main" id="{9B5A9846-D68C-44BD-83BA-6DF054E7680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10" name="AutoShape 10" descr="Wasps">
          <a:extLst>
            <a:ext uri="{FF2B5EF4-FFF2-40B4-BE49-F238E27FC236}">
              <a16:creationId xmlns:a16="http://schemas.microsoft.com/office/drawing/2014/main" id="{3759B35C-6238-4A61-9103-1D324804004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11" name="AutoShape 10" descr="Wasps">
          <a:extLst>
            <a:ext uri="{FF2B5EF4-FFF2-40B4-BE49-F238E27FC236}">
              <a16:creationId xmlns:a16="http://schemas.microsoft.com/office/drawing/2014/main" id="{2B6AE56A-DCAA-4AC5-8285-5B3B07B52DA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12" name="AutoShape 10" descr="Wasps">
          <a:extLst>
            <a:ext uri="{FF2B5EF4-FFF2-40B4-BE49-F238E27FC236}">
              <a16:creationId xmlns:a16="http://schemas.microsoft.com/office/drawing/2014/main" id="{703ADF48-0322-499A-95CF-F4E169DAA04B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30</xdr:row>
      <xdr:rowOff>19050</xdr:rowOff>
    </xdr:from>
    <xdr:ext cx="298150" cy="302284"/>
    <xdr:sp macro="" textlink="">
      <xdr:nvSpPr>
        <xdr:cNvPr id="313" name="AutoShape 9" descr="Bath Rugby">
          <a:extLst>
            <a:ext uri="{FF2B5EF4-FFF2-40B4-BE49-F238E27FC236}">
              <a16:creationId xmlns:a16="http://schemas.microsoft.com/office/drawing/2014/main" id="{803FFA49-2A2B-43D3-AEF8-5D35BD3CF5A7}"/>
            </a:ext>
          </a:extLst>
        </xdr:cNvPr>
        <xdr:cNvSpPr>
          <a:spLocks noChangeAspect="1" noChangeArrowheads="1"/>
        </xdr:cNvSpPr>
      </xdr:nvSpPr>
      <xdr:spPr bwMode="auto">
        <a:xfrm>
          <a:off x="5828581" y="6281827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14" name="AutoShape 2" descr="Exeter Chiefs">
          <a:extLst>
            <a:ext uri="{FF2B5EF4-FFF2-40B4-BE49-F238E27FC236}">
              <a16:creationId xmlns:a16="http://schemas.microsoft.com/office/drawing/2014/main" id="{14FCA10A-D15B-4D8C-8A7C-7FE6B903156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15" name="AutoShape 3" descr="Harlequins">
          <a:extLst>
            <a:ext uri="{FF2B5EF4-FFF2-40B4-BE49-F238E27FC236}">
              <a16:creationId xmlns:a16="http://schemas.microsoft.com/office/drawing/2014/main" id="{EB8FCBBD-02C2-496A-A0EB-E8E064CFC5D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16" name="AutoShape 4" descr="Sale Sharks">
          <a:extLst>
            <a:ext uri="{FF2B5EF4-FFF2-40B4-BE49-F238E27FC236}">
              <a16:creationId xmlns:a16="http://schemas.microsoft.com/office/drawing/2014/main" id="{07D63FC0-165B-4CB9-8E9F-EFAC734411C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33</xdr:row>
      <xdr:rowOff>77638</xdr:rowOff>
    </xdr:from>
    <xdr:ext cx="304800" cy="302284"/>
    <xdr:sp macro="" textlink="">
      <xdr:nvSpPr>
        <xdr:cNvPr id="317" name="AutoShape 10" descr="Wasps">
          <a:extLst>
            <a:ext uri="{FF2B5EF4-FFF2-40B4-BE49-F238E27FC236}">
              <a16:creationId xmlns:a16="http://schemas.microsoft.com/office/drawing/2014/main" id="{5AC06298-263A-427B-BEF9-FEFD1A48BDE8}"/>
            </a:ext>
          </a:extLst>
        </xdr:cNvPr>
        <xdr:cNvSpPr>
          <a:spLocks noChangeAspect="1" noChangeArrowheads="1"/>
        </xdr:cNvSpPr>
      </xdr:nvSpPr>
      <xdr:spPr bwMode="auto">
        <a:xfrm>
          <a:off x="5900468" y="59608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18" name="AutoShape 10" descr="Wasps">
          <a:extLst>
            <a:ext uri="{FF2B5EF4-FFF2-40B4-BE49-F238E27FC236}">
              <a16:creationId xmlns:a16="http://schemas.microsoft.com/office/drawing/2014/main" id="{3E3DB650-F87A-4EB4-9E9A-CE9D0FE5148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19" name="AutoShape 10" descr="Wasps">
          <a:extLst>
            <a:ext uri="{FF2B5EF4-FFF2-40B4-BE49-F238E27FC236}">
              <a16:creationId xmlns:a16="http://schemas.microsoft.com/office/drawing/2014/main" id="{FB752036-4660-47A4-B4C3-28D729EB08B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20" name="AutoShape 10" descr="Wasps">
          <a:extLst>
            <a:ext uri="{FF2B5EF4-FFF2-40B4-BE49-F238E27FC236}">
              <a16:creationId xmlns:a16="http://schemas.microsoft.com/office/drawing/2014/main" id="{DF6BFB93-C01F-4104-B326-02062576DDC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21" name="AutoShape 10" descr="Wasps">
          <a:extLst>
            <a:ext uri="{FF2B5EF4-FFF2-40B4-BE49-F238E27FC236}">
              <a16:creationId xmlns:a16="http://schemas.microsoft.com/office/drawing/2014/main" id="{B19E13A7-725F-443C-ACD1-C73478DA843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22" name="AutoShape 10" descr="Wasps">
          <a:extLst>
            <a:ext uri="{FF2B5EF4-FFF2-40B4-BE49-F238E27FC236}">
              <a16:creationId xmlns:a16="http://schemas.microsoft.com/office/drawing/2014/main" id="{93912A40-65C9-418B-B125-A6B45E6E64D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23" name="AutoShape 10" descr="Wasps">
          <a:extLst>
            <a:ext uri="{FF2B5EF4-FFF2-40B4-BE49-F238E27FC236}">
              <a16:creationId xmlns:a16="http://schemas.microsoft.com/office/drawing/2014/main" id="{346B151B-88C2-433C-91C0-6EB32B4B9B2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24" name="AutoShape 3" descr="Harlequins">
          <a:extLst>
            <a:ext uri="{FF2B5EF4-FFF2-40B4-BE49-F238E27FC236}">
              <a16:creationId xmlns:a16="http://schemas.microsoft.com/office/drawing/2014/main" id="{F48E927A-0603-425B-ABA5-B0D702C024E1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25" name="AutoShape 4" descr="Sale Sharks">
          <a:extLst>
            <a:ext uri="{FF2B5EF4-FFF2-40B4-BE49-F238E27FC236}">
              <a16:creationId xmlns:a16="http://schemas.microsoft.com/office/drawing/2014/main" id="{2598DDEA-1850-4C00-BD0E-B90A2F64D6E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33</xdr:row>
      <xdr:rowOff>120770</xdr:rowOff>
    </xdr:from>
    <xdr:ext cx="304800" cy="302284"/>
    <xdr:sp macro="" textlink="">
      <xdr:nvSpPr>
        <xdr:cNvPr id="326" name="AutoShape 2" descr="Exeter Chiefs">
          <a:extLst>
            <a:ext uri="{FF2B5EF4-FFF2-40B4-BE49-F238E27FC236}">
              <a16:creationId xmlns:a16="http://schemas.microsoft.com/office/drawing/2014/main" id="{C693B4E5-D138-4537-AE82-3C99DBE6C494}"/>
            </a:ext>
          </a:extLst>
        </xdr:cNvPr>
        <xdr:cNvSpPr>
          <a:spLocks noChangeAspect="1" noChangeArrowheads="1"/>
        </xdr:cNvSpPr>
      </xdr:nvSpPr>
      <xdr:spPr bwMode="auto">
        <a:xfrm>
          <a:off x="5874589" y="60039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27" name="AutoShape 3" descr="Harlequins">
          <a:extLst>
            <a:ext uri="{FF2B5EF4-FFF2-40B4-BE49-F238E27FC236}">
              <a16:creationId xmlns:a16="http://schemas.microsoft.com/office/drawing/2014/main" id="{8E19D4D2-1D03-4755-8FF1-42D1246E071D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10911"/>
    <xdr:sp macro="" textlink="">
      <xdr:nvSpPr>
        <xdr:cNvPr id="328" name="AutoShape 4" descr="Sale Sharks">
          <a:extLst>
            <a:ext uri="{FF2B5EF4-FFF2-40B4-BE49-F238E27FC236}">
              <a16:creationId xmlns:a16="http://schemas.microsoft.com/office/drawing/2014/main" id="{08F5AFD8-1743-4DE9-89A4-FD4E07EFA4D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626277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329" name="AutoShape 10" descr="Wasps">
          <a:extLst>
            <a:ext uri="{FF2B5EF4-FFF2-40B4-BE49-F238E27FC236}">
              <a16:creationId xmlns:a16="http://schemas.microsoft.com/office/drawing/2014/main" id="{5AFFD957-C0C7-43BA-8C42-35E4275DFFB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330" name="AutoShape 10" descr="Wasps">
          <a:extLst>
            <a:ext uri="{FF2B5EF4-FFF2-40B4-BE49-F238E27FC236}">
              <a16:creationId xmlns:a16="http://schemas.microsoft.com/office/drawing/2014/main" id="{5368B9FA-C495-447C-82FD-2CC70E87D8AD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31" name="AutoShape 10" descr="Wasps">
          <a:extLst>
            <a:ext uri="{FF2B5EF4-FFF2-40B4-BE49-F238E27FC236}">
              <a16:creationId xmlns:a16="http://schemas.microsoft.com/office/drawing/2014/main" id="{E49365E1-032C-437E-A5E5-5C0A73B636C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32" name="AutoShape 10" descr="Wasps">
          <a:extLst>
            <a:ext uri="{FF2B5EF4-FFF2-40B4-BE49-F238E27FC236}">
              <a16:creationId xmlns:a16="http://schemas.microsoft.com/office/drawing/2014/main" id="{9582EFD3-8A64-490B-8FBA-56C22767E4E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33" name="AutoShape 10" descr="Wasps">
          <a:extLst>
            <a:ext uri="{FF2B5EF4-FFF2-40B4-BE49-F238E27FC236}">
              <a16:creationId xmlns:a16="http://schemas.microsoft.com/office/drawing/2014/main" id="{9D7FAD39-B016-4409-8C65-1A08BB13063B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34" name="AutoShape 10" descr="Wasps">
          <a:extLst>
            <a:ext uri="{FF2B5EF4-FFF2-40B4-BE49-F238E27FC236}">
              <a16:creationId xmlns:a16="http://schemas.microsoft.com/office/drawing/2014/main" id="{45C46E45-6FB2-4770-8A79-2C8404D42A5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35" name="AutoShape 10" descr="Wasps">
          <a:extLst>
            <a:ext uri="{FF2B5EF4-FFF2-40B4-BE49-F238E27FC236}">
              <a16:creationId xmlns:a16="http://schemas.microsoft.com/office/drawing/2014/main" id="{513E473E-CFB2-4D4E-8533-922CFFDFCE3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36" name="AutoShape 10" descr="Wasps">
          <a:extLst>
            <a:ext uri="{FF2B5EF4-FFF2-40B4-BE49-F238E27FC236}">
              <a16:creationId xmlns:a16="http://schemas.microsoft.com/office/drawing/2014/main" id="{27797B37-5513-41BB-9974-98606C87521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37" name="AutoShape 10" descr="Wasps">
          <a:extLst>
            <a:ext uri="{FF2B5EF4-FFF2-40B4-BE49-F238E27FC236}">
              <a16:creationId xmlns:a16="http://schemas.microsoft.com/office/drawing/2014/main" id="{01FA7D0B-DA37-469C-8963-91964DFA12B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38" name="AutoShape 10" descr="Wasps">
          <a:extLst>
            <a:ext uri="{FF2B5EF4-FFF2-40B4-BE49-F238E27FC236}">
              <a16:creationId xmlns:a16="http://schemas.microsoft.com/office/drawing/2014/main" id="{F0905329-FCC1-46F3-94D3-A628B9B66A5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39" name="AutoShape 10" descr="Wasps">
          <a:extLst>
            <a:ext uri="{FF2B5EF4-FFF2-40B4-BE49-F238E27FC236}">
              <a16:creationId xmlns:a16="http://schemas.microsoft.com/office/drawing/2014/main" id="{24466A8D-7C2D-4821-9D0F-D04D84A8C45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40" name="AutoShape 10" descr="Wasps">
          <a:extLst>
            <a:ext uri="{FF2B5EF4-FFF2-40B4-BE49-F238E27FC236}">
              <a16:creationId xmlns:a16="http://schemas.microsoft.com/office/drawing/2014/main" id="{9F4C9855-30F6-4283-A4FB-1CA8B4ECB29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28</xdr:row>
      <xdr:rowOff>19050</xdr:rowOff>
    </xdr:from>
    <xdr:ext cx="298150" cy="302284"/>
    <xdr:sp macro="" textlink="">
      <xdr:nvSpPr>
        <xdr:cNvPr id="341" name="AutoShape 9" descr="Bath Rugby">
          <a:extLst>
            <a:ext uri="{FF2B5EF4-FFF2-40B4-BE49-F238E27FC236}">
              <a16:creationId xmlns:a16="http://schemas.microsoft.com/office/drawing/2014/main" id="{A98B9A8C-D0EA-4977-B3DD-6AD81142867F}"/>
            </a:ext>
          </a:extLst>
        </xdr:cNvPr>
        <xdr:cNvSpPr>
          <a:spLocks noChangeAspect="1" noChangeArrowheads="1"/>
        </xdr:cNvSpPr>
      </xdr:nvSpPr>
      <xdr:spPr bwMode="auto">
        <a:xfrm>
          <a:off x="5828581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42" name="AutoShape 1" descr="Bristol Bears">
          <a:extLst>
            <a:ext uri="{FF2B5EF4-FFF2-40B4-BE49-F238E27FC236}">
              <a16:creationId xmlns:a16="http://schemas.microsoft.com/office/drawing/2014/main" id="{EBDB35C1-AEB3-40AE-9BFC-90177F18F458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43" name="AutoShape 2" descr="Exeter Chiefs">
          <a:extLst>
            <a:ext uri="{FF2B5EF4-FFF2-40B4-BE49-F238E27FC236}">
              <a16:creationId xmlns:a16="http://schemas.microsoft.com/office/drawing/2014/main" id="{4CCD1423-D400-45A5-B611-9F3B1C81F44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44" name="AutoShape 3" descr="Harlequins">
          <a:extLst>
            <a:ext uri="{FF2B5EF4-FFF2-40B4-BE49-F238E27FC236}">
              <a16:creationId xmlns:a16="http://schemas.microsoft.com/office/drawing/2014/main" id="{1E3DF683-BC2A-425F-AF03-E36F1AEBC1D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45" name="AutoShape 4" descr="Sale Sharks">
          <a:extLst>
            <a:ext uri="{FF2B5EF4-FFF2-40B4-BE49-F238E27FC236}">
              <a16:creationId xmlns:a16="http://schemas.microsoft.com/office/drawing/2014/main" id="{4786BF7D-5FBE-4686-83D0-D6A137C4268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26</xdr:row>
      <xdr:rowOff>0</xdr:rowOff>
    </xdr:from>
    <xdr:ext cx="298150" cy="302284"/>
    <xdr:sp macro="" textlink="">
      <xdr:nvSpPr>
        <xdr:cNvPr id="346" name="AutoShape 9" descr="Bath Rugby">
          <a:extLst>
            <a:ext uri="{FF2B5EF4-FFF2-40B4-BE49-F238E27FC236}">
              <a16:creationId xmlns:a16="http://schemas.microsoft.com/office/drawing/2014/main" id="{42DD5AAD-3DAC-41EE-A48B-D895BF4E6168}"/>
            </a:ext>
          </a:extLst>
        </xdr:cNvPr>
        <xdr:cNvSpPr>
          <a:spLocks noChangeAspect="1" noChangeArrowheads="1"/>
        </xdr:cNvSpPr>
      </xdr:nvSpPr>
      <xdr:spPr bwMode="auto">
        <a:xfrm>
          <a:off x="5828581" y="362489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347" name="AutoShape 10" descr="Wasps">
          <a:extLst>
            <a:ext uri="{FF2B5EF4-FFF2-40B4-BE49-F238E27FC236}">
              <a16:creationId xmlns:a16="http://schemas.microsoft.com/office/drawing/2014/main" id="{B07F3408-DCE8-4C32-90BD-C7AB89EBF90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348" name="AutoShape 10" descr="Wasps">
          <a:extLst>
            <a:ext uri="{FF2B5EF4-FFF2-40B4-BE49-F238E27FC236}">
              <a16:creationId xmlns:a16="http://schemas.microsoft.com/office/drawing/2014/main" id="{1BC13A91-6FB1-4A71-995E-BBA1840415C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49" name="AutoShape 10" descr="Wasps">
          <a:extLst>
            <a:ext uri="{FF2B5EF4-FFF2-40B4-BE49-F238E27FC236}">
              <a16:creationId xmlns:a16="http://schemas.microsoft.com/office/drawing/2014/main" id="{33F04CB2-1790-4455-8CC0-57DDAF2F2388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50" name="AutoShape 10" descr="Wasps">
          <a:extLst>
            <a:ext uri="{FF2B5EF4-FFF2-40B4-BE49-F238E27FC236}">
              <a16:creationId xmlns:a16="http://schemas.microsoft.com/office/drawing/2014/main" id="{99D04519-16C2-453F-B934-45E5CF70DB6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51" name="AutoShape 10" descr="Wasps">
          <a:extLst>
            <a:ext uri="{FF2B5EF4-FFF2-40B4-BE49-F238E27FC236}">
              <a16:creationId xmlns:a16="http://schemas.microsoft.com/office/drawing/2014/main" id="{1AE0E1BE-860B-4178-8E18-B0022E60878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31</xdr:row>
      <xdr:rowOff>77638</xdr:rowOff>
    </xdr:from>
    <xdr:ext cx="304800" cy="302284"/>
    <xdr:sp macro="" textlink="">
      <xdr:nvSpPr>
        <xdr:cNvPr id="352" name="AutoShape 10" descr="Wasps">
          <a:extLst>
            <a:ext uri="{FF2B5EF4-FFF2-40B4-BE49-F238E27FC236}">
              <a16:creationId xmlns:a16="http://schemas.microsoft.com/office/drawing/2014/main" id="{38CFBADC-FFB7-4C27-8236-65B1738B4754}"/>
            </a:ext>
          </a:extLst>
        </xdr:cNvPr>
        <xdr:cNvSpPr>
          <a:spLocks noChangeAspect="1" noChangeArrowheads="1"/>
        </xdr:cNvSpPr>
      </xdr:nvSpPr>
      <xdr:spPr bwMode="auto">
        <a:xfrm>
          <a:off x="5900468" y="40630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53" name="AutoShape 10" descr="Wasps">
          <a:extLst>
            <a:ext uri="{FF2B5EF4-FFF2-40B4-BE49-F238E27FC236}">
              <a16:creationId xmlns:a16="http://schemas.microsoft.com/office/drawing/2014/main" id="{ADCF26FC-A703-441E-9648-7776BD12F34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54" name="AutoShape 10" descr="Wasps">
          <a:extLst>
            <a:ext uri="{FF2B5EF4-FFF2-40B4-BE49-F238E27FC236}">
              <a16:creationId xmlns:a16="http://schemas.microsoft.com/office/drawing/2014/main" id="{D42C3226-966C-4473-8C63-1AD3C421474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55" name="AutoShape 10" descr="Wasps">
          <a:extLst>
            <a:ext uri="{FF2B5EF4-FFF2-40B4-BE49-F238E27FC236}">
              <a16:creationId xmlns:a16="http://schemas.microsoft.com/office/drawing/2014/main" id="{4305489E-FE2A-4293-A076-0F6DABBCD77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56" name="AutoShape 10" descr="Wasps">
          <a:extLst>
            <a:ext uri="{FF2B5EF4-FFF2-40B4-BE49-F238E27FC236}">
              <a16:creationId xmlns:a16="http://schemas.microsoft.com/office/drawing/2014/main" id="{E7DEA2BA-45B0-41E5-9803-0F05726A353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57" name="AutoShape 10" descr="Wasps">
          <a:extLst>
            <a:ext uri="{FF2B5EF4-FFF2-40B4-BE49-F238E27FC236}">
              <a16:creationId xmlns:a16="http://schemas.microsoft.com/office/drawing/2014/main" id="{9AD6A67E-FD73-41F1-AD3A-D0E707BCDDF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58" name="AutoShape 10" descr="Wasps">
          <a:extLst>
            <a:ext uri="{FF2B5EF4-FFF2-40B4-BE49-F238E27FC236}">
              <a16:creationId xmlns:a16="http://schemas.microsoft.com/office/drawing/2014/main" id="{9CBDC51D-C2A6-43A9-8757-08F41304EF6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59" name="AutoShape 1" descr="Bristol Bears">
          <a:extLst>
            <a:ext uri="{FF2B5EF4-FFF2-40B4-BE49-F238E27FC236}">
              <a16:creationId xmlns:a16="http://schemas.microsoft.com/office/drawing/2014/main" id="{E28174FA-2CD9-4236-AF8A-B2023A7853D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60" name="AutoShape 2" descr="Exeter Chiefs">
          <a:extLst>
            <a:ext uri="{FF2B5EF4-FFF2-40B4-BE49-F238E27FC236}">
              <a16:creationId xmlns:a16="http://schemas.microsoft.com/office/drawing/2014/main" id="{63A999C8-E041-4F57-B107-BEFB405D1456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61" name="AutoShape 3" descr="Harlequins">
          <a:extLst>
            <a:ext uri="{FF2B5EF4-FFF2-40B4-BE49-F238E27FC236}">
              <a16:creationId xmlns:a16="http://schemas.microsoft.com/office/drawing/2014/main" id="{887AB19A-4992-46D2-A2C7-C628976491E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5"/>
    <xdr:sp macro="" textlink="">
      <xdr:nvSpPr>
        <xdr:cNvPr id="362" name="AutoShape 1" descr="Bristol Bears">
          <a:extLst>
            <a:ext uri="{FF2B5EF4-FFF2-40B4-BE49-F238E27FC236}">
              <a16:creationId xmlns:a16="http://schemas.microsoft.com/office/drawing/2014/main" id="{AF7545BF-4AC5-4973-9736-486B18CFAF1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31</xdr:row>
      <xdr:rowOff>120770</xdr:rowOff>
    </xdr:from>
    <xdr:ext cx="304800" cy="302284"/>
    <xdr:sp macro="" textlink="">
      <xdr:nvSpPr>
        <xdr:cNvPr id="363" name="AutoShape 2" descr="Exeter Chiefs">
          <a:extLst>
            <a:ext uri="{FF2B5EF4-FFF2-40B4-BE49-F238E27FC236}">
              <a16:creationId xmlns:a16="http://schemas.microsoft.com/office/drawing/2014/main" id="{83CDA87A-B23D-47F5-B6E4-37F94FFA3F56}"/>
            </a:ext>
          </a:extLst>
        </xdr:cNvPr>
        <xdr:cNvSpPr>
          <a:spLocks noChangeAspect="1" noChangeArrowheads="1"/>
        </xdr:cNvSpPr>
      </xdr:nvSpPr>
      <xdr:spPr bwMode="auto">
        <a:xfrm>
          <a:off x="5874589" y="410617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64" name="AutoShape 3" descr="Harlequins">
          <a:extLst>
            <a:ext uri="{FF2B5EF4-FFF2-40B4-BE49-F238E27FC236}">
              <a16:creationId xmlns:a16="http://schemas.microsoft.com/office/drawing/2014/main" id="{36177154-CB98-4B5C-862B-A3D6A8A9EA23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10911"/>
    <xdr:sp macro="" textlink="">
      <xdr:nvSpPr>
        <xdr:cNvPr id="365" name="AutoShape 4" descr="Sale Sharks">
          <a:extLst>
            <a:ext uri="{FF2B5EF4-FFF2-40B4-BE49-F238E27FC236}">
              <a16:creationId xmlns:a16="http://schemas.microsoft.com/office/drawing/2014/main" id="{018373D8-8D08-4532-8C6A-CD264419406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66" name="AutoShape 10" descr="Wasps">
          <a:extLst>
            <a:ext uri="{FF2B5EF4-FFF2-40B4-BE49-F238E27FC236}">
              <a16:creationId xmlns:a16="http://schemas.microsoft.com/office/drawing/2014/main" id="{CD154570-F9B5-47F2-828C-70959049B05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67" name="AutoShape 10" descr="Wasps">
          <a:extLst>
            <a:ext uri="{FF2B5EF4-FFF2-40B4-BE49-F238E27FC236}">
              <a16:creationId xmlns:a16="http://schemas.microsoft.com/office/drawing/2014/main" id="{8BA762EE-A984-49B4-B138-677A0EB1883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68" name="AutoShape 10" descr="Wasps">
          <a:extLst>
            <a:ext uri="{FF2B5EF4-FFF2-40B4-BE49-F238E27FC236}">
              <a16:creationId xmlns:a16="http://schemas.microsoft.com/office/drawing/2014/main" id="{9CBCD744-7499-41F2-A0F4-CFCC0BF63FF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69" name="AutoShape 10" descr="Wasps">
          <a:extLst>
            <a:ext uri="{FF2B5EF4-FFF2-40B4-BE49-F238E27FC236}">
              <a16:creationId xmlns:a16="http://schemas.microsoft.com/office/drawing/2014/main" id="{DF566BB7-1442-40BE-A1D0-B20F54EC3605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70" name="AutoShape 10" descr="Wasps">
          <a:extLst>
            <a:ext uri="{FF2B5EF4-FFF2-40B4-BE49-F238E27FC236}">
              <a16:creationId xmlns:a16="http://schemas.microsoft.com/office/drawing/2014/main" id="{9D747621-6E5D-44C9-9BD7-A19E31BD5A9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71" name="AutoShape 10" descr="Wasps">
          <a:extLst>
            <a:ext uri="{FF2B5EF4-FFF2-40B4-BE49-F238E27FC236}">
              <a16:creationId xmlns:a16="http://schemas.microsoft.com/office/drawing/2014/main" id="{03E12023-8ED2-41CD-9338-DF14296E1FF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30</xdr:row>
      <xdr:rowOff>19050</xdr:rowOff>
    </xdr:from>
    <xdr:ext cx="298150" cy="302284"/>
    <xdr:sp macro="" textlink="">
      <xdr:nvSpPr>
        <xdr:cNvPr id="372" name="AutoShape 9" descr="Bath Rugby">
          <a:extLst>
            <a:ext uri="{FF2B5EF4-FFF2-40B4-BE49-F238E27FC236}">
              <a16:creationId xmlns:a16="http://schemas.microsoft.com/office/drawing/2014/main" id="{006D7AF6-8C97-4389-B55A-565DD74F567B}"/>
            </a:ext>
          </a:extLst>
        </xdr:cNvPr>
        <xdr:cNvSpPr>
          <a:spLocks noChangeAspect="1" noChangeArrowheads="1"/>
        </xdr:cNvSpPr>
      </xdr:nvSpPr>
      <xdr:spPr bwMode="auto">
        <a:xfrm>
          <a:off x="5828581" y="476357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73" name="AutoShape 2" descr="Exeter Chiefs">
          <a:extLst>
            <a:ext uri="{FF2B5EF4-FFF2-40B4-BE49-F238E27FC236}">
              <a16:creationId xmlns:a16="http://schemas.microsoft.com/office/drawing/2014/main" id="{A6EE6494-578B-4424-A643-E4ED2533779F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74" name="AutoShape 3" descr="Harlequins">
          <a:extLst>
            <a:ext uri="{FF2B5EF4-FFF2-40B4-BE49-F238E27FC236}">
              <a16:creationId xmlns:a16="http://schemas.microsoft.com/office/drawing/2014/main" id="{6C7D0A0C-48DE-488C-BDF7-AD033417658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75" name="AutoShape 4" descr="Sale Sharks">
          <a:extLst>
            <a:ext uri="{FF2B5EF4-FFF2-40B4-BE49-F238E27FC236}">
              <a16:creationId xmlns:a16="http://schemas.microsoft.com/office/drawing/2014/main" id="{75B9234C-38D7-46BE-94E3-15DA6821CED4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33</xdr:row>
      <xdr:rowOff>77638</xdr:rowOff>
    </xdr:from>
    <xdr:ext cx="304800" cy="302284"/>
    <xdr:sp macro="" textlink="">
      <xdr:nvSpPr>
        <xdr:cNvPr id="376" name="AutoShape 10" descr="Wasps">
          <a:extLst>
            <a:ext uri="{FF2B5EF4-FFF2-40B4-BE49-F238E27FC236}">
              <a16:creationId xmlns:a16="http://schemas.microsoft.com/office/drawing/2014/main" id="{83B7336D-A1C8-4723-8442-261C45FBC410}"/>
            </a:ext>
          </a:extLst>
        </xdr:cNvPr>
        <xdr:cNvSpPr>
          <a:spLocks noChangeAspect="1" noChangeArrowheads="1"/>
        </xdr:cNvSpPr>
      </xdr:nvSpPr>
      <xdr:spPr bwMode="auto">
        <a:xfrm>
          <a:off x="5900468" y="44426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77" name="AutoShape 10" descr="Wasps">
          <a:extLst>
            <a:ext uri="{FF2B5EF4-FFF2-40B4-BE49-F238E27FC236}">
              <a16:creationId xmlns:a16="http://schemas.microsoft.com/office/drawing/2014/main" id="{F3A17D46-2AFB-44C6-B5A9-19E90EC6D3D2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78" name="AutoShape 10" descr="Wasps">
          <a:extLst>
            <a:ext uri="{FF2B5EF4-FFF2-40B4-BE49-F238E27FC236}">
              <a16:creationId xmlns:a16="http://schemas.microsoft.com/office/drawing/2014/main" id="{0A94A9C6-DB12-4A1E-AEFD-DE05AAA4C34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79" name="AutoShape 10" descr="Wasps">
          <a:extLst>
            <a:ext uri="{FF2B5EF4-FFF2-40B4-BE49-F238E27FC236}">
              <a16:creationId xmlns:a16="http://schemas.microsoft.com/office/drawing/2014/main" id="{0ACE2658-A73E-430D-A927-0E5628E5ACC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80" name="AutoShape 10" descr="Wasps">
          <a:extLst>
            <a:ext uri="{FF2B5EF4-FFF2-40B4-BE49-F238E27FC236}">
              <a16:creationId xmlns:a16="http://schemas.microsoft.com/office/drawing/2014/main" id="{AB7BBEE8-5D8C-4B59-80CF-B9C24E7B906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81" name="AutoShape 10" descr="Wasps">
          <a:extLst>
            <a:ext uri="{FF2B5EF4-FFF2-40B4-BE49-F238E27FC236}">
              <a16:creationId xmlns:a16="http://schemas.microsoft.com/office/drawing/2014/main" id="{E93199BC-A419-401E-B7B2-603FCA986B1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02284"/>
    <xdr:sp macro="" textlink="">
      <xdr:nvSpPr>
        <xdr:cNvPr id="382" name="AutoShape 10" descr="Wasps">
          <a:extLst>
            <a:ext uri="{FF2B5EF4-FFF2-40B4-BE49-F238E27FC236}">
              <a16:creationId xmlns:a16="http://schemas.microsoft.com/office/drawing/2014/main" id="{11F46297-B529-4439-991D-8E2EB874CB1B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83" name="AutoShape 2" descr="Exeter Chiefs">
          <a:extLst>
            <a:ext uri="{FF2B5EF4-FFF2-40B4-BE49-F238E27FC236}">
              <a16:creationId xmlns:a16="http://schemas.microsoft.com/office/drawing/2014/main" id="{7373DFDF-E3D6-46A0-B3FE-84A8655E256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84" name="AutoShape 3" descr="Harlequins">
          <a:extLst>
            <a:ext uri="{FF2B5EF4-FFF2-40B4-BE49-F238E27FC236}">
              <a16:creationId xmlns:a16="http://schemas.microsoft.com/office/drawing/2014/main" id="{A671E15E-7B55-4FBE-BC60-2E7F81AD52D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34506</xdr:colOff>
      <xdr:row>33</xdr:row>
      <xdr:rowOff>120770</xdr:rowOff>
    </xdr:from>
    <xdr:ext cx="304800" cy="302284"/>
    <xdr:sp macro="" textlink="">
      <xdr:nvSpPr>
        <xdr:cNvPr id="385" name="AutoShape 2" descr="Exeter Chiefs">
          <a:extLst>
            <a:ext uri="{FF2B5EF4-FFF2-40B4-BE49-F238E27FC236}">
              <a16:creationId xmlns:a16="http://schemas.microsoft.com/office/drawing/2014/main" id="{88C4FC38-9411-4366-81F8-00AE73FB2BF7}"/>
            </a:ext>
          </a:extLst>
        </xdr:cNvPr>
        <xdr:cNvSpPr>
          <a:spLocks noChangeAspect="1" noChangeArrowheads="1"/>
        </xdr:cNvSpPr>
      </xdr:nvSpPr>
      <xdr:spPr bwMode="auto">
        <a:xfrm>
          <a:off x="5874589" y="4485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34</xdr:row>
      <xdr:rowOff>0</xdr:rowOff>
    </xdr:from>
    <xdr:ext cx="304800" cy="302284"/>
    <xdr:sp macro="" textlink="">
      <xdr:nvSpPr>
        <xdr:cNvPr id="386" name="AutoShape 3" descr="Harlequins">
          <a:extLst>
            <a:ext uri="{FF2B5EF4-FFF2-40B4-BE49-F238E27FC236}">
              <a16:creationId xmlns:a16="http://schemas.microsoft.com/office/drawing/2014/main" id="{A292D1CB-FA95-4250-8A3D-C72072687A0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35</xdr:row>
      <xdr:rowOff>0</xdr:rowOff>
    </xdr:from>
    <xdr:ext cx="304800" cy="310911"/>
    <xdr:sp macro="" textlink="">
      <xdr:nvSpPr>
        <xdr:cNvPr id="387" name="AutoShape 4" descr="Sale Sharks">
          <a:extLst>
            <a:ext uri="{FF2B5EF4-FFF2-40B4-BE49-F238E27FC236}">
              <a16:creationId xmlns:a16="http://schemas.microsoft.com/office/drawing/2014/main" id="{1A57BCF9-2987-4E95-A94B-4ADE1E36B0E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744528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26</xdr:row>
      <xdr:rowOff>0</xdr:rowOff>
    </xdr:from>
    <xdr:ext cx="298150" cy="319535"/>
    <xdr:sp macro="" textlink="">
      <xdr:nvSpPr>
        <xdr:cNvPr id="388" name="AutoShape 9" descr="Bath Rugby">
          <a:extLst>
            <a:ext uri="{FF2B5EF4-FFF2-40B4-BE49-F238E27FC236}">
              <a16:creationId xmlns:a16="http://schemas.microsoft.com/office/drawing/2014/main" id="{9F0828F7-E3D3-466B-871C-8BE627078AAB}"/>
            </a:ext>
          </a:extLst>
        </xdr:cNvPr>
        <xdr:cNvSpPr>
          <a:spLocks noChangeAspect="1" noChangeArrowheads="1"/>
        </xdr:cNvSpPr>
      </xdr:nvSpPr>
      <xdr:spPr bwMode="auto">
        <a:xfrm>
          <a:off x="5828581" y="3624892"/>
          <a:ext cx="298150" cy="31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389" name="AutoShape 10" descr="Wasps">
          <a:extLst>
            <a:ext uri="{FF2B5EF4-FFF2-40B4-BE49-F238E27FC236}">
              <a16:creationId xmlns:a16="http://schemas.microsoft.com/office/drawing/2014/main" id="{A6C6F78C-24D0-480D-93EE-21C20E6DB697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29</xdr:row>
      <xdr:rowOff>0</xdr:rowOff>
    </xdr:from>
    <xdr:ext cx="304800" cy="302284"/>
    <xdr:sp macro="" textlink="">
      <xdr:nvSpPr>
        <xdr:cNvPr id="390" name="AutoShape 10" descr="Wasps">
          <a:extLst>
            <a:ext uri="{FF2B5EF4-FFF2-40B4-BE49-F238E27FC236}">
              <a16:creationId xmlns:a16="http://schemas.microsoft.com/office/drawing/2014/main" id="{F8B179DD-DFEC-4142-88BE-C8961A1DFF0E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91" name="AutoShape 10" descr="Wasps">
          <a:extLst>
            <a:ext uri="{FF2B5EF4-FFF2-40B4-BE49-F238E27FC236}">
              <a16:creationId xmlns:a16="http://schemas.microsoft.com/office/drawing/2014/main" id="{8D80E7C6-87AC-4B98-9F0B-C54B849AAD4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0</xdr:rowOff>
    </xdr:from>
    <xdr:ext cx="304800" cy="302284"/>
    <xdr:sp macro="" textlink="">
      <xdr:nvSpPr>
        <xdr:cNvPr id="392" name="AutoShape 10" descr="Wasps">
          <a:extLst>
            <a:ext uri="{FF2B5EF4-FFF2-40B4-BE49-F238E27FC236}">
              <a16:creationId xmlns:a16="http://schemas.microsoft.com/office/drawing/2014/main" id="{6E0B60A3-A475-4B8B-AC1E-E029CF3EF8F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30</xdr:row>
      <xdr:rowOff>25879</xdr:rowOff>
    </xdr:from>
    <xdr:ext cx="304800" cy="302284"/>
    <xdr:sp macro="" textlink="">
      <xdr:nvSpPr>
        <xdr:cNvPr id="393" name="AutoShape 10" descr="Wasps">
          <a:extLst>
            <a:ext uri="{FF2B5EF4-FFF2-40B4-BE49-F238E27FC236}">
              <a16:creationId xmlns:a16="http://schemas.microsoft.com/office/drawing/2014/main" id="{83DA8F0B-A1C8-46DA-8F19-9BFCB9D169F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8215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60385</xdr:colOff>
      <xdr:row>31</xdr:row>
      <xdr:rowOff>77638</xdr:rowOff>
    </xdr:from>
    <xdr:ext cx="304800" cy="302284"/>
    <xdr:sp macro="" textlink="">
      <xdr:nvSpPr>
        <xdr:cNvPr id="394" name="AutoShape 10" descr="Wasps">
          <a:extLst>
            <a:ext uri="{FF2B5EF4-FFF2-40B4-BE49-F238E27FC236}">
              <a16:creationId xmlns:a16="http://schemas.microsoft.com/office/drawing/2014/main" id="{6AE95C98-FD16-416A-92E6-983ADE13226A}"/>
            </a:ext>
          </a:extLst>
        </xdr:cNvPr>
        <xdr:cNvSpPr>
          <a:spLocks noChangeAspect="1" noChangeArrowheads="1"/>
        </xdr:cNvSpPr>
      </xdr:nvSpPr>
      <xdr:spPr bwMode="auto">
        <a:xfrm>
          <a:off x="5900468" y="40630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95" name="AutoShape 10" descr="Wasps">
          <a:extLst>
            <a:ext uri="{FF2B5EF4-FFF2-40B4-BE49-F238E27FC236}">
              <a16:creationId xmlns:a16="http://schemas.microsoft.com/office/drawing/2014/main" id="{78D322FF-AE38-434E-8702-0472A5992375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396" name="AutoShape 10" descr="Wasps">
          <a:extLst>
            <a:ext uri="{FF2B5EF4-FFF2-40B4-BE49-F238E27FC236}">
              <a16:creationId xmlns:a16="http://schemas.microsoft.com/office/drawing/2014/main" id="{D58A673C-2F26-4292-8C08-43E332EB06F8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97" name="AutoShape 10" descr="Wasps">
          <a:extLst>
            <a:ext uri="{FF2B5EF4-FFF2-40B4-BE49-F238E27FC236}">
              <a16:creationId xmlns:a16="http://schemas.microsoft.com/office/drawing/2014/main" id="{9A74742F-B670-4F2C-B2F6-92A06A60398A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32</xdr:row>
      <xdr:rowOff>0</xdr:rowOff>
    </xdr:from>
    <xdr:ext cx="304800" cy="302284"/>
    <xdr:sp macro="" textlink="">
      <xdr:nvSpPr>
        <xdr:cNvPr id="398" name="AutoShape 10" descr="Wasps">
          <a:extLst>
            <a:ext uri="{FF2B5EF4-FFF2-40B4-BE49-F238E27FC236}">
              <a16:creationId xmlns:a16="http://schemas.microsoft.com/office/drawing/2014/main" id="{71C22345-5C2E-461E-8FDA-60FDDCF8A1BC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399" name="AutoShape 10" descr="Wasps">
          <a:extLst>
            <a:ext uri="{FF2B5EF4-FFF2-40B4-BE49-F238E27FC236}">
              <a16:creationId xmlns:a16="http://schemas.microsoft.com/office/drawing/2014/main" id="{DB1D25D0-0250-43FA-926E-C2F333CA67A8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400" name="AutoShape 10" descr="Wasps">
          <a:extLst>
            <a:ext uri="{FF2B5EF4-FFF2-40B4-BE49-F238E27FC236}">
              <a16:creationId xmlns:a16="http://schemas.microsoft.com/office/drawing/2014/main" id="{B725964B-5964-4761-9657-B56ADA9A7359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31</xdr:row>
      <xdr:rowOff>0</xdr:rowOff>
    </xdr:from>
    <xdr:ext cx="304800" cy="302284"/>
    <xdr:sp macro="" textlink="">
      <xdr:nvSpPr>
        <xdr:cNvPr id="401" name="AutoShape 2" descr="Exeter Chiefs">
          <a:extLst>
            <a:ext uri="{FF2B5EF4-FFF2-40B4-BE49-F238E27FC236}">
              <a16:creationId xmlns:a16="http://schemas.microsoft.com/office/drawing/2014/main" id="{D8D4B666-33EF-44B3-AD7D-1AB7EFA9E2C0}"/>
            </a:ext>
          </a:extLst>
        </xdr:cNvPr>
        <xdr:cNvSpPr>
          <a:spLocks noChangeAspect="1" noChangeArrowheads="1"/>
        </xdr:cNvSpPr>
      </xdr:nvSpPr>
      <xdr:spPr bwMode="auto">
        <a:xfrm>
          <a:off x="5840083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02284"/>
    <xdr:sp macro="" textlink="">
      <xdr:nvSpPr>
        <xdr:cNvPr id="402" name="AutoShape 4" descr="Sale Sharks">
          <a:extLst>
            <a:ext uri="{FF2B5EF4-FFF2-40B4-BE49-F238E27FC236}">
              <a16:creationId xmlns:a16="http://schemas.microsoft.com/office/drawing/2014/main" id="{4D063C52-1CF7-4196-B1E8-C6321FAED49D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0</xdr:rowOff>
    </xdr:from>
    <xdr:ext cx="304800" cy="310911"/>
    <xdr:sp macro="" textlink="">
      <xdr:nvSpPr>
        <xdr:cNvPr id="403" name="AutoShape 4" descr="Sale Sharks">
          <a:extLst>
            <a:ext uri="{FF2B5EF4-FFF2-40B4-BE49-F238E27FC236}">
              <a16:creationId xmlns:a16="http://schemas.microsoft.com/office/drawing/2014/main" id="{E44C68F7-C03D-438D-B257-E973DAA8AF75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33</xdr:row>
      <xdr:rowOff>60385</xdr:rowOff>
    </xdr:from>
    <xdr:ext cx="304800" cy="310911"/>
    <xdr:sp macro="" textlink="">
      <xdr:nvSpPr>
        <xdr:cNvPr id="404" name="AutoShape 1" descr="Bristol Bears">
          <a:extLst>
            <a:ext uri="{FF2B5EF4-FFF2-40B4-BE49-F238E27FC236}">
              <a16:creationId xmlns:a16="http://schemas.microsoft.com/office/drawing/2014/main" id="{5EFD3A83-EEA5-42D6-B84F-634973EE19FB}"/>
            </a:ext>
          </a:extLst>
        </xdr:cNvPr>
        <xdr:cNvSpPr>
          <a:spLocks noChangeAspect="1" noChangeArrowheads="1"/>
        </xdr:cNvSpPr>
      </xdr:nvSpPr>
      <xdr:spPr bwMode="auto">
        <a:xfrm>
          <a:off x="5840083" y="442535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304800" cy="303002"/>
    <xdr:sp macro="" textlink="">
      <xdr:nvSpPr>
        <xdr:cNvPr id="405" name="AutoShape 2" descr="Exeter Chiefs">
          <a:extLst>
            <a:ext uri="{FF2B5EF4-FFF2-40B4-BE49-F238E27FC236}">
              <a16:creationId xmlns:a16="http://schemas.microsoft.com/office/drawing/2014/main" id="{0FA9099F-CFB7-4316-97F7-7C9156543B51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3003"/>
    <xdr:sp macro="" textlink="">
      <xdr:nvSpPr>
        <xdr:cNvPr id="406" name="AutoShape 3" descr="Harlequins">
          <a:extLst>
            <a:ext uri="{FF2B5EF4-FFF2-40B4-BE49-F238E27FC236}">
              <a16:creationId xmlns:a16="http://schemas.microsoft.com/office/drawing/2014/main" id="{A974BD44-19BF-4503-B929-49EE8F08344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304800" cy="303003"/>
    <xdr:sp macro="" textlink="">
      <xdr:nvSpPr>
        <xdr:cNvPr id="407" name="AutoShape 4" descr="Sale Sharks">
          <a:extLst>
            <a:ext uri="{FF2B5EF4-FFF2-40B4-BE49-F238E27FC236}">
              <a16:creationId xmlns:a16="http://schemas.microsoft.com/office/drawing/2014/main" id="{9BBE1626-AAC1-45FC-B800-D532FC47B7E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408" name="AutoShape 3" descr="Harlequins">
          <a:extLst>
            <a:ext uri="{FF2B5EF4-FFF2-40B4-BE49-F238E27FC236}">
              <a16:creationId xmlns:a16="http://schemas.microsoft.com/office/drawing/2014/main" id="{5CA4B1CD-D281-4A7E-A4F0-168EF4AB260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304800" cy="302284"/>
    <xdr:sp macro="" textlink="">
      <xdr:nvSpPr>
        <xdr:cNvPr id="409" name="AutoShape 4" descr="Sale Sharks">
          <a:extLst>
            <a:ext uri="{FF2B5EF4-FFF2-40B4-BE49-F238E27FC236}">
              <a16:creationId xmlns:a16="http://schemas.microsoft.com/office/drawing/2014/main" id="{9C0A94C9-E9A2-468B-8E35-3484306B8DBC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6</xdr:row>
      <xdr:rowOff>120770</xdr:rowOff>
    </xdr:from>
    <xdr:ext cx="304800" cy="302284"/>
    <xdr:sp macro="" textlink="">
      <xdr:nvSpPr>
        <xdr:cNvPr id="410" name="AutoShape 2" descr="Exeter Chiefs">
          <a:extLst>
            <a:ext uri="{FF2B5EF4-FFF2-40B4-BE49-F238E27FC236}">
              <a16:creationId xmlns:a16="http://schemas.microsoft.com/office/drawing/2014/main" id="{1419C8AC-9814-4D87-90E5-213D17C651B8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411" name="AutoShape 3" descr="Harlequins">
          <a:extLst>
            <a:ext uri="{FF2B5EF4-FFF2-40B4-BE49-F238E27FC236}">
              <a16:creationId xmlns:a16="http://schemas.microsoft.com/office/drawing/2014/main" id="{3F313791-A6AB-4C74-B10B-50B35A8FBEE3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304800" cy="302284"/>
    <xdr:sp macro="" textlink="">
      <xdr:nvSpPr>
        <xdr:cNvPr id="412" name="AutoShape 4" descr="Sale Sharks">
          <a:extLst>
            <a:ext uri="{FF2B5EF4-FFF2-40B4-BE49-F238E27FC236}">
              <a16:creationId xmlns:a16="http://schemas.microsoft.com/office/drawing/2014/main" id="{C079785E-120D-42D0-AC60-919C619505B9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6</xdr:row>
      <xdr:rowOff>120770</xdr:rowOff>
    </xdr:from>
    <xdr:ext cx="304800" cy="302284"/>
    <xdr:sp macro="" textlink="">
      <xdr:nvSpPr>
        <xdr:cNvPr id="413" name="AutoShape 2" descr="Exeter Chiefs">
          <a:extLst>
            <a:ext uri="{FF2B5EF4-FFF2-40B4-BE49-F238E27FC236}">
              <a16:creationId xmlns:a16="http://schemas.microsoft.com/office/drawing/2014/main" id="{AED14F25-DEFA-44FC-9E90-81480813D4D0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</xdr:row>
      <xdr:rowOff>0</xdr:rowOff>
    </xdr:from>
    <xdr:ext cx="304800" cy="302284"/>
    <xdr:sp macro="" textlink="">
      <xdr:nvSpPr>
        <xdr:cNvPr id="414" name="AutoShape 3" descr="Harlequins">
          <a:extLst>
            <a:ext uri="{FF2B5EF4-FFF2-40B4-BE49-F238E27FC236}">
              <a16:creationId xmlns:a16="http://schemas.microsoft.com/office/drawing/2014/main" id="{DA3C9F5C-DEDC-4C8F-8F00-DB203753CCFC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304800" cy="310911"/>
    <xdr:sp macro="" textlink="">
      <xdr:nvSpPr>
        <xdr:cNvPr id="415" name="AutoShape 4" descr="Sale Sharks">
          <a:extLst>
            <a:ext uri="{FF2B5EF4-FFF2-40B4-BE49-F238E27FC236}">
              <a16:creationId xmlns:a16="http://schemas.microsoft.com/office/drawing/2014/main" id="{8C8C3D9F-9190-4467-A5DE-C4D30C74D40D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60385</xdr:rowOff>
    </xdr:from>
    <xdr:ext cx="304800" cy="310911"/>
    <xdr:sp macro="" textlink="">
      <xdr:nvSpPr>
        <xdr:cNvPr id="416" name="AutoShape 1" descr="Bristol Bears">
          <a:extLst>
            <a:ext uri="{FF2B5EF4-FFF2-40B4-BE49-F238E27FC236}">
              <a16:creationId xmlns:a16="http://schemas.microsoft.com/office/drawing/2014/main" id="{9A2E0454-7355-4C26-82C8-3664D547C5F9}"/>
            </a:ext>
          </a:extLst>
        </xdr:cNvPr>
        <xdr:cNvSpPr>
          <a:spLocks noChangeAspect="1" noChangeArrowheads="1"/>
        </xdr:cNvSpPr>
      </xdr:nvSpPr>
      <xdr:spPr bwMode="auto">
        <a:xfrm>
          <a:off x="5331125" y="100929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3003"/>
    <xdr:sp macro="" textlink="">
      <xdr:nvSpPr>
        <xdr:cNvPr id="417" name="AutoShape 4" descr="Sale Sharks">
          <a:extLst>
            <a:ext uri="{FF2B5EF4-FFF2-40B4-BE49-F238E27FC236}">
              <a16:creationId xmlns:a16="http://schemas.microsoft.com/office/drawing/2014/main" id="{AA8F2687-A8F8-481B-8D9C-9E03FD4C0957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418" name="AutoShape 4" descr="Sale Sharks">
          <a:extLst>
            <a:ext uri="{FF2B5EF4-FFF2-40B4-BE49-F238E27FC236}">
              <a16:creationId xmlns:a16="http://schemas.microsoft.com/office/drawing/2014/main" id="{D339AA2D-9808-4ABE-9426-59C7801C3A90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419" name="AutoShape 4" descr="Sale Sharks">
          <a:extLst>
            <a:ext uri="{FF2B5EF4-FFF2-40B4-BE49-F238E27FC236}">
              <a16:creationId xmlns:a16="http://schemas.microsoft.com/office/drawing/2014/main" id="{BAEC8B98-FDE4-42FC-B4D9-B3E51A241FC9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10911"/>
    <xdr:sp macro="" textlink="">
      <xdr:nvSpPr>
        <xdr:cNvPr id="420" name="AutoShape 4" descr="Sale Sharks">
          <a:extLst>
            <a:ext uri="{FF2B5EF4-FFF2-40B4-BE49-F238E27FC236}">
              <a16:creationId xmlns:a16="http://schemas.microsoft.com/office/drawing/2014/main" id="{3B743E8C-164D-4D3B-BFFD-E3D0A9003129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3002"/>
    <xdr:sp macro="" textlink="">
      <xdr:nvSpPr>
        <xdr:cNvPr id="421" name="AutoShape 2" descr="Exeter Chiefs">
          <a:extLst>
            <a:ext uri="{FF2B5EF4-FFF2-40B4-BE49-F238E27FC236}">
              <a16:creationId xmlns:a16="http://schemas.microsoft.com/office/drawing/2014/main" id="{6B6A1120-BAB6-4A2D-8A94-061781D3172F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3003"/>
    <xdr:sp macro="" textlink="">
      <xdr:nvSpPr>
        <xdr:cNvPr id="422" name="AutoShape 3" descr="Harlequins">
          <a:extLst>
            <a:ext uri="{FF2B5EF4-FFF2-40B4-BE49-F238E27FC236}">
              <a16:creationId xmlns:a16="http://schemas.microsoft.com/office/drawing/2014/main" id="{53B3155E-E61F-465F-8010-1BAA665E4AA2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03003"/>
    <xdr:sp macro="" textlink="">
      <xdr:nvSpPr>
        <xdr:cNvPr id="423" name="AutoShape 4" descr="Sale Sharks">
          <a:extLst>
            <a:ext uri="{FF2B5EF4-FFF2-40B4-BE49-F238E27FC236}">
              <a16:creationId xmlns:a16="http://schemas.microsoft.com/office/drawing/2014/main" id="{EEF1485A-71EC-4610-9061-F7A20C14DD2C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424" name="AutoShape 3" descr="Harlequins">
          <a:extLst>
            <a:ext uri="{FF2B5EF4-FFF2-40B4-BE49-F238E27FC236}">
              <a16:creationId xmlns:a16="http://schemas.microsoft.com/office/drawing/2014/main" id="{02863018-F61D-4A20-8E80-73943FFF0333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02284"/>
    <xdr:sp macro="" textlink="">
      <xdr:nvSpPr>
        <xdr:cNvPr id="425" name="AutoShape 4" descr="Sale Sharks">
          <a:extLst>
            <a:ext uri="{FF2B5EF4-FFF2-40B4-BE49-F238E27FC236}">
              <a16:creationId xmlns:a16="http://schemas.microsoft.com/office/drawing/2014/main" id="{0BA41E69-D5F8-4E27-BE34-CA1F723D3A36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16</xdr:row>
      <xdr:rowOff>120770</xdr:rowOff>
    </xdr:from>
    <xdr:ext cx="304800" cy="302284"/>
    <xdr:sp macro="" textlink="">
      <xdr:nvSpPr>
        <xdr:cNvPr id="426" name="AutoShape 2" descr="Exeter Chiefs">
          <a:extLst>
            <a:ext uri="{FF2B5EF4-FFF2-40B4-BE49-F238E27FC236}">
              <a16:creationId xmlns:a16="http://schemas.microsoft.com/office/drawing/2014/main" id="{827586B6-74F2-4852-BF82-C4BE74A53395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12594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427" name="AutoShape 3" descr="Harlequins">
          <a:extLst>
            <a:ext uri="{FF2B5EF4-FFF2-40B4-BE49-F238E27FC236}">
              <a16:creationId xmlns:a16="http://schemas.microsoft.com/office/drawing/2014/main" id="{372E3812-F9DB-4639-BE9F-803AD6B68DF6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02284"/>
    <xdr:sp macro="" textlink="">
      <xdr:nvSpPr>
        <xdr:cNvPr id="428" name="AutoShape 4" descr="Sale Sharks">
          <a:extLst>
            <a:ext uri="{FF2B5EF4-FFF2-40B4-BE49-F238E27FC236}">
              <a16:creationId xmlns:a16="http://schemas.microsoft.com/office/drawing/2014/main" id="{EC292F95-95BF-4768-A693-32136BB4104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16</xdr:row>
      <xdr:rowOff>120770</xdr:rowOff>
    </xdr:from>
    <xdr:ext cx="304800" cy="302284"/>
    <xdr:sp macro="" textlink="">
      <xdr:nvSpPr>
        <xdr:cNvPr id="429" name="AutoShape 2" descr="Exeter Chiefs">
          <a:extLst>
            <a:ext uri="{FF2B5EF4-FFF2-40B4-BE49-F238E27FC236}">
              <a16:creationId xmlns:a16="http://schemas.microsoft.com/office/drawing/2014/main" id="{6303A5A5-C847-4F75-80B5-A367EF4A1C0C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12594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430" name="AutoShape 3" descr="Harlequins">
          <a:extLst>
            <a:ext uri="{FF2B5EF4-FFF2-40B4-BE49-F238E27FC236}">
              <a16:creationId xmlns:a16="http://schemas.microsoft.com/office/drawing/2014/main" id="{34BE1680-8EDA-41E8-87A0-BEC535F80559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10911"/>
    <xdr:sp macro="" textlink="">
      <xdr:nvSpPr>
        <xdr:cNvPr id="431" name="AutoShape 4" descr="Sale Sharks">
          <a:extLst>
            <a:ext uri="{FF2B5EF4-FFF2-40B4-BE49-F238E27FC236}">
              <a16:creationId xmlns:a16="http://schemas.microsoft.com/office/drawing/2014/main" id="{1644BFF1-EF70-4EDF-B0EB-E3237DBE27CE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60385</xdr:rowOff>
    </xdr:from>
    <xdr:ext cx="304800" cy="310911"/>
    <xdr:sp macro="" textlink="">
      <xdr:nvSpPr>
        <xdr:cNvPr id="432" name="AutoShape 1" descr="Bristol Bears">
          <a:extLst>
            <a:ext uri="{FF2B5EF4-FFF2-40B4-BE49-F238E27FC236}">
              <a16:creationId xmlns:a16="http://schemas.microsoft.com/office/drawing/2014/main" id="{A7953E4D-8451-4F1A-909B-7FF5F1C57793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9907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304800" cy="303003"/>
    <xdr:sp macro="" textlink="">
      <xdr:nvSpPr>
        <xdr:cNvPr id="433" name="AutoShape 3" descr="Harlequins">
          <a:extLst>
            <a:ext uri="{FF2B5EF4-FFF2-40B4-BE49-F238E27FC236}">
              <a16:creationId xmlns:a16="http://schemas.microsoft.com/office/drawing/2014/main" id="{B9735418-9998-41C3-9FF5-3C3EC196AA9C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43649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304800" cy="303003"/>
    <xdr:sp macro="" textlink="">
      <xdr:nvSpPr>
        <xdr:cNvPr id="434" name="AutoShape 4" descr="Sale Sharks">
          <a:extLst>
            <a:ext uri="{FF2B5EF4-FFF2-40B4-BE49-F238E27FC236}">
              <a16:creationId xmlns:a16="http://schemas.microsoft.com/office/drawing/2014/main" id="{32CC685A-13E8-4B4B-BA90-BB9EF6B4CAA5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455474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304800" cy="302284"/>
    <xdr:sp macro="" textlink="">
      <xdr:nvSpPr>
        <xdr:cNvPr id="435" name="AutoShape 3" descr="Harlequins">
          <a:extLst>
            <a:ext uri="{FF2B5EF4-FFF2-40B4-BE49-F238E27FC236}">
              <a16:creationId xmlns:a16="http://schemas.microsoft.com/office/drawing/2014/main" id="{27234CD9-54E2-4B80-BB50-FE65665DBC2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304800" cy="302284"/>
    <xdr:sp macro="" textlink="">
      <xdr:nvSpPr>
        <xdr:cNvPr id="436" name="AutoShape 4" descr="Sale Sharks">
          <a:extLst>
            <a:ext uri="{FF2B5EF4-FFF2-40B4-BE49-F238E27FC236}">
              <a16:creationId xmlns:a16="http://schemas.microsoft.com/office/drawing/2014/main" id="{DD4147AC-18A5-49F9-A7C9-D6F32371AFBE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1258</xdr:colOff>
      <xdr:row>24</xdr:row>
      <xdr:rowOff>188523</xdr:rowOff>
    </xdr:from>
    <xdr:ext cx="302284" cy="304800"/>
    <xdr:sp macro="" textlink="">
      <xdr:nvSpPr>
        <xdr:cNvPr id="437" name="AutoShape 3" descr="Harlequins">
          <a:extLst>
            <a:ext uri="{FF2B5EF4-FFF2-40B4-BE49-F238E27FC236}">
              <a16:creationId xmlns:a16="http://schemas.microsoft.com/office/drawing/2014/main" id="{63381016-D29C-437A-8978-BD336FF46C4F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10153291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304800" cy="310911"/>
    <xdr:sp macro="" textlink="">
      <xdr:nvSpPr>
        <xdr:cNvPr id="438" name="AutoShape 4" descr="Sale Sharks">
          <a:extLst>
            <a:ext uri="{FF2B5EF4-FFF2-40B4-BE49-F238E27FC236}">
              <a16:creationId xmlns:a16="http://schemas.microsoft.com/office/drawing/2014/main" id="{AA4CED66-D348-43FB-8D21-E44374083DFA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455474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3003"/>
    <xdr:sp macro="" textlink="">
      <xdr:nvSpPr>
        <xdr:cNvPr id="439" name="AutoShape 1" descr="Bristol Bears">
          <a:extLst>
            <a:ext uri="{FF2B5EF4-FFF2-40B4-BE49-F238E27FC236}">
              <a16:creationId xmlns:a16="http://schemas.microsoft.com/office/drawing/2014/main" id="{F6CBAF67-43B6-43CC-8552-51B2C3D615CD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304800" cy="303002"/>
    <xdr:sp macro="" textlink="">
      <xdr:nvSpPr>
        <xdr:cNvPr id="440" name="AutoShape 2" descr="Exeter Chiefs">
          <a:extLst>
            <a:ext uri="{FF2B5EF4-FFF2-40B4-BE49-F238E27FC236}">
              <a16:creationId xmlns:a16="http://schemas.microsoft.com/office/drawing/2014/main" id="{C7B072DE-9C8B-4B0C-B7B0-079B6F04CAB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3003"/>
    <xdr:sp macro="" textlink="">
      <xdr:nvSpPr>
        <xdr:cNvPr id="441" name="AutoShape 3" descr="Harlequins">
          <a:extLst>
            <a:ext uri="{FF2B5EF4-FFF2-40B4-BE49-F238E27FC236}">
              <a16:creationId xmlns:a16="http://schemas.microsoft.com/office/drawing/2014/main" id="{6ED658F4-9543-41E6-BCF9-13FF24ED2B73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3003"/>
    <xdr:sp macro="" textlink="">
      <xdr:nvSpPr>
        <xdr:cNvPr id="442" name="AutoShape 4" descr="Sale Sharks">
          <a:extLst>
            <a:ext uri="{FF2B5EF4-FFF2-40B4-BE49-F238E27FC236}">
              <a16:creationId xmlns:a16="http://schemas.microsoft.com/office/drawing/2014/main" id="{74F13169-6089-4F77-B0F0-E756DBF8B5E8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443" name="AutoShape 3" descr="Harlequins">
          <a:extLst>
            <a:ext uri="{FF2B5EF4-FFF2-40B4-BE49-F238E27FC236}">
              <a16:creationId xmlns:a16="http://schemas.microsoft.com/office/drawing/2014/main" id="{34347F70-0C01-4DAB-96F2-56DCC4320387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444" name="AutoShape 4" descr="Sale Sharks">
          <a:extLst>
            <a:ext uri="{FF2B5EF4-FFF2-40B4-BE49-F238E27FC236}">
              <a16:creationId xmlns:a16="http://schemas.microsoft.com/office/drawing/2014/main" id="{ACEE4F74-6368-45CE-85C6-1AC1892E59E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4"/>
    <xdr:sp macro="" textlink="">
      <xdr:nvSpPr>
        <xdr:cNvPr id="445" name="AutoShape 1" descr="Bristol Bears">
          <a:extLst>
            <a:ext uri="{FF2B5EF4-FFF2-40B4-BE49-F238E27FC236}">
              <a16:creationId xmlns:a16="http://schemas.microsoft.com/office/drawing/2014/main" id="{BDB3FCB0-F6B0-475C-8CA0-D7A68047F521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14</xdr:row>
      <xdr:rowOff>120770</xdr:rowOff>
    </xdr:from>
    <xdr:ext cx="304800" cy="302284"/>
    <xdr:sp macro="" textlink="">
      <xdr:nvSpPr>
        <xdr:cNvPr id="446" name="AutoShape 2" descr="Exeter Chiefs">
          <a:extLst>
            <a:ext uri="{FF2B5EF4-FFF2-40B4-BE49-F238E27FC236}">
              <a16:creationId xmlns:a16="http://schemas.microsoft.com/office/drawing/2014/main" id="{2C9ACEE0-70B2-48F3-9328-060D52F070AF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447" name="AutoShape 3" descr="Harlequins">
          <a:extLst>
            <a:ext uri="{FF2B5EF4-FFF2-40B4-BE49-F238E27FC236}">
              <a16:creationId xmlns:a16="http://schemas.microsoft.com/office/drawing/2014/main" id="{43F80350-F09F-4D66-B4BD-4CFA6C643A5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2284"/>
    <xdr:sp macro="" textlink="">
      <xdr:nvSpPr>
        <xdr:cNvPr id="448" name="AutoShape 4" descr="Sale Sharks">
          <a:extLst>
            <a:ext uri="{FF2B5EF4-FFF2-40B4-BE49-F238E27FC236}">
              <a16:creationId xmlns:a16="http://schemas.microsoft.com/office/drawing/2014/main" id="{BE6AFF22-470A-4BD7-AB8A-C230016125F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304800" cy="302285"/>
    <xdr:sp macro="" textlink="">
      <xdr:nvSpPr>
        <xdr:cNvPr id="449" name="AutoShape 1" descr="Bristol Bears">
          <a:extLst>
            <a:ext uri="{FF2B5EF4-FFF2-40B4-BE49-F238E27FC236}">
              <a16:creationId xmlns:a16="http://schemas.microsoft.com/office/drawing/2014/main" id="{AA925A04-DCCD-4E7C-A774-06771AEDEB8C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569343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14</xdr:row>
      <xdr:rowOff>120770</xdr:rowOff>
    </xdr:from>
    <xdr:ext cx="304800" cy="302284"/>
    <xdr:sp macro="" textlink="">
      <xdr:nvSpPr>
        <xdr:cNvPr id="450" name="AutoShape 2" descr="Exeter Chiefs">
          <a:extLst>
            <a:ext uri="{FF2B5EF4-FFF2-40B4-BE49-F238E27FC236}">
              <a16:creationId xmlns:a16="http://schemas.microsoft.com/office/drawing/2014/main" id="{59E7491F-EF55-42BE-ADF9-8762A9417E5E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304800" cy="302284"/>
    <xdr:sp macro="" textlink="">
      <xdr:nvSpPr>
        <xdr:cNvPr id="451" name="AutoShape 3" descr="Harlequins">
          <a:extLst>
            <a:ext uri="{FF2B5EF4-FFF2-40B4-BE49-F238E27FC236}">
              <a16:creationId xmlns:a16="http://schemas.microsoft.com/office/drawing/2014/main" id="{C2D241AF-9C96-4FF7-89D6-D27228E7C96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10911"/>
    <xdr:sp macro="" textlink="">
      <xdr:nvSpPr>
        <xdr:cNvPr id="452" name="AutoShape 4" descr="Sale Sharks">
          <a:extLst>
            <a:ext uri="{FF2B5EF4-FFF2-40B4-BE49-F238E27FC236}">
              <a16:creationId xmlns:a16="http://schemas.microsoft.com/office/drawing/2014/main" id="{A5C73D5F-3E7B-4D5A-97FE-ECE30AD5A58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304800" cy="303002"/>
    <xdr:sp macro="" textlink="">
      <xdr:nvSpPr>
        <xdr:cNvPr id="453" name="AutoShape 2" descr="Exeter Chiefs">
          <a:extLst>
            <a:ext uri="{FF2B5EF4-FFF2-40B4-BE49-F238E27FC236}">
              <a16:creationId xmlns:a16="http://schemas.microsoft.com/office/drawing/2014/main" id="{C0A70E8D-5733-4341-8C07-FEE47BFF1C5E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3003"/>
    <xdr:sp macro="" textlink="">
      <xdr:nvSpPr>
        <xdr:cNvPr id="454" name="AutoShape 3" descr="Harlequins">
          <a:extLst>
            <a:ext uri="{FF2B5EF4-FFF2-40B4-BE49-F238E27FC236}">
              <a16:creationId xmlns:a16="http://schemas.microsoft.com/office/drawing/2014/main" id="{E3A0F283-523B-497B-80B0-ACC109BA653F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03003"/>
    <xdr:sp macro="" textlink="">
      <xdr:nvSpPr>
        <xdr:cNvPr id="455" name="AutoShape 4" descr="Sale Sharks">
          <a:extLst>
            <a:ext uri="{FF2B5EF4-FFF2-40B4-BE49-F238E27FC236}">
              <a16:creationId xmlns:a16="http://schemas.microsoft.com/office/drawing/2014/main" id="{19AE939C-098F-4266-8DA8-C372CD26CFA1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456" name="AutoShape 3" descr="Harlequins">
          <a:extLst>
            <a:ext uri="{FF2B5EF4-FFF2-40B4-BE49-F238E27FC236}">
              <a16:creationId xmlns:a16="http://schemas.microsoft.com/office/drawing/2014/main" id="{075DD544-D8AE-4B43-9BA3-CB9929AE6E38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02284"/>
    <xdr:sp macro="" textlink="">
      <xdr:nvSpPr>
        <xdr:cNvPr id="457" name="AutoShape 4" descr="Sale Sharks">
          <a:extLst>
            <a:ext uri="{FF2B5EF4-FFF2-40B4-BE49-F238E27FC236}">
              <a16:creationId xmlns:a16="http://schemas.microsoft.com/office/drawing/2014/main" id="{BCCBF0FA-AE5E-4647-85DA-4161CC9B56CA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16</xdr:row>
      <xdr:rowOff>120770</xdr:rowOff>
    </xdr:from>
    <xdr:ext cx="304800" cy="302284"/>
    <xdr:sp macro="" textlink="">
      <xdr:nvSpPr>
        <xdr:cNvPr id="458" name="AutoShape 2" descr="Exeter Chiefs">
          <a:extLst>
            <a:ext uri="{FF2B5EF4-FFF2-40B4-BE49-F238E27FC236}">
              <a16:creationId xmlns:a16="http://schemas.microsoft.com/office/drawing/2014/main" id="{34311E71-1F35-44CE-BB5B-173857C1C80A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12594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459" name="AutoShape 3" descr="Harlequins">
          <a:extLst>
            <a:ext uri="{FF2B5EF4-FFF2-40B4-BE49-F238E27FC236}">
              <a16:creationId xmlns:a16="http://schemas.microsoft.com/office/drawing/2014/main" id="{C1B127D8-11FA-40B9-B10C-5BED9D2EEB2C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02284"/>
    <xdr:sp macro="" textlink="">
      <xdr:nvSpPr>
        <xdr:cNvPr id="460" name="AutoShape 4" descr="Sale Sharks">
          <a:extLst>
            <a:ext uri="{FF2B5EF4-FFF2-40B4-BE49-F238E27FC236}">
              <a16:creationId xmlns:a16="http://schemas.microsoft.com/office/drawing/2014/main" id="{7F934AED-A6AD-44FD-81AB-2233D5F1BFE6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16</xdr:row>
      <xdr:rowOff>120770</xdr:rowOff>
    </xdr:from>
    <xdr:ext cx="304800" cy="302284"/>
    <xdr:sp macro="" textlink="">
      <xdr:nvSpPr>
        <xdr:cNvPr id="461" name="AutoShape 2" descr="Exeter Chiefs">
          <a:extLst>
            <a:ext uri="{FF2B5EF4-FFF2-40B4-BE49-F238E27FC236}">
              <a16:creationId xmlns:a16="http://schemas.microsoft.com/office/drawing/2014/main" id="{92E6F935-7202-4D72-A87D-DFB08B19AF0A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12594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304800" cy="302284"/>
    <xdr:sp macro="" textlink="">
      <xdr:nvSpPr>
        <xdr:cNvPr id="462" name="AutoShape 3" descr="Harlequins">
          <a:extLst>
            <a:ext uri="{FF2B5EF4-FFF2-40B4-BE49-F238E27FC236}">
              <a16:creationId xmlns:a16="http://schemas.microsoft.com/office/drawing/2014/main" id="{B48E56C2-D3F6-4273-850E-EE021CD3E50D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304800" cy="310911"/>
    <xdr:sp macro="" textlink="">
      <xdr:nvSpPr>
        <xdr:cNvPr id="463" name="AutoShape 4" descr="Sale Sharks">
          <a:extLst>
            <a:ext uri="{FF2B5EF4-FFF2-40B4-BE49-F238E27FC236}">
              <a16:creationId xmlns:a16="http://schemas.microsoft.com/office/drawing/2014/main" id="{AAAD81E2-CBA3-4C8F-9228-5354AB2F4AA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60385</xdr:rowOff>
    </xdr:from>
    <xdr:ext cx="304800" cy="310911"/>
    <xdr:sp macro="" textlink="">
      <xdr:nvSpPr>
        <xdr:cNvPr id="464" name="AutoShape 1" descr="Bristol Bears">
          <a:extLst>
            <a:ext uri="{FF2B5EF4-FFF2-40B4-BE49-F238E27FC236}">
              <a16:creationId xmlns:a16="http://schemas.microsoft.com/office/drawing/2014/main" id="{78227207-6C2C-4321-A227-9C37A6D08617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9907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3003"/>
    <xdr:sp macro="" textlink="">
      <xdr:nvSpPr>
        <xdr:cNvPr id="465" name="AutoShape 1" descr="Bristol Bears">
          <a:extLst>
            <a:ext uri="{FF2B5EF4-FFF2-40B4-BE49-F238E27FC236}">
              <a16:creationId xmlns:a16="http://schemas.microsoft.com/office/drawing/2014/main" id="{7343BFC4-7F30-465C-BFB8-DCE5968EDF9E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304800" cy="303002"/>
    <xdr:sp macro="" textlink="">
      <xdr:nvSpPr>
        <xdr:cNvPr id="466" name="AutoShape 2" descr="Exeter Chiefs">
          <a:extLst>
            <a:ext uri="{FF2B5EF4-FFF2-40B4-BE49-F238E27FC236}">
              <a16:creationId xmlns:a16="http://schemas.microsoft.com/office/drawing/2014/main" id="{BBD0E921-09BF-4038-87A1-0DD4469A9A5F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3003"/>
    <xdr:sp macro="" textlink="">
      <xdr:nvSpPr>
        <xdr:cNvPr id="467" name="AutoShape 3" descr="Harlequins">
          <a:extLst>
            <a:ext uri="{FF2B5EF4-FFF2-40B4-BE49-F238E27FC236}">
              <a16:creationId xmlns:a16="http://schemas.microsoft.com/office/drawing/2014/main" id="{017BE03C-92AC-4673-89DE-C8FF42E35191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03003"/>
    <xdr:sp macro="" textlink="">
      <xdr:nvSpPr>
        <xdr:cNvPr id="468" name="AutoShape 4" descr="Sale Sharks">
          <a:extLst>
            <a:ext uri="{FF2B5EF4-FFF2-40B4-BE49-F238E27FC236}">
              <a16:creationId xmlns:a16="http://schemas.microsoft.com/office/drawing/2014/main" id="{2EF6AD27-F510-477F-A7EF-351C3E14A35A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469" name="AutoShape 3" descr="Harlequins">
          <a:extLst>
            <a:ext uri="{FF2B5EF4-FFF2-40B4-BE49-F238E27FC236}">
              <a16:creationId xmlns:a16="http://schemas.microsoft.com/office/drawing/2014/main" id="{AB38E96E-7081-4243-8B14-DD3F33398C91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02284"/>
    <xdr:sp macro="" textlink="">
      <xdr:nvSpPr>
        <xdr:cNvPr id="470" name="AutoShape 4" descr="Sale Sharks">
          <a:extLst>
            <a:ext uri="{FF2B5EF4-FFF2-40B4-BE49-F238E27FC236}">
              <a16:creationId xmlns:a16="http://schemas.microsoft.com/office/drawing/2014/main" id="{439D7D0A-6951-4D01-81D2-4BFEE9F51A87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2284"/>
    <xdr:sp macro="" textlink="">
      <xdr:nvSpPr>
        <xdr:cNvPr id="471" name="AutoShape 1" descr="Bristol Bears">
          <a:extLst>
            <a:ext uri="{FF2B5EF4-FFF2-40B4-BE49-F238E27FC236}">
              <a16:creationId xmlns:a16="http://schemas.microsoft.com/office/drawing/2014/main" id="{99BCE1BF-2329-45AA-8030-A037161A0C65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22</xdr:row>
      <xdr:rowOff>120770</xdr:rowOff>
    </xdr:from>
    <xdr:ext cx="304800" cy="302284"/>
    <xdr:sp macro="" textlink="">
      <xdr:nvSpPr>
        <xdr:cNvPr id="472" name="AutoShape 2" descr="Exeter Chiefs">
          <a:extLst>
            <a:ext uri="{FF2B5EF4-FFF2-40B4-BE49-F238E27FC236}">
              <a16:creationId xmlns:a16="http://schemas.microsoft.com/office/drawing/2014/main" id="{CEDA2FCB-3959-4C29-89A9-C746D56C0465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473" name="AutoShape 3" descr="Harlequins">
          <a:extLst>
            <a:ext uri="{FF2B5EF4-FFF2-40B4-BE49-F238E27FC236}">
              <a16:creationId xmlns:a16="http://schemas.microsoft.com/office/drawing/2014/main" id="{9DC30E7F-13CE-46F8-A4F2-A80DBC3958F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02284"/>
    <xdr:sp macro="" textlink="">
      <xdr:nvSpPr>
        <xdr:cNvPr id="474" name="AutoShape 4" descr="Sale Sharks">
          <a:extLst>
            <a:ext uri="{FF2B5EF4-FFF2-40B4-BE49-F238E27FC236}">
              <a16:creationId xmlns:a16="http://schemas.microsoft.com/office/drawing/2014/main" id="{C4DCF7EE-E244-4346-9C4F-D1DA6F5810CB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304800" cy="302285"/>
    <xdr:sp macro="" textlink="">
      <xdr:nvSpPr>
        <xdr:cNvPr id="475" name="AutoShape 1" descr="Bristol Bears">
          <a:extLst>
            <a:ext uri="{FF2B5EF4-FFF2-40B4-BE49-F238E27FC236}">
              <a16:creationId xmlns:a16="http://schemas.microsoft.com/office/drawing/2014/main" id="{678DD243-0F08-4C1C-8743-6D2ED3BFF593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569343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22</xdr:row>
      <xdr:rowOff>120770</xdr:rowOff>
    </xdr:from>
    <xdr:ext cx="304800" cy="302284"/>
    <xdr:sp macro="" textlink="">
      <xdr:nvSpPr>
        <xdr:cNvPr id="476" name="AutoShape 2" descr="Exeter Chiefs">
          <a:extLst>
            <a:ext uri="{FF2B5EF4-FFF2-40B4-BE49-F238E27FC236}">
              <a16:creationId xmlns:a16="http://schemas.microsoft.com/office/drawing/2014/main" id="{A7DC6404-6C2C-418D-8481-9BB3FC343BEE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304800" cy="302284"/>
    <xdr:sp macro="" textlink="">
      <xdr:nvSpPr>
        <xdr:cNvPr id="477" name="AutoShape 3" descr="Harlequins">
          <a:extLst>
            <a:ext uri="{FF2B5EF4-FFF2-40B4-BE49-F238E27FC236}">
              <a16:creationId xmlns:a16="http://schemas.microsoft.com/office/drawing/2014/main" id="{86552E72-2494-4353-AECD-6E7739A76B26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10911"/>
    <xdr:sp macro="" textlink="">
      <xdr:nvSpPr>
        <xdr:cNvPr id="478" name="AutoShape 4" descr="Sale Sharks">
          <a:extLst>
            <a:ext uri="{FF2B5EF4-FFF2-40B4-BE49-F238E27FC236}">
              <a16:creationId xmlns:a16="http://schemas.microsoft.com/office/drawing/2014/main" id="{47040609-BF4D-4977-A22F-30223823C8C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304800" cy="303002"/>
    <xdr:sp macro="" textlink="">
      <xdr:nvSpPr>
        <xdr:cNvPr id="479" name="AutoShape 2" descr="Exeter Chiefs">
          <a:extLst>
            <a:ext uri="{FF2B5EF4-FFF2-40B4-BE49-F238E27FC236}">
              <a16:creationId xmlns:a16="http://schemas.microsoft.com/office/drawing/2014/main" id="{9CE70FD6-ACB6-4490-983C-ECE3EE5939F7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38687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304800" cy="303003"/>
    <xdr:sp macro="" textlink="">
      <xdr:nvSpPr>
        <xdr:cNvPr id="480" name="AutoShape 3" descr="Harlequins">
          <a:extLst>
            <a:ext uri="{FF2B5EF4-FFF2-40B4-BE49-F238E27FC236}">
              <a16:creationId xmlns:a16="http://schemas.microsoft.com/office/drawing/2014/main" id="{5888E3CD-C0CC-48E3-8912-9EF599A4DE8F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304800" cy="303003"/>
    <xdr:sp macro="" textlink="">
      <xdr:nvSpPr>
        <xdr:cNvPr id="481" name="AutoShape 4" descr="Sale Sharks">
          <a:extLst>
            <a:ext uri="{FF2B5EF4-FFF2-40B4-BE49-F238E27FC236}">
              <a16:creationId xmlns:a16="http://schemas.microsoft.com/office/drawing/2014/main" id="{8884405D-7574-4B57-9E32-D5591A112FF2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304800" cy="302284"/>
    <xdr:sp macro="" textlink="">
      <xdr:nvSpPr>
        <xdr:cNvPr id="482" name="AutoShape 3" descr="Harlequins">
          <a:extLst>
            <a:ext uri="{FF2B5EF4-FFF2-40B4-BE49-F238E27FC236}">
              <a16:creationId xmlns:a16="http://schemas.microsoft.com/office/drawing/2014/main" id="{9F04D6CB-9BD2-47D4-9587-57B45E892616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304800" cy="302284"/>
    <xdr:sp macro="" textlink="">
      <xdr:nvSpPr>
        <xdr:cNvPr id="483" name="AutoShape 4" descr="Sale Sharks">
          <a:extLst>
            <a:ext uri="{FF2B5EF4-FFF2-40B4-BE49-F238E27FC236}">
              <a16:creationId xmlns:a16="http://schemas.microsoft.com/office/drawing/2014/main" id="{B39538A8-FF1E-4B3F-8AA7-68C5111D1893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24</xdr:row>
      <xdr:rowOff>120770</xdr:rowOff>
    </xdr:from>
    <xdr:ext cx="304800" cy="302284"/>
    <xdr:sp macro="" textlink="">
      <xdr:nvSpPr>
        <xdr:cNvPr id="484" name="AutoShape 2" descr="Exeter Chiefs">
          <a:extLst>
            <a:ext uri="{FF2B5EF4-FFF2-40B4-BE49-F238E27FC236}">
              <a16:creationId xmlns:a16="http://schemas.microsoft.com/office/drawing/2014/main" id="{D694F006-21F5-4047-B2BD-856D796049C2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12594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304800" cy="302284"/>
    <xdr:sp macro="" textlink="">
      <xdr:nvSpPr>
        <xdr:cNvPr id="485" name="AutoShape 3" descr="Harlequins">
          <a:extLst>
            <a:ext uri="{FF2B5EF4-FFF2-40B4-BE49-F238E27FC236}">
              <a16:creationId xmlns:a16="http://schemas.microsoft.com/office/drawing/2014/main" id="{8FD32DE4-E357-432E-8F23-AFDDC3BC00EA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304800" cy="302284"/>
    <xdr:sp macro="" textlink="">
      <xdr:nvSpPr>
        <xdr:cNvPr id="486" name="AutoShape 4" descr="Sale Sharks">
          <a:extLst>
            <a:ext uri="{FF2B5EF4-FFF2-40B4-BE49-F238E27FC236}">
              <a16:creationId xmlns:a16="http://schemas.microsoft.com/office/drawing/2014/main" id="{A0BFBD38-89A5-48F6-8DF1-121CA5F8AF34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34506</xdr:colOff>
      <xdr:row>24</xdr:row>
      <xdr:rowOff>120770</xdr:rowOff>
    </xdr:from>
    <xdr:ext cx="304800" cy="302284"/>
    <xdr:sp macro="" textlink="">
      <xdr:nvSpPr>
        <xdr:cNvPr id="487" name="AutoShape 2" descr="Exeter Chiefs">
          <a:extLst>
            <a:ext uri="{FF2B5EF4-FFF2-40B4-BE49-F238E27FC236}">
              <a16:creationId xmlns:a16="http://schemas.microsoft.com/office/drawing/2014/main" id="{07950C25-1474-42B1-BF36-8AFAE4295EC6}"/>
            </a:ext>
          </a:extLst>
        </xdr:cNvPr>
        <xdr:cNvSpPr>
          <a:spLocks noChangeAspect="1" noChangeArrowheads="1"/>
        </xdr:cNvSpPr>
      </xdr:nvSpPr>
      <xdr:spPr bwMode="auto">
        <a:xfrm>
          <a:off x="10187797" y="12594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304800" cy="302284"/>
    <xdr:sp macro="" textlink="">
      <xdr:nvSpPr>
        <xdr:cNvPr id="488" name="AutoShape 3" descr="Harlequins">
          <a:extLst>
            <a:ext uri="{FF2B5EF4-FFF2-40B4-BE49-F238E27FC236}">
              <a16:creationId xmlns:a16="http://schemas.microsoft.com/office/drawing/2014/main" id="{5AD53314-996F-4E0F-9118-077AEBE4D307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304800" cy="310911"/>
    <xdr:sp macro="" textlink="">
      <xdr:nvSpPr>
        <xdr:cNvPr id="489" name="AutoShape 4" descr="Sale Sharks">
          <a:extLst>
            <a:ext uri="{FF2B5EF4-FFF2-40B4-BE49-F238E27FC236}">
              <a16:creationId xmlns:a16="http://schemas.microsoft.com/office/drawing/2014/main" id="{5F618CFA-4E2D-4999-8170-1B4AE4C94B0E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518249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60385</xdr:rowOff>
    </xdr:from>
    <xdr:ext cx="304800" cy="310911"/>
    <xdr:sp macro="" textlink="">
      <xdr:nvSpPr>
        <xdr:cNvPr id="490" name="AutoShape 1" descr="Bristol Bears">
          <a:extLst>
            <a:ext uri="{FF2B5EF4-FFF2-40B4-BE49-F238E27FC236}">
              <a16:creationId xmlns:a16="http://schemas.microsoft.com/office/drawing/2014/main" id="{25B98702-9448-42F3-80D0-D67E9F798712}"/>
            </a:ext>
          </a:extLst>
        </xdr:cNvPr>
        <xdr:cNvSpPr>
          <a:spLocks noChangeAspect="1" noChangeArrowheads="1"/>
        </xdr:cNvSpPr>
      </xdr:nvSpPr>
      <xdr:spPr bwMode="auto">
        <a:xfrm>
          <a:off x="10153291" y="119907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207034</xdr:colOff>
      <xdr:row>23</xdr:row>
      <xdr:rowOff>25879</xdr:rowOff>
    </xdr:from>
    <xdr:ext cx="304800" cy="302284"/>
    <xdr:sp macro="" textlink="">
      <xdr:nvSpPr>
        <xdr:cNvPr id="2" name="AutoShape 8" descr="Newcastle Falcons">
          <a:extLst>
            <a:ext uri="{FF2B5EF4-FFF2-40B4-BE49-F238E27FC236}">
              <a16:creationId xmlns:a16="http://schemas.microsoft.com/office/drawing/2014/main" id="{2DF2ED67-2269-4D56-AFA7-F3F24478780B}"/>
            </a:ext>
          </a:extLst>
        </xdr:cNvPr>
        <xdr:cNvSpPr>
          <a:spLocks noChangeAspect="1" noChangeArrowheads="1"/>
        </xdr:cNvSpPr>
      </xdr:nvSpPr>
      <xdr:spPr bwMode="auto">
        <a:xfrm>
          <a:off x="1578634" y="140438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21</xdr:row>
      <xdr:rowOff>8626</xdr:rowOff>
    </xdr:from>
    <xdr:to>
      <xdr:col>2</xdr:col>
      <xdr:colOff>445087</xdr:colOff>
      <xdr:row>28</xdr:row>
      <xdr:rowOff>163288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0D282C-F81D-4C5E-A9DB-5E66BCD8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64241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19</xdr:col>
      <xdr:colOff>203547</xdr:colOff>
      <xdr:row>7</xdr:row>
      <xdr:rowOff>102904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D82685-202A-41D8-90B0-5B782C8F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909" y="0"/>
          <a:ext cx="1445751" cy="14313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431321</xdr:colOff>
      <xdr:row>2</xdr:row>
      <xdr:rowOff>0</xdr:rowOff>
    </xdr:from>
    <xdr:to>
      <xdr:col>35</xdr:col>
      <xdr:colOff>186295</xdr:colOff>
      <xdr:row>9</xdr:row>
      <xdr:rowOff>104822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DA215-2CE2-459C-9829-FB118871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419" y="370936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8626</xdr:rowOff>
    </xdr:from>
    <xdr:to>
      <xdr:col>3</xdr:col>
      <xdr:colOff>82777</xdr:colOff>
      <xdr:row>31</xdr:row>
      <xdr:rowOff>173833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58AA66-6418-415B-A22D-05850D8B2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4362"/>
          <a:ext cx="1445751" cy="1433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7</xdr:row>
      <xdr:rowOff>121131</xdr:rowOff>
    </xdr:to>
    <xdr:sp macro="" textlink="">
      <xdr:nvSpPr>
        <xdr:cNvPr id="292" name="AutoShape 4" descr="Sale Sharks">
          <a:extLst>
            <a:ext uri="{FF2B5EF4-FFF2-40B4-BE49-F238E27FC236}">
              <a16:creationId xmlns:a16="http://schemas.microsoft.com/office/drawing/2014/main" id="{55B1E96C-AE70-40A4-9FDF-739FB64E970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32</xdr:col>
      <xdr:colOff>333555</xdr:colOff>
      <xdr:row>0</xdr:row>
      <xdr:rowOff>0</xdr:rowOff>
    </xdr:from>
    <xdr:ext cx="298150" cy="302284"/>
    <xdr:sp macro="" textlink="">
      <xdr:nvSpPr>
        <xdr:cNvPr id="2" name="AutoShape 9" descr="Bath Rugby">
          <a:extLst>
            <a:ext uri="{FF2B5EF4-FFF2-40B4-BE49-F238E27FC236}">
              <a16:creationId xmlns:a16="http://schemas.microsoft.com/office/drawing/2014/main" id="{0B9CB998-089E-4810-91B8-9652C4452505}"/>
            </a:ext>
          </a:extLst>
        </xdr:cNvPr>
        <xdr:cNvSpPr>
          <a:spLocks noChangeAspect="1" noChangeArrowheads="1"/>
        </xdr:cNvSpPr>
      </xdr:nvSpPr>
      <xdr:spPr bwMode="auto">
        <a:xfrm>
          <a:off x="11823940" y="475495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112504</xdr:rowOff>
    </xdr:to>
    <xdr:sp macro="" textlink="">
      <xdr:nvSpPr>
        <xdr:cNvPr id="3" name="AutoShape 1" descr="Bristol Bears">
          <a:extLst>
            <a:ext uri="{FF2B5EF4-FFF2-40B4-BE49-F238E27FC236}">
              <a16:creationId xmlns:a16="http://schemas.microsoft.com/office/drawing/2014/main" id="{B92E61E9-4D23-4A49-B18C-9B14D421FDB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34506</xdr:colOff>
      <xdr:row>0</xdr:row>
      <xdr:rowOff>0</xdr:rowOff>
    </xdr:from>
    <xdr:to>
      <xdr:col>17</xdr:col>
      <xdr:colOff>339306</xdr:colOff>
      <xdr:row>1</xdr:row>
      <xdr:rowOff>112503</xdr:rowOff>
    </xdr:to>
    <xdr:sp macro="" textlink="">
      <xdr:nvSpPr>
        <xdr:cNvPr id="4" name="AutoShape 2" descr="Exeter Chiefs">
          <a:extLst>
            <a:ext uri="{FF2B5EF4-FFF2-40B4-BE49-F238E27FC236}">
              <a16:creationId xmlns:a16="http://schemas.microsoft.com/office/drawing/2014/main" id="{3A2AA399-DA4A-4364-8999-3A40CC6CCAFE}"/>
            </a:ext>
          </a:extLst>
        </xdr:cNvPr>
        <xdr:cNvSpPr>
          <a:spLocks noChangeAspect="1" noChangeArrowheads="1"/>
        </xdr:cNvSpPr>
      </xdr:nvSpPr>
      <xdr:spPr bwMode="auto">
        <a:xfrm>
          <a:off x="5969480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112503</xdr:rowOff>
    </xdr:to>
    <xdr:sp macro="" textlink="">
      <xdr:nvSpPr>
        <xdr:cNvPr id="5" name="AutoShape 3" descr="Harlequins">
          <a:extLst>
            <a:ext uri="{FF2B5EF4-FFF2-40B4-BE49-F238E27FC236}">
              <a16:creationId xmlns:a16="http://schemas.microsoft.com/office/drawing/2014/main" id="{44B112A6-0B29-4B56-A80C-CA7764168F3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121130</xdr:rowOff>
    </xdr:to>
    <xdr:sp macro="" textlink="">
      <xdr:nvSpPr>
        <xdr:cNvPr id="6" name="AutoShape 4" descr="Sale Sharks">
          <a:extLst>
            <a:ext uri="{FF2B5EF4-FFF2-40B4-BE49-F238E27FC236}">
              <a16:creationId xmlns:a16="http://schemas.microsoft.com/office/drawing/2014/main" id="{C50AEF56-E2C1-4A81-8EB5-ED7A3D9C621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121129</xdr:rowOff>
    </xdr:to>
    <xdr:sp macro="" textlink="">
      <xdr:nvSpPr>
        <xdr:cNvPr id="7" name="AutoShape 5" descr="Northampton Saints">
          <a:extLst>
            <a:ext uri="{FF2B5EF4-FFF2-40B4-BE49-F238E27FC236}">
              <a16:creationId xmlns:a16="http://schemas.microsoft.com/office/drawing/2014/main" id="{B4251EEC-57CE-4BAF-BEC1-10CE94EA11C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138381</xdr:rowOff>
    </xdr:to>
    <xdr:sp macro="" textlink="">
      <xdr:nvSpPr>
        <xdr:cNvPr id="8" name="AutoShape 7" descr="Leicester Tigers">
          <a:extLst>
            <a:ext uri="{FF2B5EF4-FFF2-40B4-BE49-F238E27FC236}">
              <a16:creationId xmlns:a16="http://schemas.microsoft.com/office/drawing/2014/main" id="{7D9448B6-B27F-43FA-9D38-3EA37812B6D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1518249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129754</xdr:rowOff>
    </xdr:to>
    <xdr:sp macro="" textlink="">
      <xdr:nvSpPr>
        <xdr:cNvPr id="9" name="AutoShape 8" descr="Newcastle Falcons">
          <a:extLst>
            <a:ext uri="{FF2B5EF4-FFF2-40B4-BE49-F238E27FC236}">
              <a16:creationId xmlns:a16="http://schemas.microsoft.com/office/drawing/2014/main" id="{D75DCB50-D3E6-4607-BEDB-47AE915CA21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1518249"/>
          <a:ext cx="304800" cy="31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16</xdr:col>
      <xdr:colOff>295275</xdr:colOff>
      <xdr:row>1</xdr:row>
      <xdr:rowOff>121128</xdr:rowOff>
    </xdr:to>
    <xdr:sp macro="" textlink="">
      <xdr:nvSpPr>
        <xdr:cNvPr id="10" name="AutoShape 9" descr="Bath Rugby">
          <a:extLst>
            <a:ext uri="{FF2B5EF4-FFF2-40B4-BE49-F238E27FC236}">
              <a16:creationId xmlns:a16="http://schemas.microsoft.com/office/drawing/2014/main" id="{03115E14-69D6-41A5-A7EE-C0751659AAE4}"/>
            </a:ext>
          </a:extLst>
        </xdr:cNvPr>
        <xdr:cNvSpPr>
          <a:spLocks noChangeAspect="1" noChangeArrowheads="1"/>
        </xdr:cNvSpPr>
      </xdr:nvSpPr>
      <xdr:spPr bwMode="auto">
        <a:xfrm>
          <a:off x="5932098" y="1925488"/>
          <a:ext cx="298150" cy="302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129754</xdr:rowOff>
    </xdr:to>
    <xdr:sp macro="" textlink="">
      <xdr:nvSpPr>
        <xdr:cNvPr id="11" name="AutoShape 10" descr="Wasps">
          <a:extLst>
            <a:ext uri="{FF2B5EF4-FFF2-40B4-BE49-F238E27FC236}">
              <a16:creationId xmlns:a16="http://schemas.microsoft.com/office/drawing/2014/main" id="{6983A69F-EF74-47CF-B785-944AB0CF86F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1518249"/>
          <a:ext cx="304800" cy="31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304800</xdr:colOff>
      <xdr:row>1</xdr:row>
      <xdr:rowOff>129755</xdr:rowOff>
    </xdr:to>
    <xdr:sp macro="" textlink="">
      <xdr:nvSpPr>
        <xdr:cNvPr id="12" name="AutoShape 11" descr="Gloucester Rugby">
          <a:extLst>
            <a:ext uri="{FF2B5EF4-FFF2-40B4-BE49-F238E27FC236}">
              <a16:creationId xmlns:a16="http://schemas.microsoft.com/office/drawing/2014/main" id="{2395C3B5-6713-4BAD-82D0-65E4CAC2782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286664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336430</xdr:colOff>
      <xdr:row>0</xdr:row>
      <xdr:rowOff>0</xdr:rowOff>
    </xdr:from>
    <xdr:ext cx="304800" cy="302284"/>
    <xdr:sp macro="" textlink="">
      <xdr:nvSpPr>
        <xdr:cNvPr id="13" name="AutoShape 10" descr="Wasps">
          <a:extLst>
            <a:ext uri="{FF2B5EF4-FFF2-40B4-BE49-F238E27FC236}">
              <a16:creationId xmlns:a16="http://schemas.microsoft.com/office/drawing/2014/main" id="{1FEA6D64-5B2C-4E47-93CF-2A087625FE23}"/>
            </a:ext>
          </a:extLst>
        </xdr:cNvPr>
        <xdr:cNvSpPr>
          <a:spLocks noChangeAspect="1" noChangeArrowheads="1"/>
        </xdr:cNvSpPr>
      </xdr:nvSpPr>
      <xdr:spPr bwMode="auto">
        <a:xfrm>
          <a:off x="6271404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4" name="AutoShape 10" descr="Wasps">
          <a:extLst>
            <a:ext uri="{FF2B5EF4-FFF2-40B4-BE49-F238E27FC236}">
              <a16:creationId xmlns:a16="http://schemas.microsoft.com/office/drawing/2014/main" id="{0418016D-9CD2-4D83-8BCD-7929F898E13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E6FC41C8-12CA-4171-BCDF-A407E2C8B66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AAEC5135-B8F3-4033-A643-3D5699A25A4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E0B72BD0-753A-4F72-B6F8-1571416908D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30E5440E-9D17-4809-B705-A4890891998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0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612ED39C-BBC0-429E-BAE0-83AD63C18D63}"/>
            </a:ext>
          </a:extLst>
        </xdr:cNvPr>
        <xdr:cNvSpPr>
          <a:spLocks noChangeAspect="1" noChangeArrowheads="1"/>
        </xdr:cNvSpPr>
      </xdr:nvSpPr>
      <xdr:spPr bwMode="auto">
        <a:xfrm>
          <a:off x="5995359" y="238089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DCD7B82A-3696-4872-9FF4-02FD7164556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C2F5C42C-E569-496E-931B-F62F1C19BDC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88959BAF-5DC7-4574-99FC-73EF75A4377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403C72B4-48A0-493E-903B-852C5B62746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815CAE2B-4268-4B0F-AB4D-7B27EE3C417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2B5BE57D-E144-4F3A-9AA8-B77F753E69C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2237A660-A103-4906-B4D1-7706FA4C879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64EBB690-826B-4809-8462-22C59D02F98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CF5383BF-437A-411E-B47E-06077460C88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1F4BEE9E-5D5C-42B7-828B-5B908571CE7D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8868F311-4EDF-4613-800F-3ADFF843508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1D1D8223-D9CF-4A56-9BC5-B58E8CCDFFB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B3A14B55-CD4B-4FC7-B9DA-58C0BC80467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33" name="AutoShape 1" descr="Bristol Bears">
          <a:extLst>
            <a:ext uri="{FF2B5EF4-FFF2-40B4-BE49-F238E27FC236}">
              <a16:creationId xmlns:a16="http://schemas.microsoft.com/office/drawing/2014/main" id="{55C67155-013E-418B-B7FC-E96B9E2236BE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2"/>
    <xdr:sp macro="" textlink="">
      <xdr:nvSpPr>
        <xdr:cNvPr id="34" name="AutoShape 2" descr="Exeter Chiefs">
          <a:extLst>
            <a:ext uri="{FF2B5EF4-FFF2-40B4-BE49-F238E27FC236}">
              <a16:creationId xmlns:a16="http://schemas.microsoft.com/office/drawing/2014/main" id="{FAE76FB4-7DEE-478A-B064-0E9275B2C1F5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35" name="AutoShape 3" descr="Harlequins">
          <a:extLst>
            <a:ext uri="{FF2B5EF4-FFF2-40B4-BE49-F238E27FC236}">
              <a16:creationId xmlns:a16="http://schemas.microsoft.com/office/drawing/2014/main" id="{F8A4C752-8E13-4946-BAAD-388DA7207B2A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36" name="AutoShape 4" descr="Sale Sharks">
          <a:extLst>
            <a:ext uri="{FF2B5EF4-FFF2-40B4-BE49-F238E27FC236}">
              <a16:creationId xmlns:a16="http://schemas.microsoft.com/office/drawing/2014/main" id="{0EA7407F-3F51-4AAC-9B51-9230AEBC1C76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37" name="AutoShape 5" descr="Northampton Saints">
          <a:extLst>
            <a:ext uri="{FF2B5EF4-FFF2-40B4-BE49-F238E27FC236}">
              <a16:creationId xmlns:a16="http://schemas.microsoft.com/office/drawing/2014/main" id="{B0A521DD-81C9-451E-8B55-E4FA8C276BEA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38" name="AutoShape 6" descr="London Irish">
          <a:extLst>
            <a:ext uri="{FF2B5EF4-FFF2-40B4-BE49-F238E27FC236}">
              <a16:creationId xmlns:a16="http://schemas.microsoft.com/office/drawing/2014/main" id="{AD8B6B75-30C7-4A44-AF88-81916E14EC9E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39" name="AutoShape 7" descr="Leicester Tigers">
          <a:extLst>
            <a:ext uri="{FF2B5EF4-FFF2-40B4-BE49-F238E27FC236}">
              <a16:creationId xmlns:a16="http://schemas.microsoft.com/office/drawing/2014/main" id="{74DF29F8-DB8D-407A-8C4F-E8C6E606E151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40" name="AutoShape 8" descr="Newcastle Falcons">
          <a:extLst>
            <a:ext uri="{FF2B5EF4-FFF2-40B4-BE49-F238E27FC236}">
              <a16:creationId xmlns:a16="http://schemas.microsoft.com/office/drawing/2014/main" id="{E3755225-08FC-40D7-85F5-F74E1A6695EB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295275" cy="303003"/>
    <xdr:sp macro="" textlink="">
      <xdr:nvSpPr>
        <xdr:cNvPr id="41" name="AutoShape 9" descr="Bath Rugby">
          <a:extLst>
            <a:ext uri="{FF2B5EF4-FFF2-40B4-BE49-F238E27FC236}">
              <a16:creationId xmlns:a16="http://schemas.microsoft.com/office/drawing/2014/main" id="{C0F26440-7F34-4DA0-B032-072D4BA923DC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708030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2"/>
    <xdr:sp macro="" textlink="">
      <xdr:nvSpPr>
        <xdr:cNvPr id="42" name="AutoShape 10" descr="Wasps">
          <a:extLst>
            <a:ext uri="{FF2B5EF4-FFF2-40B4-BE49-F238E27FC236}">
              <a16:creationId xmlns:a16="http://schemas.microsoft.com/office/drawing/2014/main" id="{D7BDEC69-85E6-43F4-9596-2642F4C48F5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708030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181154</xdr:colOff>
      <xdr:row>0</xdr:row>
      <xdr:rowOff>0</xdr:rowOff>
    </xdr:from>
    <xdr:ext cx="304800" cy="302284"/>
    <xdr:sp macro="" textlink="">
      <xdr:nvSpPr>
        <xdr:cNvPr id="43" name="AutoShape 10" descr="Wasps">
          <a:extLst>
            <a:ext uri="{FF2B5EF4-FFF2-40B4-BE49-F238E27FC236}">
              <a16:creationId xmlns:a16="http://schemas.microsoft.com/office/drawing/2014/main" id="{D54DCD64-D57A-4CEA-8ACE-538E73CD9E4D}"/>
            </a:ext>
          </a:extLst>
        </xdr:cNvPr>
        <xdr:cNvSpPr>
          <a:spLocks noChangeAspect="1" noChangeArrowheads="1"/>
        </xdr:cNvSpPr>
      </xdr:nvSpPr>
      <xdr:spPr bwMode="auto">
        <a:xfrm>
          <a:off x="8057071" y="595222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FE0C0688-66FF-4F1D-9A26-FCF8C546ECB0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9064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45" name="AutoShape 10" descr="Wasps">
          <a:extLst>
            <a:ext uri="{FF2B5EF4-FFF2-40B4-BE49-F238E27FC236}">
              <a16:creationId xmlns:a16="http://schemas.microsoft.com/office/drawing/2014/main" id="{131D17EF-D704-4673-AB34-CFEE3F931B51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46" name="AutoShape 10" descr="Wasps">
          <a:extLst>
            <a:ext uri="{FF2B5EF4-FFF2-40B4-BE49-F238E27FC236}">
              <a16:creationId xmlns:a16="http://schemas.microsoft.com/office/drawing/2014/main" id="{0BC8DEFA-C18B-4E0C-8B64-E23FBE6A7E2E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B2EBA532-8AD7-4BB0-9E40-8867C60DE135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82401992-416E-4E16-954E-BA3B1E82FB1A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F8F78E19-63EE-4676-B897-0C54DABEFDFD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250AD6D3-DACC-47EE-882A-479008BA68BD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A941AD72-8FC3-4647-87AD-4A336FD11838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C39E5AB6-780E-4F52-82F6-BA6566A6ADF7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DE035937-A1EB-47DA-85DE-482F6E1730DA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4" name="AutoShape 10" descr="Wasps">
          <a:extLst>
            <a:ext uri="{FF2B5EF4-FFF2-40B4-BE49-F238E27FC236}">
              <a16:creationId xmlns:a16="http://schemas.microsoft.com/office/drawing/2014/main" id="{217725AE-2A65-464E-AEB5-F8D9CD5551FB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EB814C78-688C-40DA-BBF3-B5E4A2C2C21A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6C0211F5-B677-49C3-AE69-FE09730BB077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B895D146-D90D-48EF-B3DB-BC1425691246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29B3EAC9-146C-45E1-AD0A-01B39E6C2FFB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11059F07-C3CE-4A66-8AAA-32F88D15A9D0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A47BE5CF-768B-416A-95AE-959284DA0318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4764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ED0D9924-54F9-47EE-8B9A-826BBA78D24B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120770</xdr:colOff>
      <xdr:row>0</xdr:row>
      <xdr:rowOff>0</xdr:rowOff>
    </xdr:from>
    <xdr:ext cx="304800" cy="379560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3D29C822-4791-43ED-A417-48B355648E81}"/>
            </a:ext>
          </a:extLst>
        </xdr:cNvPr>
        <xdr:cNvSpPr>
          <a:spLocks noChangeAspect="1" noChangeArrowheads="1"/>
        </xdr:cNvSpPr>
      </xdr:nvSpPr>
      <xdr:spPr bwMode="auto">
        <a:xfrm flipV="1">
          <a:off x="7996687" y="9083614"/>
          <a:ext cx="304800" cy="37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63" name="AutoShape 3" descr="Harlequins">
          <a:extLst>
            <a:ext uri="{FF2B5EF4-FFF2-40B4-BE49-F238E27FC236}">
              <a16:creationId xmlns:a16="http://schemas.microsoft.com/office/drawing/2014/main" id="{93B71BA5-6D02-4994-9BFC-2F3ADA8A0375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42535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64" name="AutoShape 4" descr="Sale Sharks">
          <a:extLst>
            <a:ext uri="{FF2B5EF4-FFF2-40B4-BE49-F238E27FC236}">
              <a16:creationId xmlns:a16="http://schemas.microsoft.com/office/drawing/2014/main" id="{BF4ECDEB-78F2-4F43-A507-CBC52647100A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61513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65" name="AutoShape 5" descr="Northampton Saints">
          <a:extLst>
            <a:ext uri="{FF2B5EF4-FFF2-40B4-BE49-F238E27FC236}">
              <a16:creationId xmlns:a16="http://schemas.microsoft.com/office/drawing/2014/main" id="{EB4351BC-1EC9-437C-AABD-F2C2612ED0E9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80491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66" name="AutoShape 6" descr="London Irish">
          <a:extLst>
            <a:ext uri="{FF2B5EF4-FFF2-40B4-BE49-F238E27FC236}">
              <a16:creationId xmlns:a16="http://schemas.microsoft.com/office/drawing/2014/main" id="{FE62C02A-00F5-4BF6-802A-1660A38C24A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99469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67" name="AutoShape 7" descr="Leicester Tigers">
          <a:extLst>
            <a:ext uri="{FF2B5EF4-FFF2-40B4-BE49-F238E27FC236}">
              <a16:creationId xmlns:a16="http://schemas.microsoft.com/office/drawing/2014/main" id="{5DADB6A4-9015-4DD6-828B-0AFDE0374393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51844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3003"/>
    <xdr:sp macro="" textlink="">
      <xdr:nvSpPr>
        <xdr:cNvPr id="68" name="AutoShape 8" descr="Newcastle Falcons">
          <a:extLst>
            <a:ext uri="{FF2B5EF4-FFF2-40B4-BE49-F238E27FC236}">
              <a16:creationId xmlns:a16="http://schemas.microsoft.com/office/drawing/2014/main" id="{0A384D45-F2F5-4D99-88D5-9CE93745EAD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518447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69" name="AutoShape 11" descr="Gloucester Rugby">
          <a:extLst>
            <a:ext uri="{FF2B5EF4-FFF2-40B4-BE49-F238E27FC236}">
              <a16:creationId xmlns:a16="http://schemas.microsoft.com/office/drawing/2014/main" id="{D356C102-12B7-4E37-A414-9235CB3DC93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155276</xdr:colOff>
      <xdr:row>0</xdr:row>
      <xdr:rowOff>0</xdr:rowOff>
    </xdr:from>
    <xdr:ext cx="304800" cy="302284"/>
    <xdr:sp macro="" textlink="">
      <xdr:nvSpPr>
        <xdr:cNvPr id="70" name="AutoShape 10" descr="Wasps">
          <a:extLst>
            <a:ext uri="{FF2B5EF4-FFF2-40B4-BE49-F238E27FC236}">
              <a16:creationId xmlns:a16="http://schemas.microsoft.com/office/drawing/2014/main" id="{BDF43E18-20DE-4F95-918E-4733503D47C1}"/>
            </a:ext>
          </a:extLst>
        </xdr:cNvPr>
        <xdr:cNvSpPr>
          <a:spLocks noChangeAspect="1" noChangeArrowheads="1"/>
        </xdr:cNvSpPr>
      </xdr:nvSpPr>
      <xdr:spPr bwMode="auto">
        <a:xfrm rot="8122429">
          <a:off x="10308567" y="6461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1" name="AutoShape 10" descr="Wasps">
          <a:extLst>
            <a:ext uri="{FF2B5EF4-FFF2-40B4-BE49-F238E27FC236}">
              <a16:creationId xmlns:a16="http://schemas.microsoft.com/office/drawing/2014/main" id="{848B1763-218A-431D-B5C4-16B4A9CC82B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2" name="AutoShape 10" descr="Wasps">
          <a:extLst>
            <a:ext uri="{FF2B5EF4-FFF2-40B4-BE49-F238E27FC236}">
              <a16:creationId xmlns:a16="http://schemas.microsoft.com/office/drawing/2014/main" id="{90F2B8F6-1C5D-4A44-9E7A-A15D3E77252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3" name="AutoShape 10" descr="Wasps">
          <a:extLst>
            <a:ext uri="{FF2B5EF4-FFF2-40B4-BE49-F238E27FC236}">
              <a16:creationId xmlns:a16="http://schemas.microsoft.com/office/drawing/2014/main" id="{F17580CE-1F27-46A3-94D8-AB98E581E7B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4" name="AutoShape 10" descr="Wasps">
          <a:extLst>
            <a:ext uri="{FF2B5EF4-FFF2-40B4-BE49-F238E27FC236}">
              <a16:creationId xmlns:a16="http://schemas.microsoft.com/office/drawing/2014/main" id="{5244D730-E31A-4A0D-863C-2D20F23DC58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5" name="AutoShape 10" descr="Wasps">
          <a:extLst>
            <a:ext uri="{FF2B5EF4-FFF2-40B4-BE49-F238E27FC236}">
              <a16:creationId xmlns:a16="http://schemas.microsoft.com/office/drawing/2014/main" id="{779F9AB7-C2DB-4B5D-9E06-F0779BCF9329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6" name="AutoShape 10" descr="Wasps">
          <a:extLst>
            <a:ext uri="{FF2B5EF4-FFF2-40B4-BE49-F238E27FC236}">
              <a16:creationId xmlns:a16="http://schemas.microsoft.com/office/drawing/2014/main" id="{CAE42115-691E-408B-98F7-F6A3F5EA148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7" name="AutoShape 10" descr="Wasps">
          <a:extLst>
            <a:ext uri="{FF2B5EF4-FFF2-40B4-BE49-F238E27FC236}">
              <a16:creationId xmlns:a16="http://schemas.microsoft.com/office/drawing/2014/main" id="{BD38A58D-3D89-4986-882A-32E29A81889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8" name="AutoShape 10" descr="Wasps">
          <a:extLst>
            <a:ext uri="{FF2B5EF4-FFF2-40B4-BE49-F238E27FC236}">
              <a16:creationId xmlns:a16="http://schemas.microsoft.com/office/drawing/2014/main" id="{003E544A-BCA7-48B2-A2E2-085D2C54DA97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79" name="AutoShape 10" descr="Wasps">
          <a:extLst>
            <a:ext uri="{FF2B5EF4-FFF2-40B4-BE49-F238E27FC236}">
              <a16:creationId xmlns:a16="http://schemas.microsoft.com/office/drawing/2014/main" id="{B7D258B5-4A00-403B-85F3-E03056E180B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0" name="AutoShape 10" descr="Wasps">
          <a:extLst>
            <a:ext uri="{FF2B5EF4-FFF2-40B4-BE49-F238E27FC236}">
              <a16:creationId xmlns:a16="http://schemas.microsoft.com/office/drawing/2014/main" id="{7448953B-AD5B-4795-B7ED-24AC284ED909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1" name="AutoShape 10" descr="Wasps">
          <a:extLst>
            <a:ext uri="{FF2B5EF4-FFF2-40B4-BE49-F238E27FC236}">
              <a16:creationId xmlns:a16="http://schemas.microsoft.com/office/drawing/2014/main" id="{D2FF6B35-F439-4431-89DA-54F20118074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2" name="AutoShape 10" descr="Wasps">
          <a:extLst>
            <a:ext uri="{FF2B5EF4-FFF2-40B4-BE49-F238E27FC236}">
              <a16:creationId xmlns:a16="http://schemas.microsoft.com/office/drawing/2014/main" id="{FD84DDA4-C68A-4961-95EF-07F963F1FDB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3" name="AutoShape 10" descr="Wasps">
          <a:extLst>
            <a:ext uri="{FF2B5EF4-FFF2-40B4-BE49-F238E27FC236}">
              <a16:creationId xmlns:a16="http://schemas.microsoft.com/office/drawing/2014/main" id="{7D4F1CAD-A661-4F6A-8D27-A0811E5E448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4" name="AutoShape 10" descr="Wasps">
          <a:extLst>
            <a:ext uri="{FF2B5EF4-FFF2-40B4-BE49-F238E27FC236}">
              <a16:creationId xmlns:a16="http://schemas.microsoft.com/office/drawing/2014/main" id="{9CFCF2D4-C853-4DE1-8C2A-5D174AECE06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5" name="AutoShape 10" descr="Wasps">
          <a:extLst>
            <a:ext uri="{FF2B5EF4-FFF2-40B4-BE49-F238E27FC236}">
              <a16:creationId xmlns:a16="http://schemas.microsoft.com/office/drawing/2014/main" id="{216C39A9-C1A1-451D-AE05-E9184D0FE05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6" name="AutoShape 10" descr="Wasps">
          <a:extLst>
            <a:ext uri="{FF2B5EF4-FFF2-40B4-BE49-F238E27FC236}">
              <a16:creationId xmlns:a16="http://schemas.microsoft.com/office/drawing/2014/main" id="{E0F93852-05F7-4C71-A3DD-F31FA95A47E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7" name="AutoShape 10" descr="Wasps">
          <a:extLst>
            <a:ext uri="{FF2B5EF4-FFF2-40B4-BE49-F238E27FC236}">
              <a16:creationId xmlns:a16="http://schemas.microsoft.com/office/drawing/2014/main" id="{9E350C86-FBC0-452F-955E-C85DF6F3C1E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8" name="AutoShape 10" descr="Wasps">
          <a:extLst>
            <a:ext uri="{FF2B5EF4-FFF2-40B4-BE49-F238E27FC236}">
              <a16:creationId xmlns:a16="http://schemas.microsoft.com/office/drawing/2014/main" id="{273CA5F3-92AE-4A14-8A73-6250104161C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89" name="AutoShape 10" descr="Wasps">
          <a:extLst>
            <a:ext uri="{FF2B5EF4-FFF2-40B4-BE49-F238E27FC236}">
              <a16:creationId xmlns:a16="http://schemas.microsoft.com/office/drawing/2014/main" id="{238A8941-B3FE-410A-B272-B56E3A812AA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0" name="AutoShape 11" descr="Gloucester Rugby">
          <a:extLst>
            <a:ext uri="{FF2B5EF4-FFF2-40B4-BE49-F238E27FC236}">
              <a16:creationId xmlns:a16="http://schemas.microsoft.com/office/drawing/2014/main" id="{F922C729-C5E5-4C10-880B-58D1196CDD32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1" name="AutoShape 10" descr="Wasps">
          <a:extLst>
            <a:ext uri="{FF2B5EF4-FFF2-40B4-BE49-F238E27FC236}">
              <a16:creationId xmlns:a16="http://schemas.microsoft.com/office/drawing/2014/main" id="{B75FEC3A-3569-4A3A-ADF4-C568924B2DB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3742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2" name="AutoShape 10" descr="Wasps">
          <a:extLst>
            <a:ext uri="{FF2B5EF4-FFF2-40B4-BE49-F238E27FC236}">
              <a16:creationId xmlns:a16="http://schemas.microsoft.com/office/drawing/2014/main" id="{6A17C39B-0B7F-4EFE-B6F4-64AF14B5C2D2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3742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3" name="AutoShape 10" descr="Wasps">
          <a:extLst>
            <a:ext uri="{FF2B5EF4-FFF2-40B4-BE49-F238E27FC236}">
              <a16:creationId xmlns:a16="http://schemas.microsoft.com/office/drawing/2014/main" id="{02FDC5A5-EC57-49C1-87E4-F9C7A770D24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4" name="AutoShape 10" descr="Wasps">
          <a:extLst>
            <a:ext uri="{FF2B5EF4-FFF2-40B4-BE49-F238E27FC236}">
              <a16:creationId xmlns:a16="http://schemas.microsoft.com/office/drawing/2014/main" id="{D81B4C10-5B0C-497C-82D1-D7A17110B12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5" name="AutoShape 10" descr="Wasps">
          <a:extLst>
            <a:ext uri="{FF2B5EF4-FFF2-40B4-BE49-F238E27FC236}">
              <a16:creationId xmlns:a16="http://schemas.microsoft.com/office/drawing/2014/main" id="{2618AFC5-E7DE-40DF-A97D-F891B2AF91B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6" name="AutoShape 10" descr="Wasps">
          <a:extLst>
            <a:ext uri="{FF2B5EF4-FFF2-40B4-BE49-F238E27FC236}">
              <a16:creationId xmlns:a16="http://schemas.microsoft.com/office/drawing/2014/main" id="{61EAF77B-2AC9-4E68-AD64-8CDAB0C50E1A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7" name="AutoShape 10" descr="Wasps">
          <a:extLst>
            <a:ext uri="{FF2B5EF4-FFF2-40B4-BE49-F238E27FC236}">
              <a16:creationId xmlns:a16="http://schemas.microsoft.com/office/drawing/2014/main" id="{DF681386-1570-4CB8-A55B-5B01941109B2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8" name="AutoShape 10" descr="Wasps">
          <a:extLst>
            <a:ext uri="{FF2B5EF4-FFF2-40B4-BE49-F238E27FC236}">
              <a16:creationId xmlns:a16="http://schemas.microsoft.com/office/drawing/2014/main" id="{92BE432E-EFA1-4C56-A3B2-C72CC122A8D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99" name="AutoShape 10" descr="Wasps">
          <a:extLst>
            <a:ext uri="{FF2B5EF4-FFF2-40B4-BE49-F238E27FC236}">
              <a16:creationId xmlns:a16="http://schemas.microsoft.com/office/drawing/2014/main" id="{EB12718B-AF26-4F40-85E2-D8FF3C86EF1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0" name="AutoShape 10" descr="Wasps">
          <a:extLst>
            <a:ext uri="{FF2B5EF4-FFF2-40B4-BE49-F238E27FC236}">
              <a16:creationId xmlns:a16="http://schemas.microsoft.com/office/drawing/2014/main" id="{FFB75F1F-A2EF-4341-8498-3ED96DC03C0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1" name="AutoShape 10" descr="Wasps">
          <a:extLst>
            <a:ext uri="{FF2B5EF4-FFF2-40B4-BE49-F238E27FC236}">
              <a16:creationId xmlns:a16="http://schemas.microsoft.com/office/drawing/2014/main" id="{A9E4BFE5-CD63-4445-9704-C981F079807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2" name="AutoShape 10" descr="Wasps">
          <a:extLst>
            <a:ext uri="{FF2B5EF4-FFF2-40B4-BE49-F238E27FC236}">
              <a16:creationId xmlns:a16="http://schemas.microsoft.com/office/drawing/2014/main" id="{AB90E768-2E4F-4FD4-9841-0F937A50BF0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3" name="AutoShape 10" descr="Wasps">
          <a:extLst>
            <a:ext uri="{FF2B5EF4-FFF2-40B4-BE49-F238E27FC236}">
              <a16:creationId xmlns:a16="http://schemas.microsoft.com/office/drawing/2014/main" id="{CDE93A6E-51B7-40A6-B52A-F038FB20898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4" name="AutoShape 10" descr="Wasps">
          <a:extLst>
            <a:ext uri="{FF2B5EF4-FFF2-40B4-BE49-F238E27FC236}">
              <a16:creationId xmlns:a16="http://schemas.microsoft.com/office/drawing/2014/main" id="{40997441-27DD-4669-8A86-A2287092E8B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5" name="AutoShape 10" descr="Wasps">
          <a:extLst>
            <a:ext uri="{FF2B5EF4-FFF2-40B4-BE49-F238E27FC236}">
              <a16:creationId xmlns:a16="http://schemas.microsoft.com/office/drawing/2014/main" id="{651E2AAB-1BB7-4FF2-AB70-B01A5F8A434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6" name="AutoShape 10" descr="Wasps">
          <a:extLst>
            <a:ext uri="{FF2B5EF4-FFF2-40B4-BE49-F238E27FC236}">
              <a16:creationId xmlns:a16="http://schemas.microsoft.com/office/drawing/2014/main" id="{A9B4B37F-C0B3-43AC-AB85-4F79910AF66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7" name="AutoShape 10" descr="Wasps">
          <a:extLst>
            <a:ext uri="{FF2B5EF4-FFF2-40B4-BE49-F238E27FC236}">
              <a16:creationId xmlns:a16="http://schemas.microsoft.com/office/drawing/2014/main" id="{032397AD-6EBD-44C7-BEAD-5890258446E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8" name="AutoShape 10" descr="Wasps">
          <a:extLst>
            <a:ext uri="{FF2B5EF4-FFF2-40B4-BE49-F238E27FC236}">
              <a16:creationId xmlns:a16="http://schemas.microsoft.com/office/drawing/2014/main" id="{D4BB6011-B6BF-4F80-9EBC-B925513AB52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09" name="AutoShape 10" descr="Wasps">
          <a:extLst>
            <a:ext uri="{FF2B5EF4-FFF2-40B4-BE49-F238E27FC236}">
              <a16:creationId xmlns:a16="http://schemas.microsoft.com/office/drawing/2014/main" id="{1901FFB6-2CF3-4006-8A2B-8ECAC2816D9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0" name="AutoShape 1" descr="Bristol Bears">
          <a:extLst>
            <a:ext uri="{FF2B5EF4-FFF2-40B4-BE49-F238E27FC236}">
              <a16:creationId xmlns:a16="http://schemas.microsoft.com/office/drawing/2014/main" id="{1AF13B2D-D699-4CF0-B29A-BF164707067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10484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1" name="AutoShape 2" descr="Exeter Chiefs">
          <a:extLst>
            <a:ext uri="{FF2B5EF4-FFF2-40B4-BE49-F238E27FC236}">
              <a16:creationId xmlns:a16="http://schemas.microsoft.com/office/drawing/2014/main" id="{F6F6F37C-7AE5-4CDD-AC11-382A640AAD5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3032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2" name="AutoShape 3" descr="Harlequins">
          <a:extLst>
            <a:ext uri="{FF2B5EF4-FFF2-40B4-BE49-F238E27FC236}">
              <a16:creationId xmlns:a16="http://schemas.microsoft.com/office/drawing/2014/main" id="{96724033-166B-4D18-B7FE-893CE6B3A75A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3" name="AutoShape 4" descr="Sale Sharks">
          <a:extLst>
            <a:ext uri="{FF2B5EF4-FFF2-40B4-BE49-F238E27FC236}">
              <a16:creationId xmlns:a16="http://schemas.microsoft.com/office/drawing/2014/main" id="{E7C85028-D325-43DA-90C9-A58C87D544AD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4" name="AutoShape 5" descr="Northampton Saints">
          <a:extLst>
            <a:ext uri="{FF2B5EF4-FFF2-40B4-BE49-F238E27FC236}">
              <a16:creationId xmlns:a16="http://schemas.microsoft.com/office/drawing/2014/main" id="{6F7FCE65-2D25-4CC4-8883-AC8D6514B77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5" name="AutoShape 6" descr="London Irish">
          <a:extLst>
            <a:ext uri="{FF2B5EF4-FFF2-40B4-BE49-F238E27FC236}">
              <a16:creationId xmlns:a16="http://schemas.microsoft.com/office/drawing/2014/main" id="{EABCEB84-FAB1-477E-B9C8-D95CC08889F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34505</xdr:colOff>
      <xdr:row>0</xdr:row>
      <xdr:rowOff>0</xdr:rowOff>
    </xdr:from>
    <xdr:ext cx="304800" cy="302284"/>
    <xdr:sp macro="" textlink="">
      <xdr:nvSpPr>
        <xdr:cNvPr id="116" name="AutoShape 7" descr="Leicester Tigers">
          <a:extLst>
            <a:ext uri="{FF2B5EF4-FFF2-40B4-BE49-F238E27FC236}">
              <a16:creationId xmlns:a16="http://schemas.microsoft.com/office/drawing/2014/main" id="{26061D2D-B207-4B1C-A8C0-FAA6875F163B}"/>
            </a:ext>
          </a:extLst>
        </xdr:cNvPr>
        <xdr:cNvSpPr>
          <a:spLocks noChangeAspect="1" noChangeArrowheads="1"/>
        </xdr:cNvSpPr>
      </xdr:nvSpPr>
      <xdr:spPr bwMode="auto">
        <a:xfrm>
          <a:off x="9325154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0</xdr:row>
      <xdr:rowOff>0</xdr:rowOff>
    </xdr:from>
    <xdr:ext cx="298150" cy="302284"/>
    <xdr:sp macro="" textlink="">
      <xdr:nvSpPr>
        <xdr:cNvPr id="117" name="AutoShape 9" descr="Bath Rugby">
          <a:extLst>
            <a:ext uri="{FF2B5EF4-FFF2-40B4-BE49-F238E27FC236}">
              <a16:creationId xmlns:a16="http://schemas.microsoft.com/office/drawing/2014/main" id="{C1D2C047-0DAA-49C2-B792-C524E908474F}"/>
            </a:ext>
          </a:extLst>
        </xdr:cNvPr>
        <xdr:cNvSpPr>
          <a:spLocks noChangeAspect="1" noChangeArrowheads="1"/>
        </xdr:cNvSpPr>
      </xdr:nvSpPr>
      <xdr:spPr bwMode="auto">
        <a:xfrm>
          <a:off x="5932098" y="444440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8" name="AutoShape 1" descr="Bristol Bears">
          <a:extLst>
            <a:ext uri="{FF2B5EF4-FFF2-40B4-BE49-F238E27FC236}">
              <a16:creationId xmlns:a16="http://schemas.microsoft.com/office/drawing/2014/main" id="{C221A1D6-3D8F-466F-8089-4AF44FA1D77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19" name="AutoShape 2" descr="Exeter Chiefs">
          <a:extLst>
            <a:ext uri="{FF2B5EF4-FFF2-40B4-BE49-F238E27FC236}">
              <a16:creationId xmlns:a16="http://schemas.microsoft.com/office/drawing/2014/main" id="{5DCE9DD7-8EEC-4D24-A1CB-7DA604D0BD69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0" name="AutoShape 3" descr="Harlequins">
          <a:extLst>
            <a:ext uri="{FF2B5EF4-FFF2-40B4-BE49-F238E27FC236}">
              <a16:creationId xmlns:a16="http://schemas.microsoft.com/office/drawing/2014/main" id="{08C3D2CF-22A8-45B4-8384-ACDB83C9F467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1" name="AutoShape 4" descr="Sale Sharks">
          <a:extLst>
            <a:ext uri="{FF2B5EF4-FFF2-40B4-BE49-F238E27FC236}">
              <a16:creationId xmlns:a16="http://schemas.microsoft.com/office/drawing/2014/main" id="{FC854C29-AD42-439A-AF4C-6B8B04868A1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2" name="AutoShape 5" descr="Northampton Saints">
          <a:extLst>
            <a:ext uri="{FF2B5EF4-FFF2-40B4-BE49-F238E27FC236}">
              <a16:creationId xmlns:a16="http://schemas.microsoft.com/office/drawing/2014/main" id="{F30FA895-CB24-4E61-95F6-313B7F66BF7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3" name="AutoShape 6" descr="London Irish">
          <a:extLst>
            <a:ext uri="{FF2B5EF4-FFF2-40B4-BE49-F238E27FC236}">
              <a16:creationId xmlns:a16="http://schemas.microsoft.com/office/drawing/2014/main" id="{2D5843CB-1256-4D63-8DB9-D5E657A4091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4" name="AutoShape 7" descr="Leicester Tigers">
          <a:extLst>
            <a:ext uri="{FF2B5EF4-FFF2-40B4-BE49-F238E27FC236}">
              <a16:creationId xmlns:a16="http://schemas.microsoft.com/office/drawing/2014/main" id="{9B5FD95D-7801-4AF8-857F-0E66546D2B2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5" name="AutoShape 8" descr="Newcastle Falcons">
          <a:extLst>
            <a:ext uri="{FF2B5EF4-FFF2-40B4-BE49-F238E27FC236}">
              <a16:creationId xmlns:a16="http://schemas.microsoft.com/office/drawing/2014/main" id="{E57A94F5-0A4F-4AE3-92E3-8AFA2A8DCBEA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6" name="AutoShape 1" descr="Bristol Bears">
          <a:extLst>
            <a:ext uri="{FF2B5EF4-FFF2-40B4-BE49-F238E27FC236}">
              <a16:creationId xmlns:a16="http://schemas.microsoft.com/office/drawing/2014/main" id="{D46E8A6B-326F-4154-BC92-ED4F586E6E7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7" name="AutoShape 2" descr="Exeter Chiefs">
          <a:extLst>
            <a:ext uri="{FF2B5EF4-FFF2-40B4-BE49-F238E27FC236}">
              <a16:creationId xmlns:a16="http://schemas.microsoft.com/office/drawing/2014/main" id="{9CB38DA7-DC3F-4BA2-89BC-7E6B029C942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8" name="AutoShape 3" descr="Harlequins">
          <a:extLst>
            <a:ext uri="{FF2B5EF4-FFF2-40B4-BE49-F238E27FC236}">
              <a16:creationId xmlns:a16="http://schemas.microsoft.com/office/drawing/2014/main" id="{951C5268-6355-46F8-B1C8-5F3904BD4A5D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29" name="AutoShape 4" descr="Sale Sharks">
          <a:extLst>
            <a:ext uri="{FF2B5EF4-FFF2-40B4-BE49-F238E27FC236}">
              <a16:creationId xmlns:a16="http://schemas.microsoft.com/office/drawing/2014/main" id="{1AAF57EE-F58A-4C9D-BE9F-4F886D60349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30" name="AutoShape 5" descr="Northampton Saints">
          <a:extLst>
            <a:ext uri="{FF2B5EF4-FFF2-40B4-BE49-F238E27FC236}">
              <a16:creationId xmlns:a16="http://schemas.microsoft.com/office/drawing/2014/main" id="{55ABC2F8-2EF5-49AF-92F6-7AE593BDD75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31" name="AutoShape 6" descr="London Irish">
          <a:extLst>
            <a:ext uri="{FF2B5EF4-FFF2-40B4-BE49-F238E27FC236}">
              <a16:creationId xmlns:a16="http://schemas.microsoft.com/office/drawing/2014/main" id="{83401A59-F97A-400D-8D11-E82B583EC849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32" name="AutoShape 7" descr="Leicester Tigers">
          <a:extLst>
            <a:ext uri="{FF2B5EF4-FFF2-40B4-BE49-F238E27FC236}">
              <a16:creationId xmlns:a16="http://schemas.microsoft.com/office/drawing/2014/main" id="{3343E2AE-7293-45FE-A6A5-A31A30F2F8F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33" name="AutoShape 8" descr="Newcastle Falcons">
          <a:extLst>
            <a:ext uri="{FF2B5EF4-FFF2-40B4-BE49-F238E27FC236}">
              <a16:creationId xmlns:a16="http://schemas.microsoft.com/office/drawing/2014/main" id="{5B3414D4-32BC-4ED4-8A8B-1AF2FC9CF1E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34" name="AutoShape 10" descr="Wasps">
          <a:extLst>
            <a:ext uri="{FF2B5EF4-FFF2-40B4-BE49-F238E27FC236}">
              <a16:creationId xmlns:a16="http://schemas.microsoft.com/office/drawing/2014/main" id="{52A6CC96-6F8C-4F3F-A40C-1AE132B91312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8925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35" name="AutoShape 3" descr="Harlequins">
          <a:extLst>
            <a:ext uri="{FF2B5EF4-FFF2-40B4-BE49-F238E27FC236}">
              <a16:creationId xmlns:a16="http://schemas.microsoft.com/office/drawing/2014/main" id="{33BD3D40-42AE-46E9-87E2-A41948DB0EB6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36" name="AutoShape 4" descr="Sale Sharks">
          <a:extLst>
            <a:ext uri="{FF2B5EF4-FFF2-40B4-BE49-F238E27FC236}">
              <a16:creationId xmlns:a16="http://schemas.microsoft.com/office/drawing/2014/main" id="{8807ED80-6037-42D2-A3F6-800A259A039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37" name="AutoShape 5" descr="Northampton Saints">
          <a:extLst>
            <a:ext uri="{FF2B5EF4-FFF2-40B4-BE49-F238E27FC236}">
              <a16:creationId xmlns:a16="http://schemas.microsoft.com/office/drawing/2014/main" id="{97F0F2E2-4F00-4193-917E-FC60901D832D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38" name="AutoShape 6" descr="London Irish">
          <a:extLst>
            <a:ext uri="{FF2B5EF4-FFF2-40B4-BE49-F238E27FC236}">
              <a16:creationId xmlns:a16="http://schemas.microsoft.com/office/drawing/2014/main" id="{CC0B6FA2-4579-409C-94DA-9AEF282C63DA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39" name="AutoShape 7" descr="Leicester Tigers">
          <a:extLst>
            <a:ext uri="{FF2B5EF4-FFF2-40B4-BE49-F238E27FC236}">
              <a16:creationId xmlns:a16="http://schemas.microsoft.com/office/drawing/2014/main" id="{0B93072A-F5FB-4CD6-B38A-A1919399E92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40" name="AutoShape 8" descr="Newcastle Falcons">
          <a:extLst>
            <a:ext uri="{FF2B5EF4-FFF2-40B4-BE49-F238E27FC236}">
              <a16:creationId xmlns:a16="http://schemas.microsoft.com/office/drawing/2014/main" id="{5A26FAE7-A29B-4EE5-845E-D1ABD525E86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609600</xdr:colOff>
      <xdr:row>0</xdr:row>
      <xdr:rowOff>0</xdr:rowOff>
    </xdr:from>
    <xdr:ext cx="298150" cy="302284"/>
    <xdr:sp macro="" textlink="">
      <xdr:nvSpPr>
        <xdr:cNvPr id="141" name="AutoShape 9" descr="Bath Rugby">
          <a:extLst>
            <a:ext uri="{FF2B5EF4-FFF2-40B4-BE49-F238E27FC236}">
              <a16:creationId xmlns:a16="http://schemas.microsoft.com/office/drawing/2014/main" id="{6EDE2372-7186-41B2-95F8-C0C6508BE365}"/>
            </a:ext>
          </a:extLst>
        </xdr:cNvPr>
        <xdr:cNvSpPr>
          <a:spLocks noChangeAspect="1" noChangeArrowheads="1"/>
        </xdr:cNvSpPr>
      </xdr:nvSpPr>
      <xdr:spPr bwMode="auto">
        <a:xfrm>
          <a:off x="10762891" y="212389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138024</xdr:colOff>
      <xdr:row>0</xdr:row>
      <xdr:rowOff>0</xdr:rowOff>
    </xdr:from>
    <xdr:ext cx="304800" cy="302284"/>
    <xdr:sp macro="" textlink="">
      <xdr:nvSpPr>
        <xdr:cNvPr id="142" name="AutoShape 10" descr="Wasps">
          <a:extLst>
            <a:ext uri="{FF2B5EF4-FFF2-40B4-BE49-F238E27FC236}">
              <a16:creationId xmlns:a16="http://schemas.microsoft.com/office/drawing/2014/main" id="{045F900D-9162-4CD5-8AC6-ECC1D9D5D6FA}"/>
            </a:ext>
          </a:extLst>
        </xdr:cNvPr>
        <xdr:cNvSpPr>
          <a:spLocks noChangeAspect="1" noChangeArrowheads="1"/>
        </xdr:cNvSpPr>
      </xdr:nvSpPr>
      <xdr:spPr bwMode="auto">
        <a:xfrm>
          <a:off x="9885873" y="48998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43" name="AutoShape 1" descr="Bristol Bears">
          <a:extLst>
            <a:ext uri="{FF2B5EF4-FFF2-40B4-BE49-F238E27FC236}">
              <a16:creationId xmlns:a16="http://schemas.microsoft.com/office/drawing/2014/main" id="{19412B2D-2A83-4971-9ED4-AB627EC8C76E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44" name="AutoShape 2" descr="Exeter Chiefs">
          <a:extLst>
            <a:ext uri="{FF2B5EF4-FFF2-40B4-BE49-F238E27FC236}">
              <a16:creationId xmlns:a16="http://schemas.microsoft.com/office/drawing/2014/main" id="{AD7EA1F2-7072-4553-9816-98B81CD9174D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7000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45" name="AutoShape 3" descr="Harlequins">
          <a:extLst>
            <a:ext uri="{FF2B5EF4-FFF2-40B4-BE49-F238E27FC236}">
              <a16:creationId xmlns:a16="http://schemas.microsoft.com/office/drawing/2014/main" id="{ABABC5B5-4AA6-4A62-AB73-AA23CBD27F50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46" name="AutoShape 4" descr="Sale Sharks">
          <a:extLst>
            <a:ext uri="{FF2B5EF4-FFF2-40B4-BE49-F238E27FC236}">
              <a16:creationId xmlns:a16="http://schemas.microsoft.com/office/drawing/2014/main" id="{6B19F58A-B45D-4E2E-9B5A-F9E63C70BC91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47" name="AutoShape 5" descr="Northampton Saints">
          <a:extLst>
            <a:ext uri="{FF2B5EF4-FFF2-40B4-BE49-F238E27FC236}">
              <a16:creationId xmlns:a16="http://schemas.microsoft.com/office/drawing/2014/main" id="{21715A93-6B3D-4D4C-988E-2A60FCA0870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2866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250165</xdr:colOff>
      <xdr:row>0</xdr:row>
      <xdr:rowOff>0</xdr:rowOff>
    </xdr:from>
    <xdr:ext cx="304800" cy="302284"/>
    <xdr:sp macro="" textlink="">
      <xdr:nvSpPr>
        <xdr:cNvPr id="148" name="AutoShape 1" descr="Bristol Bears">
          <a:extLst>
            <a:ext uri="{FF2B5EF4-FFF2-40B4-BE49-F238E27FC236}">
              <a16:creationId xmlns:a16="http://schemas.microsoft.com/office/drawing/2014/main" id="{890688F9-5B05-4E8A-B225-5F61DFE24202}"/>
            </a:ext>
          </a:extLst>
        </xdr:cNvPr>
        <xdr:cNvSpPr>
          <a:spLocks noChangeAspect="1" noChangeArrowheads="1"/>
        </xdr:cNvSpPr>
      </xdr:nvSpPr>
      <xdr:spPr bwMode="auto">
        <a:xfrm>
          <a:off x="11740550" y="483941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49" name="AutoShape 3" descr="Harlequins">
          <a:extLst>
            <a:ext uri="{FF2B5EF4-FFF2-40B4-BE49-F238E27FC236}">
              <a16:creationId xmlns:a16="http://schemas.microsoft.com/office/drawing/2014/main" id="{491BC678-53A6-4245-ABA4-FDC928FFEAC7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50" name="AutoShape 4" descr="Sale Sharks">
          <a:extLst>
            <a:ext uri="{FF2B5EF4-FFF2-40B4-BE49-F238E27FC236}">
              <a16:creationId xmlns:a16="http://schemas.microsoft.com/office/drawing/2014/main" id="{9D037EB7-C233-4AEF-86E2-77B9A81F4D20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51" name="AutoShape 5" descr="Northampton Saints">
          <a:extLst>
            <a:ext uri="{FF2B5EF4-FFF2-40B4-BE49-F238E27FC236}">
              <a16:creationId xmlns:a16="http://schemas.microsoft.com/office/drawing/2014/main" id="{403EC7A2-AA23-4F00-A90A-E5F7489C6510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52" name="AutoShape 6" descr="London Irish">
          <a:extLst>
            <a:ext uri="{FF2B5EF4-FFF2-40B4-BE49-F238E27FC236}">
              <a16:creationId xmlns:a16="http://schemas.microsoft.com/office/drawing/2014/main" id="{CF19F4EC-E8AB-4811-BAA6-90BC5EA8A176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9946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153" name="AutoShape 7" descr="Leicester Tigers">
          <a:extLst>
            <a:ext uri="{FF2B5EF4-FFF2-40B4-BE49-F238E27FC236}">
              <a16:creationId xmlns:a16="http://schemas.microsoft.com/office/drawing/2014/main" id="{ECB4AED1-5B1B-4B63-B1C1-C3BFA4C407EB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5184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77638</xdr:colOff>
      <xdr:row>0</xdr:row>
      <xdr:rowOff>0</xdr:rowOff>
    </xdr:from>
    <xdr:ext cx="304800" cy="302284"/>
    <xdr:sp macro="" textlink="">
      <xdr:nvSpPr>
        <xdr:cNvPr id="154" name="AutoShape 8" descr="Newcastle Falcons">
          <a:extLst>
            <a:ext uri="{FF2B5EF4-FFF2-40B4-BE49-F238E27FC236}">
              <a16:creationId xmlns:a16="http://schemas.microsoft.com/office/drawing/2014/main" id="{9451ED89-64EE-4B5A-9768-DF0FBD6F95E8}"/>
            </a:ext>
          </a:extLst>
        </xdr:cNvPr>
        <xdr:cNvSpPr>
          <a:spLocks noChangeAspect="1" noChangeArrowheads="1"/>
        </xdr:cNvSpPr>
      </xdr:nvSpPr>
      <xdr:spPr bwMode="auto">
        <a:xfrm rot="13083694">
          <a:off x="396815" y="138022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0</xdr:row>
      <xdr:rowOff>0</xdr:rowOff>
    </xdr:from>
    <xdr:ext cx="298150" cy="302284"/>
    <xdr:sp macro="" textlink="">
      <xdr:nvSpPr>
        <xdr:cNvPr id="155" name="AutoShape 9" descr="Bath Rugby">
          <a:extLst>
            <a:ext uri="{FF2B5EF4-FFF2-40B4-BE49-F238E27FC236}">
              <a16:creationId xmlns:a16="http://schemas.microsoft.com/office/drawing/2014/main" id="{39535A65-F84F-4E0A-BEB4-48108B86D592}"/>
            </a:ext>
          </a:extLst>
        </xdr:cNvPr>
        <xdr:cNvSpPr>
          <a:spLocks noChangeAspect="1" noChangeArrowheads="1"/>
        </xdr:cNvSpPr>
      </xdr:nvSpPr>
      <xdr:spPr bwMode="auto">
        <a:xfrm>
          <a:off x="5932098" y="368527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56" name="AutoShape 10" descr="Wasps">
          <a:extLst>
            <a:ext uri="{FF2B5EF4-FFF2-40B4-BE49-F238E27FC236}">
              <a16:creationId xmlns:a16="http://schemas.microsoft.com/office/drawing/2014/main" id="{C0A9019F-1E1C-4D18-8D68-0D168380E03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57" name="AutoShape 10" descr="Wasps">
          <a:extLst>
            <a:ext uri="{FF2B5EF4-FFF2-40B4-BE49-F238E27FC236}">
              <a16:creationId xmlns:a16="http://schemas.microsoft.com/office/drawing/2014/main" id="{9A3DFD15-4917-42EF-8E45-E5EC90164B0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6662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58" name="AutoShape 10" descr="Wasps">
          <a:extLst>
            <a:ext uri="{FF2B5EF4-FFF2-40B4-BE49-F238E27FC236}">
              <a16:creationId xmlns:a16="http://schemas.microsoft.com/office/drawing/2014/main" id="{32E97B2E-35FA-4AEB-B1A5-60E0242FB73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59" name="AutoShape 10" descr="Wasps">
          <a:extLst>
            <a:ext uri="{FF2B5EF4-FFF2-40B4-BE49-F238E27FC236}">
              <a16:creationId xmlns:a16="http://schemas.microsoft.com/office/drawing/2014/main" id="{273F3370-7931-4B6A-89C1-96C7B7D08D3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0" name="AutoShape 10" descr="Wasps">
          <a:extLst>
            <a:ext uri="{FF2B5EF4-FFF2-40B4-BE49-F238E27FC236}">
              <a16:creationId xmlns:a16="http://schemas.microsoft.com/office/drawing/2014/main" id="{FB09823B-4B87-4082-84BC-A92D15B98507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0</xdr:row>
      <xdr:rowOff>0</xdr:rowOff>
    </xdr:from>
    <xdr:ext cx="304800" cy="302284"/>
    <xdr:sp macro="" textlink="">
      <xdr:nvSpPr>
        <xdr:cNvPr id="161" name="AutoShape 10" descr="Wasps">
          <a:extLst>
            <a:ext uri="{FF2B5EF4-FFF2-40B4-BE49-F238E27FC236}">
              <a16:creationId xmlns:a16="http://schemas.microsoft.com/office/drawing/2014/main" id="{BA2482FF-DC47-47E3-B243-7098080B20EC}"/>
            </a:ext>
          </a:extLst>
        </xdr:cNvPr>
        <xdr:cNvSpPr>
          <a:spLocks noChangeAspect="1" noChangeArrowheads="1"/>
        </xdr:cNvSpPr>
      </xdr:nvSpPr>
      <xdr:spPr bwMode="auto">
        <a:xfrm>
          <a:off x="5995359" y="412342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2" name="AutoShape 10" descr="Wasps">
          <a:extLst>
            <a:ext uri="{FF2B5EF4-FFF2-40B4-BE49-F238E27FC236}">
              <a16:creationId xmlns:a16="http://schemas.microsoft.com/office/drawing/2014/main" id="{866EC033-8F9F-49C9-B390-F190BA06693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3" name="AutoShape 10" descr="Wasps">
          <a:extLst>
            <a:ext uri="{FF2B5EF4-FFF2-40B4-BE49-F238E27FC236}">
              <a16:creationId xmlns:a16="http://schemas.microsoft.com/office/drawing/2014/main" id="{2BDDED7C-31D5-4D9E-B22A-43AF6C5CF77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4" name="AutoShape 10" descr="Wasps">
          <a:extLst>
            <a:ext uri="{FF2B5EF4-FFF2-40B4-BE49-F238E27FC236}">
              <a16:creationId xmlns:a16="http://schemas.microsoft.com/office/drawing/2014/main" id="{CE27D7A5-7252-4D86-AE12-588781D72DCA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5" name="AutoShape 10" descr="Wasps">
          <a:extLst>
            <a:ext uri="{FF2B5EF4-FFF2-40B4-BE49-F238E27FC236}">
              <a16:creationId xmlns:a16="http://schemas.microsoft.com/office/drawing/2014/main" id="{517D67E6-3E8E-4693-AE4D-6C41820A7B1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6" name="AutoShape 10" descr="Wasps">
          <a:extLst>
            <a:ext uri="{FF2B5EF4-FFF2-40B4-BE49-F238E27FC236}">
              <a16:creationId xmlns:a16="http://schemas.microsoft.com/office/drawing/2014/main" id="{9E852F30-4958-4D88-AC20-71FBEC70B16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7" name="AutoShape 10" descr="Wasps">
          <a:extLst>
            <a:ext uri="{FF2B5EF4-FFF2-40B4-BE49-F238E27FC236}">
              <a16:creationId xmlns:a16="http://schemas.microsoft.com/office/drawing/2014/main" id="{557FCE5B-F0C5-4231-AFB6-8B8317E8512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8" name="AutoShape 10" descr="Wasps">
          <a:extLst>
            <a:ext uri="{FF2B5EF4-FFF2-40B4-BE49-F238E27FC236}">
              <a16:creationId xmlns:a16="http://schemas.microsoft.com/office/drawing/2014/main" id="{B2428BE0-762A-4BD6-97A7-4831291A21F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69" name="AutoShape 10" descr="Wasps">
          <a:extLst>
            <a:ext uri="{FF2B5EF4-FFF2-40B4-BE49-F238E27FC236}">
              <a16:creationId xmlns:a16="http://schemas.microsoft.com/office/drawing/2014/main" id="{45B2F232-D9D2-4B0D-B22D-B605ACDB999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615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0" name="AutoShape 10" descr="Wasps">
          <a:extLst>
            <a:ext uri="{FF2B5EF4-FFF2-40B4-BE49-F238E27FC236}">
              <a16:creationId xmlns:a16="http://schemas.microsoft.com/office/drawing/2014/main" id="{D3B08DA3-58D5-42B6-9320-D3A89804425D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1" name="AutoShape 10" descr="Wasps">
          <a:extLst>
            <a:ext uri="{FF2B5EF4-FFF2-40B4-BE49-F238E27FC236}">
              <a16:creationId xmlns:a16="http://schemas.microsoft.com/office/drawing/2014/main" id="{B7C98939-E461-4412-BF38-EC459CF54FE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8049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2" name="AutoShape 1" descr="Bristol Bears">
          <a:extLst>
            <a:ext uri="{FF2B5EF4-FFF2-40B4-BE49-F238E27FC236}">
              <a16:creationId xmlns:a16="http://schemas.microsoft.com/office/drawing/2014/main" id="{ECCC7B87-C09D-412A-AE45-FE087F095FD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38560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3" name="AutoShape 2" descr="Exeter Chiefs">
          <a:extLst>
            <a:ext uri="{FF2B5EF4-FFF2-40B4-BE49-F238E27FC236}">
              <a16:creationId xmlns:a16="http://schemas.microsoft.com/office/drawing/2014/main" id="{0D231B47-62D1-4E02-A165-D2E32B63A5E7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4" name="AutoShape 3" descr="Harlequins">
          <a:extLst>
            <a:ext uri="{FF2B5EF4-FFF2-40B4-BE49-F238E27FC236}">
              <a16:creationId xmlns:a16="http://schemas.microsoft.com/office/drawing/2014/main" id="{BE51704A-B5B3-490B-9B39-FAA3B330C6F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42355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5" name="AutoShape 10" descr="Wasps">
          <a:extLst>
            <a:ext uri="{FF2B5EF4-FFF2-40B4-BE49-F238E27FC236}">
              <a16:creationId xmlns:a16="http://schemas.microsoft.com/office/drawing/2014/main" id="{98CF4D35-F5EC-4224-A15A-D1B8E760FF0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6" name="AutoShape 10" descr="Wasps">
          <a:extLst>
            <a:ext uri="{FF2B5EF4-FFF2-40B4-BE49-F238E27FC236}">
              <a16:creationId xmlns:a16="http://schemas.microsoft.com/office/drawing/2014/main" id="{A100ECC5-B2D5-4450-B772-B3A9E412A0D5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7" name="AutoShape 10" descr="Wasps">
          <a:extLst>
            <a:ext uri="{FF2B5EF4-FFF2-40B4-BE49-F238E27FC236}">
              <a16:creationId xmlns:a16="http://schemas.microsoft.com/office/drawing/2014/main" id="{1104197B-738C-47BF-99C8-CA1D3B9DBBC7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8" name="AutoShape 10" descr="Wasps">
          <a:extLst>
            <a:ext uri="{FF2B5EF4-FFF2-40B4-BE49-F238E27FC236}">
              <a16:creationId xmlns:a16="http://schemas.microsoft.com/office/drawing/2014/main" id="{8F7488D8-314A-46D6-BE79-77165F6B0D5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79" name="AutoShape 10" descr="Wasps">
          <a:extLst>
            <a:ext uri="{FF2B5EF4-FFF2-40B4-BE49-F238E27FC236}">
              <a16:creationId xmlns:a16="http://schemas.microsoft.com/office/drawing/2014/main" id="{2442E949-5313-4B17-8D12-C4F3B5FF7B8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0" name="AutoShape 10" descr="Wasps">
          <a:extLst>
            <a:ext uri="{FF2B5EF4-FFF2-40B4-BE49-F238E27FC236}">
              <a16:creationId xmlns:a16="http://schemas.microsoft.com/office/drawing/2014/main" id="{7DFE086A-E039-451D-AB94-3CAA6DEB835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1" name="AutoShape 10" descr="Wasps">
          <a:extLst>
            <a:ext uri="{FF2B5EF4-FFF2-40B4-BE49-F238E27FC236}">
              <a16:creationId xmlns:a16="http://schemas.microsoft.com/office/drawing/2014/main" id="{D7B0AEB4-37CB-421D-8370-6E8466D65AE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2" name="AutoShape 10" descr="Wasps">
          <a:extLst>
            <a:ext uri="{FF2B5EF4-FFF2-40B4-BE49-F238E27FC236}">
              <a16:creationId xmlns:a16="http://schemas.microsoft.com/office/drawing/2014/main" id="{E2E238D3-14EB-4F68-A57C-B546EFD8C837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3" name="AutoShape 10" descr="Wasps">
          <a:extLst>
            <a:ext uri="{FF2B5EF4-FFF2-40B4-BE49-F238E27FC236}">
              <a16:creationId xmlns:a16="http://schemas.microsoft.com/office/drawing/2014/main" id="{2EE58F73-A874-4CF8-8A0F-8E36FE9FDA3B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4" name="AutoShape 10" descr="Wasps">
          <a:extLst>
            <a:ext uri="{FF2B5EF4-FFF2-40B4-BE49-F238E27FC236}">
              <a16:creationId xmlns:a16="http://schemas.microsoft.com/office/drawing/2014/main" id="{205A71D0-8695-4CF1-877E-92F2B80E939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5" name="AutoShape 10" descr="Wasps">
          <a:extLst>
            <a:ext uri="{FF2B5EF4-FFF2-40B4-BE49-F238E27FC236}">
              <a16:creationId xmlns:a16="http://schemas.microsoft.com/office/drawing/2014/main" id="{D0CE652A-9331-4D5A-81AD-3EAEF6F57AD2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6" name="AutoShape 10" descr="Wasps">
          <a:extLst>
            <a:ext uri="{FF2B5EF4-FFF2-40B4-BE49-F238E27FC236}">
              <a16:creationId xmlns:a16="http://schemas.microsoft.com/office/drawing/2014/main" id="{2D0F06AB-B5D6-4F10-94E7-249BA3A06A4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7" name="AutoShape 10" descr="Wasps">
          <a:extLst>
            <a:ext uri="{FF2B5EF4-FFF2-40B4-BE49-F238E27FC236}">
              <a16:creationId xmlns:a16="http://schemas.microsoft.com/office/drawing/2014/main" id="{FDE68E6C-1149-4619-B4B1-FC251830B14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8" name="AutoShape 10" descr="Wasps">
          <a:extLst>
            <a:ext uri="{FF2B5EF4-FFF2-40B4-BE49-F238E27FC236}">
              <a16:creationId xmlns:a16="http://schemas.microsoft.com/office/drawing/2014/main" id="{DD61B26C-E013-434C-B1BB-8BFFBB88B2F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89" name="AutoShape 10" descr="Wasps">
          <a:extLst>
            <a:ext uri="{FF2B5EF4-FFF2-40B4-BE49-F238E27FC236}">
              <a16:creationId xmlns:a16="http://schemas.microsoft.com/office/drawing/2014/main" id="{4ECCFE7A-BE97-4320-8003-D6BABF9D87B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0" name="AutoShape 10" descr="Wasps">
          <a:extLst>
            <a:ext uri="{FF2B5EF4-FFF2-40B4-BE49-F238E27FC236}">
              <a16:creationId xmlns:a16="http://schemas.microsoft.com/office/drawing/2014/main" id="{3BD77DA2-82B9-48A5-99A2-0EEF992BC8D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0</xdr:row>
      <xdr:rowOff>0</xdr:rowOff>
    </xdr:from>
    <xdr:ext cx="298150" cy="302284"/>
    <xdr:sp macro="" textlink="">
      <xdr:nvSpPr>
        <xdr:cNvPr id="191" name="AutoShape 9" descr="Bath Rugby">
          <a:extLst>
            <a:ext uri="{FF2B5EF4-FFF2-40B4-BE49-F238E27FC236}">
              <a16:creationId xmlns:a16="http://schemas.microsoft.com/office/drawing/2014/main" id="{682F1A79-61A8-4347-9824-FDA5BC10EA41}"/>
            </a:ext>
          </a:extLst>
        </xdr:cNvPr>
        <xdr:cNvSpPr>
          <a:spLocks noChangeAspect="1" noChangeArrowheads="1"/>
        </xdr:cNvSpPr>
      </xdr:nvSpPr>
      <xdr:spPr bwMode="auto">
        <a:xfrm>
          <a:off x="5932098" y="634221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2" name="AutoShape 1" descr="Bristol Bears">
          <a:extLst>
            <a:ext uri="{FF2B5EF4-FFF2-40B4-BE49-F238E27FC236}">
              <a16:creationId xmlns:a16="http://schemas.microsoft.com/office/drawing/2014/main" id="{5CA29B88-A19A-4846-A402-8652E7839661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3" name="AutoShape 2" descr="Exeter Chiefs">
          <a:extLst>
            <a:ext uri="{FF2B5EF4-FFF2-40B4-BE49-F238E27FC236}">
              <a16:creationId xmlns:a16="http://schemas.microsoft.com/office/drawing/2014/main" id="{908F8923-B635-4F46-B7E9-B339816B834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4" name="AutoShape 3" descr="Harlequins">
          <a:extLst>
            <a:ext uri="{FF2B5EF4-FFF2-40B4-BE49-F238E27FC236}">
              <a16:creationId xmlns:a16="http://schemas.microsoft.com/office/drawing/2014/main" id="{A1C8D67B-947B-4504-8B69-2AE9D76B52BD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5" name="AutoShape 4" descr="Sale Sharks">
          <a:extLst>
            <a:ext uri="{FF2B5EF4-FFF2-40B4-BE49-F238E27FC236}">
              <a16:creationId xmlns:a16="http://schemas.microsoft.com/office/drawing/2014/main" id="{A295B932-32C7-4005-B503-538E8BA25412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6" name="AutoShape 5" descr="Northampton Saints">
          <a:extLst>
            <a:ext uri="{FF2B5EF4-FFF2-40B4-BE49-F238E27FC236}">
              <a16:creationId xmlns:a16="http://schemas.microsoft.com/office/drawing/2014/main" id="{4E89ED99-8189-4599-A8DF-F94824D4D422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7" name="AutoShape 6" descr="London Irish">
          <a:extLst>
            <a:ext uri="{FF2B5EF4-FFF2-40B4-BE49-F238E27FC236}">
              <a16:creationId xmlns:a16="http://schemas.microsoft.com/office/drawing/2014/main" id="{3B693CF0-BD05-4B76-8E0E-5654962A6CA9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609600</xdr:colOff>
      <xdr:row>0</xdr:row>
      <xdr:rowOff>0</xdr:rowOff>
    </xdr:from>
    <xdr:ext cx="298150" cy="302284"/>
    <xdr:sp macro="" textlink="">
      <xdr:nvSpPr>
        <xdr:cNvPr id="198" name="AutoShape 9" descr="Bath Rugby">
          <a:extLst>
            <a:ext uri="{FF2B5EF4-FFF2-40B4-BE49-F238E27FC236}">
              <a16:creationId xmlns:a16="http://schemas.microsoft.com/office/drawing/2014/main" id="{49810823-1F2F-4BC3-9B3C-36629169779F}"/>
            </a:ext>
          </a:extLst>
        </xdr:cNvPr>
        <xdr:cNvSpPr>
          <a:spLocks noChangeAspect="1" noChangeArrowheads="1"/>
        </xdr:cNvSpPr>
      </xdr:nvSpPr>
      <xdr:spPr bwMode="auto">
        <a:xfrm>
          <a:off x="5932098" y="5583088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199" name="AutoShape 10" descr="Wasps">
          <a:extLst>
            <a:ext uri="{FF2B5EF4-FFF2-40B4-BE49-F238E27FC236}">
              <a16:creationId xmlns:a16="http://schemas.microsoft.com/office/drawing/2014/main" id="{7E982045-5CD1-4E7C-8795-6485CA0C6C8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0" name="AutoShape 10" descr="Wasps">
          <a:extLst>
            <a:ext uri="{FF2B5EF4-FFF2-40B4-BE49-F238E27FC236}">
              <a16:creationId xmlns:a16="http://schemas.microsoft.com/office/drawing/2014/main" id="{1BF5C5E7-4BA8-4805-85DA-0802743EB7B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564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1" name="AutoShape 10" descr="Wasps">
          <a:extLst>
            <a:ext uri="{FF2B5EF4-FFF2-40B4-BE49-F238E27FC236}">
              <a16:creationId xmlns:a16="http://schemas.microsoft.com/office/drawing/2014/main" id="{627E8D08-2EF1-4685-915D-0FADE3AF0F6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2" name="AutoShape 10" descr="Wasps">
          <a:extLst>
            <a:ext uri="{FF2B5EF4-FFF2-40B4-BE49-F238E27FC236}">
              <a16:creationId xmlns:a16="http://schemas.microsoft.com/office/drawing/2014/main" id="{485C8484-CD4A-4EA5-827F-01AD56AE383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3" name="AutoShape 10" descr="Wasps">
          <a:extLst>
            <a:ext uri="{FF2B5EF4-FFF2-40B4-BE49-F238E27FC236}">
              <a16:creationId xmlns:a16="http://schemas.microsoft.com/office/drawing/2014/main" id="{A3CFB076-46A0-4A2C-BF7F-D30D74D357C4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60385</xdr:colOff>
      <xdr:row>0</xdr:row>
      <xdr:rowOff>0</xdr:rowOff>
    </xdr:from>
    <xdr:ext cx="304800" cy="302284"/>
    <xdr:sp macro="" textlink="">
      <xdr:nvSpPr>
        <xdr:cNvPr id="204" name="AutoShape 10" descr="Wasps">
          <a:extLst>
            <a:ext uri="{FF2B5EF4-FFF2-40B4-BE49-F238E27FC236}">
              <a16:creationId xmlns:a16="http://schemas.microsoft.com/office/drawing/2014/main" id="{670F9AA2-5E80-4F6F-8511-BD0958F9EB73}"/>
            </a:ext>
          </a:extLst>
        </xdr:cNvPr>
        <xdr:cNvSpPr>
          <a:spLocks noChangeAspect="1" noChangeArrowheads="1"/>
        </xdr:cNvSpPr>
      </xdr:nvSpPr>
      <xdr:spPr bwMode="auto">
        <a:xfrm>
          <a:off x="5995359" y="60212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5" name="AutoShape 10" descr="Wasps">
          <a:extLst>
            <a:ext uri="{FF2B5EF4-FFF2-40B4-BE49-F238E27FC236}">
              <a16:creationId xmlns:a16="http://schemas.microsoft.com/office/drawing/2014/main" id="{2FA7034C-46CF-4E39-A2AC-C6AA3FFDE39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6" name="AutoShape 10" descr="Wasps">
          <a:extLst>
            <a:ext uri="{FF2B5EF4-FFF2-40B4-BE49-F238E27FC236}">
              <a16:creationId xmlns:a16="http://schemas.microsoft.com/office/drawing/2014/main" id="{E074D4F2-D0BF-4A80-ABC0-DB294FA6622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7" name="AutoShape 10" descr="Wasps">
          <a:extLst>
            <a:ext uri="{FF2B5EF4-FFF2-40B4-BE49-F238E27FC236}">
              <a16:creationId xmlns:a16="http://schemas.microsoft.com/office/drawing/2014/main" id="{4FEEBD0B-1D06-4E9E-9499-1BE1558C04F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8" name="AutoShape 10" descr="Wasps">
          <a:extLst>
            <a:ext uri="{FF2B5EF4-FFF2-40B4-BE49-F238E27FC236}">
              <a16:creationId xmlns:a16="http://schemas.microsoft.com/office/drawing/2014/main" id="{7446A213-CF13-4121-A45E-71FFBFEF4D9E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09" name="AutoShape 10" descr="Wasps">
          <a:extLst>
            <a:ext uri="{FF2B5EF4-FFF2-40B4-BE49-F238E27FC236}">
              <a16:creationId xmlns:a16="http://schemas.microsoft.com/office/drawing/2014/main" id="{BB10E060-8404-4182-BDDE-D30CDDAAB1DF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0" name="AutoShape 10" descr="Wasps">
          <a:extLst>
            <a:ext uri="{FF2B5EF4-FFF2-40B4-BE49-F238E27FC236}">
              <a16:creationId xmlns:a16="http://schemas.microsoft.com/office/drawing/2014/main" id="{ECD868E2-AE11-4088-99B3-1EBD390A4197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1" name="AutoShape 10" descr="Wasps">
          <a:extLst>
            <a:ext uri="{FF2B5EF4-FFF2-40B4-BE49-F238E27FC236}">
              <a16:creationId xmlns:a16="http://schemas.microsoft.com/office/drawing/2014/main" id="{7724D357-5534-4220-B69C-74C15A03FDE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2" name="AutoShape 10" descr="Wasps">
          <a:extLst>
            <a:ext uri="{FF2B5EF4-FFF2-40B4-BE49-F238E27FC236}">
              <a16:creationId xmlns:a16="http://schemas.microsoft.com/office/drawing/2014/main" id="{BAB77D58-F59A-4D31-87FD-5FB21B6819F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3" name="AutoShape 10" descr="Wasps">
          <a:extLst>
            <a:ext uri="{FF2B5EF4-FFF2-40B4-BE49-F238E27FC236}">
              <a16:creationId xmlns:a16="http://schemas.microsoft.com/office/drawing/2014/main" id="{193912B8-693F-4085-8295-9412B9964FD6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4" name="AutoShape 10" descr="Wasps">
          <a:extLst>
            <a:ext uri="{FF2B5EF4-FFF2-40B4-BE49-F238E27FC236}">
              <a16:creationId xmlns:a16="http://schemas.microsoft.com/office/drawing/2014/main" id="{C4F49DE3-71C8-4744-91A6-B0B8981F8FE9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5" name="AutoShape 1" descr="Bristol Bears">
          <a:extLst>
            <a:ext uri="{FF2B5EF4-FFF2-40B4-BE49-F238E27FC236}">
              <a16:creationId xmlns:a16="http://schemas.microsoft.com/office/drawing/2014/main" id="{A1C68756-20F3-47A5-A364-3022607F0B78}"/>
            </a:ext>
          </a:extLst>
        </xdr:cNvPr>
        <xdr:cNvSpPr>
          <a:spLocks noChangeAspect="1" noChangeArrowheads="1"/>
        </xdr:cNvSpPr>
      </xdr:nvSpPr>
      <xdr:spPr bwMode="auto">
        <a:xfrm>
          <a:off x="5934974" y="57538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1258</xdr:colOff>
      <xdr:row>0</xdr:row>
      <xdr:rowOff>0</xdr:rowOff>
    </xdr:from>
    <xdr:ext cx="302284" cy="304800"/>
    <xdr:sp macro="" textlink="">
      <xdr:nvSpPr>
        <xdr:cNvPr id="216" name="AutoShape 2" descr="Exeter Chiefs">
          <a:extLst>
            <a:ext uri="{FF2B5EF4-FFF2-40B4-BE49-F238E27FC236}">
              <a16:creationId xmlns:a16="http://schemas.microsoft.com/office/drawing/2014/main" id="{C76B0C00-6ABB-4212-9137-7E459DF65AA4}"/>
            </a:ext>
          </a:extLst>
        </xdr:cNvPr>
        <xdr:cNvSpPr>
          <a:spLocks noChangeAspect="1" noChangeArrowheads="1"/>
        </xdr:cNvSpPr>
      </xdr:nvSpPr>
      <xdr:spPr bwMode="auto">
        <a:xfrm rot="16200000">
          <a:off x="5934974" y="59436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7" name="AutoShape 3" descr="Harlequins">
          <a:extLst>
            <a:ext uri="{FF2B5EF4-FFF2-40B4-BE49-F238E27FC236}">
              <a16:creationId xmlns:a16="http://schemas.microsoft.com/office/drawing/2014/main" id="{9C96058F-CAC7-4BCA-9F8D-524D80EBE050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1333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8" name="AutoShape 4" descr="Sale Sharks">
          <a:extLst>
            <a:ext uri="{FF2B5EF4-FFF2-40B4-BE49-F238E27FC236}">
              <a16:creationId xmlns:a16="http://schemas.microsoft.com/office/drawing/2014/main" id="{BC35D8FC-8061-4A9D-BB40-490D6F1D7E43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3231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19" name="AutoShape 5" descr="Northampton Saints">
          <a:extLst>
            <a:ext uri="{FF2B5EF4-FFF2-40B4-BE49-F238E27FC236}">
              <a16:creationId xmlns:a16="http://schemas.microsoft.com/office/drawing/2014/main" id="{27919218-7CF1-4917-A917-9975E7C02B1D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512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20" name="AutoShape 6" descr="London Irish">
          <a:extLst>
            <a:ext uri="{FF2B5EF4-FFF2-40B4-BE49-F238E27FC236}">
              <a16:creationId xmlns:a16="http://schemas.microsoft.com/office/drawing/2014/main" id="{AED012A5-15D3-4B85-955B-D5F247C6A67C}"/>
            </a:ext>
          </a:extLst>
        </xdr:cNvPr>
        <xdr:cNvSpPr>
          <a:spLocks noChangeAspect="1" noChangeArrowheads="1"/>
        </xdr:cNvSpPr>
      </xdr:nvSpPr>
      <xdr:spPr bwMode="auto">
        <a:xfrm>
          <a:off x="5934974" y="67027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21" name="AutoShape 1" descr="Bristol Bears">
          <a:extLst>
            <a:ext uri="{FF2B5EF4-FFF2-40B4-BE49-F238E27FC236}">
              <a16:creationId xmlns:a16="http://schemas.microsoft.com/office/drawing/2014/main" id="{0FBC7EEF-A037-409A-89EA-4D2153EC4198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0</xdr:row>
      <xdr:rowOff>0</xdr:rowOff>
    </xdr:from>
    <xdr:ext cx="304800" cy="302284"/>
    <xdr:sp macro="" textlink="">
      <xdr:nvSpPr>
        <xdr:cNvPr id="222" name="AutoShape 2" descr="Exeter Chiefs">
          <a:extLst>
            <a:ext uri="{FF2B5EF4-FFF2-40B4-BE49-F238E27FC236}">
              <a16:creationId xmlns:a16="http://schemas.microsoft.com/office/drawing/2014/main" id="{5D457C43-F570-4266-AD03-8F0B3723CB9C}"/>
            </a:ext>
          </a:extLst>
        </xdr:cNvPr>
        <xdr:cNvSpPr>
          <a:spLocks noChangeAspect="1" noChangeArrowheads="1"/>
        </xdr:cNvSpPr>
      </xdr:nvSpPr>
      <xdr:spPr bwMode="auto">
        <a:xfrm>
          <a:off x="10800272" y="87989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23" name="AutoShape 3" descr="Harlequins">
          <a:extLst>
            <a:ext uri="{FF2B5EF4-FFF2-40B4-BE49-F238E27FC236}">
              <a16:creationId xmlns:a16="http://schemas.microsoft.com/office/drawing/2014/main" id="{280E75F0-248C-4FC7-93EE-C1EA45ABBB28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24" name="AutoShape 4" descr="Sale Sharks">
          <a:extLst>
            <a:ext uri="{FF2B5EF4-FFF2-40B4-BE49-F238E27FC236}">
              <a16:creationId xmlns:a16="http://schemas.microsoft.com/office/drawing/2014/main" id="{16309D7B-6657-4FFE-BC5B-FEA42F8978B3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25" name="AutoShape 5" descr="Northampton Saints">
          <a:extLst>
            <a:ext uri="{FF2B5EF4-FFF2-40B4-BE49-F238E27FC236}">
              <a16:creationId xmlns:a16="http://schemas.microsoft.com/office/drawing/2014/main" id="{4408AEBB-FCC3-4710-A3A4-340C21222144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26" name="AutoShape 1" descr="Bristol Bears">
          <a:extLst>
            <a:ext uri="{FF2B5EF4-FFF2-40B4-BE49-F238E27FC236}">
              <a16:creationId xmlns:a16="http://schemas.microsoft.com/office/drawing/2014/main" id="{FCB54968-837B-4C1C-B497-2A76ACF6AB3B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5016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0</xdr:row>
      <xdr:rowOff>0</xdr:rowOff>
    </xdr:from>
    <xdr:ext cx="304800" cy="302284"/>
    <xdr:sp macro="" textlink="">
      <xdr:nvSpPr>
        <xdr:cNvPr id="227" name="AutoShape 2" descr="Exeter Chiefs">
          <a:extLst>
            <a:ext uri="{FF2B5EF4-FFF2-40B4-BE49-F238E27FC236}">
              <a16:creationId xmlns:a16="http://schemas.microsoft.com/office/drawing/2014/main" id="{B58AC54E-9A5D-4AE4-B16E-6B842E88735B}"/>
            </a:ext>
          </a:extLst>
        </xdr:cNvPr>
        <xdr:cNvSpPr>
          <a:spLocks noChangeAspect="1" noChangeArrowheads="1"/>
        </xdr:cNvSpPr>
      </xdr:nvSpPr>
      <xdr:spPr bwMode="auto">
        <a:xfrm>
          <a:off x="10800272" y="2820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28" name="AutoShape 3" descr="Harlequins">
          <a:extLst>
            <a:ext uri="{FF2B5EF4-FFF2-40B4-BE49-F238E27FC236}">
              <a16:creationId xmlns:a16="http://schemas.microsoft.com/office/drawing/2014/main" id="{BEB52754-A42D-4B8F-807C-815F62E7FFD1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28984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29" name="AutoShape 4" descr="Sale Sharks">
          <a:extLst>
            <a:ext uri="{FF2B5EF4-FFF2-40B4-BE49-F238E27FC236}">
              <a16:creationId xmlns:a16="http://schemas.microsoft.com/office/drawing/2014/main" id="{9A8700CA-59AA-41B2-AF4F-2A7386679E57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3096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569344</xdr:colOff>
      <xdr:row>0</xdr:row>
      <xdr:rowOff>0</xdr:rowOff>
    </xdr:from>
    <xdr:ext cx="304800" cy="302284"/>
    <xdr:sp macro="" textlink="">
      <xdr:nvSpPr>
        <xdr:cNvPr id="230" name="AutoShape 5" descr="Northampton Saints">
          <a:extLst>
            <a:ext uri="{FF2B5EF4-FFF2-40B4-BE49-F238E27FC236}">
              <a16:creationId xmlns:a16="http://schemas.microsoft.com/office/drawing/2014/main" id="{A02B7CCB-D9BD-4E7B-A68A-91A602D64171}"/>
            </a:ext>
          </a:extLst>
        </xdr:cNvPr>
        <xdr:cNvSpPr>
          <a:spLocks noChangeAspect="1" noChangeArrowheads="1"/>
        </xdr:cNvSpPr>
      </xdr:nvSpPr>
      <xdr:spPr bwMode="auto">
        <a:xfrm>
          <a:off x="16165902" y="28122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31" name="AutoShape 1" descr="Bristol Bears">
          <a:extLst>
            <a:ext uri="{FF2B5EF4-FFF2-40B4-BE49-F238E27FC236}">
              <a16:creationId xmlns:a16="http://schemas.microsoft.com/office/drawing/2014/main" id="{FAE73FF2-C7E9-40BA-8498-C31ADFDF4BAD}"/>
            </a:ext>
          </a:extLst>
        </xdr:cNvPr>
        <xdr:cNvSpPr>
          <a:spLocks noChangeAspect="1" noChangeArrowheads="1"/>
        </xdr:cNvSpPr>
      </xdr:nvSpPr>
      <xdr:spPr bwMode="auto">
        <a:xfrm>
          <a:off x="10765766" y="40457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1258</xdr:colOff>
      <xdr:row>0</xdr:row>
      <xdr:rowOff>0</xdr:rowOff>
    </xdr:from>
    <xdr:ext cx="302284" cy="304800"/>
    <xdr:sp macro="" textlink="">
      <xdr:nvSpPr>
        <xdr:cNvPr id="232" name="AutoShape 3" descr="Harlequins">
          <a:extLst>
            <a:ext uri="{FF2B5EF4-FFF2-40B4-BE49-F238E27FC236}">
              <a16:creationId xmlns:a16="http://schemas.microsoft.com/office/drawing/2014/main" id="{2D4F6FE3-A399-4ACE-A67F-BA88DF1BAD4F}"/>
            </a:ext>
          </a:extLst>
        </xdr:cNvPr>
        <xdr:cNvSpPr>
          <a:spLocks noChangeAspect="1" noChangeArrowheads="1"/>
        </xdr:cNvSpPr>
      </xdr:nvSpPr>
      <xdr:spPr bwMode="auto">
        <a:xfrm rot="14539737">
          <a:off x="10765766" y="44253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5"/>
    <xdr:sp macro="" textlink="">
      <xdr:nvSpPr>
        <xdr:cNvPr id="233" name="AutoShape 1" descr="Bristol Bears">
          <a:extLst>
            <a:ext uri="{FF2B5EF4-FFF2-40B4-BE49-F238E27FC236}">
              <a16:creationId xmlns:a16="http://schemas.microsoft.com/office/drawing/2014/main" id="{3818F4FB-6838-4859-834A-5FC7F21F5780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34506</xdr:colOff>
      <xdr:row>0</xdr:row>
      <xdr:rowOff>0</xdr:rowOff>
    </xdr:from>
    <xdr:ext cx="304800" cy="302284"/>
    <xdr:sp macro="" textlink="">
      <xdr:nvSpPr>
        <xdr:cNvPr id="234" name="AutoShape 2" descr="Exeter Chiefs">
          <a:extLst>
            <a:ext uri="{FF2B5EF4-FFF2-40B4-BE49-F238E27FC236}">
              <a16:creationId xmlns:a16="http://schemas.microsoft.com/office/drawing/2014/main" id="{9BA890CE-85A4-4D92-939A-97C37C5BFED3}"/>
            </a:ext>
          </a:extLst>
        </xdr:cNvPr>
        <xdr:cNvSpPr>
          <a:spLocks noChangeAspect="1" noChangeArrowheads="1"/>
        </xdr:cNvSpPr>
      </xdr:nvSpPr>
      <xdr:spPr bwMode="auto">
        <a:xfrm>
          <a:off x="5693434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35" name="AutoShape 3" descr="Harlequins">
          <a:extLst>
            <a:ext uri="{FF2B5EF4-FFF2-40B4-BE49-F238E27FC236}">
              <a16:creationId xmlns:a16="http://schemas.microsoft.com/office/drawing/2014/main" id="{2376C88B-ECD1-44FA-A3A1-3829EA800B4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10911"/>
    <xdr:sp macro="" textlink="">
      <xdr:nvSpPr>
        <xdr:cNvPr id="236" name="AutoShape 4" descr="Sale Sharks">
          <a:extLst>
            <a:ext uri="{FF2B5EF4-FFF2-40B4-BE49-F238E27FC236}">
              <a16:creationId xmlns:a16="http://schemas.microsoft.com/office/drawing/2014/main" id="{713D7423-7649-4B89-8F4D-699720D31F1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5"/>
    <xdr:sp macro="" textlink="">
      <xdr:nvSpPr>
        <xdr:cNvPr id="237" name="AutoShape 1" descr="Bristol Bears">
          <a:extLst>
            <a:ext uri="{FF2B5EF4-FFF2-40B4-BE49-F238E27FC236}">
              <a16:creationId xmlns:a16="http://schemas.microsoft.com/office/drawing/2014/main" id="{8C268334-E49C-43E2-904D-A9C60F50B1D5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34506</xdr:colOff>
      <xdr:row>0</xdr:row>
      <xdr:rowOff>0</xdr:rowOff>
    </xdr:from>
    <xdr:ext cx="304800" cy="302284"/>
    <xdr:sp macro="" textlink="">
      <xdr:nvSpPr>
        <xdr:cNvPr id="238" name="AutoShape 2" descr="Exeter Chiefs">
          <a:extLst>
            <a:ext uri="{FF2B5EF4-FFF2-40B4-BE49-F238E27FC236}">
              <a16:creationId xmlns:a16="http://schemas.microsoft.com/office/drawing/2014/main" id="{887D255D-D96D-4774-8322-D90C2513F2B7}"/>
            </a:ext>
          </a:extLst>
        </xdr:cNvPr>
        <xdr:cNvSpPr>
          <a:spLocks noChangeAspect="1" noChangeArrowheads="1"/>
        </xdr:cNvSpPr>
      </xdr:nvSpPr>
      <xdr:spPr bwMode="auto">
        <a:xfrm>
          <a:off x="5693434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39" name="AutoShape 3" descr="Harlequins">
          <a:extLst>
            <a:ext uri="{FF2B5EF4-FFF2-40B4-BE49-F238E27FC236}">
              <a16:creationId xmlns:a16="http://schemas.microsoft.com/office/drawing/2014/main" id="{FCAE0352-59AC-4CE8-AEA5-F15C6C8B0B51}"/>
            </a:ext>
          </a:extLst>
        </xdr:cNvPr>
        <xdr:cNvSpPr>
          <a:spLocks noChangeAspect="1" noChangeArrowheads="1"/>
        </xdr:cNvSpPr>
      </xdr:nvSpPr>
      <xdr:spPr bwMode="auto">
        <a:xfrm>
          <a:off x="565892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10911"/>
    <xdr:sp macro="" textlink="">
      <xdr:nvSpPr>
        <xdr:cNvPr id="240" name="AutoShape 4" descr="Sale Sharks">
          <a:extLst>
            <a:ext uri="{FF2B5EF4-FFF2-40B4-BE49-F238E27FC236}">
              <a16:creationId xmlns:a16="http://schemas.microsoft.com/office/drawing/2014/main" id="{9BC2CB21-21F0-4101-A7AB-9289B3699BCF}"/>
            </a:ext>
          </a:extLst>
        </xdr:cNvPr>
        <xdr:cNvSpPr>
          <a:spLocks noChangeAspect="1" noChangeArrowheads="1"/>
        </xdr:cNvSpPr>
      </xdr:nvSpPr>
      <xdr:spPr bwMode="auto">
        <a:xfrm>
          <a:off x="5658928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5"/>
    <xdr:sp macro="" textlink="">
      <xdr:nvSpPr>
        <xdr:cNvPr id="241" name="AutoShape 1" descr="Bristol Bears">
          <a:extLst>
            <a:ext uri="{FF2B5EF4-FFF2-40B4-BE49-F238E27FC236}">
              <a16:creationId xmlns:a16="http://schemas.microsoft.com/office/drawing/2014/main" id="{57D2053E-90E8-4FFD-8B43-28E089C803C9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34506</xdr:colOff>
      <xdr:row>0</xdr:row>
      <xdr:rowOff>0</xdr:rowOff>
    </xdr:from>
    <xdr:ext cx="304800" cy="302284"/>
    <xdr:sp macro="" textlink="">
      <xdr:nvSpPr>
        <xdr:cNvPr id="242" name="AutoShape 2" descr="Exeter Chiefs">
          <a:extLst>
            <a:ext uri="{FF2B5EF4-FFF2-40B4-BE49-F238E27FC236}">
              <a16:creationId xmlns:a16="http://schemas.microsoft.com/office/drawing/2014/main" id="{79D3E522-56E9-4501-BFA5-98CF7D2EDA25}"/>
            </a:ext>
          </a:extLst>
        </xdr:cNvPr>
        <xdr:cNvSpPr>
          <a:spLocks noChangeAspect="1" noChangeArrowheads="1"/>
        </xdr:cNvSpPr>
      </xdr:nvSpPr>
      <xdr:spPr bwMode="auto">
        <a:xfrm>
          <a:off x="5693434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43" name="AutoShape 3" descr="Harlequins">
          <a:extLst>
            <a:ext uri="{FF2B5EF4-FFF2-40B4-BE49-F238E27FC236}">
              <a16:creationId xmlns:a16="http://schemas.microsoft.com/office/drawing/2014/main" id="{CF36FBD6-26E9-4266-B9A6-59BFDFBDC892}"/>
            </a:ext>
          </a:extLst>
        </xdr:cNvPr>
        <xdr:cNvSpPr>
          <a:spLocks noChangeAspect="1" noChangeArrowheads="1"/>
        </xdr:cNvSpPr>
      </xdr:nvSpPr>
      <xdr:spPr bwMode="auto">
        <a:xfrm>
          <a:off x="565892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10911"/>
    <xdr:sp macro="" textlink="">
      <xdr:nvSpPr>
        <xdr:cNvPr id="244" name="AutoShape 4" descr="Sale Sharks">
          <a:extLst>
            <a:ext uri="{FF2B5EF4-FFF2-40B4-BE49-F238E27FC236}">
              <a16:creationId xmlns:a16="http://schemas.microsoft.com/office/drawing/2014/main" id="{6CE5B094-0787-4AEE-960C-373D01AA501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5"/>
    <xdr:sp macro="" textlink="">
      <xdr:nvSpPr>
        <xdr:cNvPr id="245" name="AutoShape 1" descr="Bristol Bears">
          <a:extLst>
            <a:ext uri="{FF2B5EF4-FFF2-40B4-BE49-F238E27FC236}">
              <a16:creationId xmlns:a16="http://schemas.microsoft.com/office/drawing/2014/main" id="{7462ADAB-3930-4B16-B1A1-E032ABA3752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0</xdr:row>
      <xdr:rowOff>0</xdr:rowOff>
    </xdr:from>
    <xdr:ext cx="304800" cy="302284"/>
    <xdr:sp macro="" textlink="">
      <xdr:nvSpPr>
        <xdr:cNvPr id="246" name="AutoShape 2" descr="Exeter Chiefs">
          <a:extLst>
            <a:ext uri="{FF2B5EF4-FFF2-40B4-BE49-F238E27FC236}">
              <a16:creationId xmlns:a16="http://schemas.microsoft.com/office/drawing/2014/main" id="{EF764127-1159-40E0-AF45-AAEBB4579103}"/>
            </a:ext>
          </a:extLst>
        </xdr:cNvPr>
        <xdr:cNvSpPr>
          <a:spLocks noChangeAspect="1" noChangeArrowheads="1"/>
        </xdr:cNvSpPr>
      </xdr:nvSpPr>
      <xdr:spPr bwMode="auto">
        <a:xfrm>
          <a:off x="5693434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47" name="AutoShape 3" descr="Harlequins">
          <a:extLst>
            <a:ext uri="{FF2B5EF4-FFF2-40B4-BE49-F238E27FC236}">
              <a16:creationId xmlns:a16="http://schemas.microsoft.com/office/drawing/2014/main" id="{6686DC2B-C4F0-48B3-9D36-DDAAFAF78CAC}"/>
            </a:ext>
          </a:extLst>
        </xdr:cNvPr>
        <xdr:cNvSpPr>
          <a:spLocks noChangeAspect="1" noChangeArrowheads="1"/>
        </xdr:cNvSpPr>
      </xdr:nvSpPr>
      <xdr:spPr bwMode="auto">
        <a:xfrm>
          <a:off x="565892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10911"/>
    <xdr:sp macro="" textlink="">
      <xdr:nvSpPr>
        <xdr:cNvPr id="248" name="AutoShape 4" descr="Sale Sharks">
          <a:extLst>
            <a:ext uri="{FF2B5EF4-FFF2-40B4-BE49-F238E27FC236}">
              <a16:creationId xmlns:a16="http://schemas.microsoft.com/office/drawing/2014/main" id="{F0ACB400-4BAD-43B2-8FE1-0611EAFBC922}"/>
            </a:ext>
          </a:extLst>
        </xdr:cNvPr>
        <xdr:cNvSpPr>
          <a:spLocks noChangeAspect="1" noChangeArrowheads="1"/>
        </xdr:cNvSpPr>
      </xdr:nvSpPr>
      <xdr:spPr bwMode="auto">
        <a:xfrm>
          <a:off x="5658928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8626</xdr:colOff>
      <xdr:row>0</xdr:row>
      <xdr:rowOff>0</xdr:rowOff>
    </xdr:from>
    <xdr:ext cx="304800" cy="302285"/>
    <xdr:sp macro="" textlink="">
      <xdr:nvSpPr>
        <xdr:cNvPr id="249" name="AutoShape 1" descr="Bristol Bears">
          <a:extLst>
            <a:ext uri="{FF2B5EF4-FFF2-40B4-BE49-F238E27FC236}">
              <a16:creationId xmlns:a16="http://schemas.microsoft.com/office/drawing/2014/main" id="{FD8592F0-3FC4-460E-AC32-5209E5D23862}"/>
            </a:ext>
          </a:extLst>
        </xdr:cNvPr>
        <xdr:cNvSpPr>
          <a:spLocks noChangeAspect="1" noChangeArrowheads="1"/>
        </xdr:cNvSpPr>
      </xdr:nvSpPr>
      <xdr:spPr bwMode="auto">
        <a:xfrm>
          <a:off x="10567358" y="5020573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0</xdr:row>
      <xdr:rowOff>0</xdr:rowOff>
    </xdr:from>
    <xdr:ext cx="304800" cy="302284"/>
    <xdr:sp macro="" textlink="">
      <xdr:nvSpPr>
        <xdr:cNvPr id="250" name="AutoShape 2" descr="Exeter Chiefs">
          <a:extLst>
            <a:ext uri="{FF2B5EF4-FFF2-40B4-BE49-F238E27FC236}">
              <a16:creationId xmlns:a16="http://schemas.microsoft.com/office/drawing/2014/main" id="{C0E8BD87-766E-43B1-B4DB-EAA602AB9979}"/>
            </a:ext>
          </a:extLst>
        </xdr:cNvPr>
        <xdr:cNvSpPr>
          <a:spLocks noChangeAspect="1" noChangeArrowheads="1"/>
        </xdr:cNvSpPr>
      </xdr:nvSpPr>
      <xdr:spPr bwMode="auto">
        <a:xfrm>
          <a:off x="5693434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51" name="AutoShape 3" descr="Harlequins">
          <a:extLst>
            <a:ext uri="{FF2B5EF4-FFF2-40B4-BE49-F238E27FC236}">
              <a16:creationId xmlns:a16="http://schemas.microsoft.com/office/drawing/2014/main" id="{FE9CE5DC-75B4-48FF-855F-151901EB4B04}"/>
            </a:ext>
          </a:extLst>
        </xdr:cNvPr>
        <xdr:cNvSpPr>
          <a:spLocks noChangeAspect="1" noChangeArrowheads="1"/>
        </xdr:cNvSpPr>
      </xdr:nvSpPr>
      <xdr:spPr bwMode="auto">
        <a:xfrm>
          <a:off x="565892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10911"/>
    <xdr:sp macro="" textlink="">
      <xdr:nvSpPr>
        <xdr:cNvPr id="252" name="AutoShape 4" descr="Sale Sharks">
          <a:extLst>
            <a:ext uri="{FF2B5EF4-FFF2-40B4-BE49-F238E27FC236}">
              <a16:creationId xmlns:a16="http://schemas.microsoft.com/office/drawing/2014/main" id="{ECCA5AD4-CA82-4F1C-87F2-D530A7E09438}"/>
            </a:ext>
          </a:extLst>
        </xdr:cNvPr>
        <xdr:cNvSpPr>
          <a:spLocks noChangeAspect="1" noChangeArrowheads="1"/>
        </xdr:cNvSpPr>
      </xdr:nvSpPr>
      <xdr:spPr bwMode="auto">
        <a:xfrm>
          <a:off x="5658928" y="94890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5"/>
    <xdr:sp macro="" textlink="">
      <xdr:nvSpPr>
        <xdr:cNvPr id="253" name="AutoShape 1" descr="Bristol Bears">
          <a:extLst>
            <a:ext uri="{FF2B5EF4-FFF2-40B4-BE49-F238E27FC236}">
              <a16:creationId xmlns:a16="http://schemas.microsoft.com/office/drawing/2014/main" id="{511A4C7E-9FB6-4603-BB17-9E93CB2AE667}"/>
            </a:ext>
          </a:extLst>
        </xdr:cNvPr>
        <xdr:cNvSpPr>
          <a:spLocks noChangeAspect="1" noChangeArrowheads="1"/>
        </xdr:cNvSpPr>
      </xdr:nvSpPr>
      <xdr:spPr bwMode="auto">
        <a:xfrm>
          <a:off x="5658928" y="379562"/>
          <a:ext cx="304800" cy="3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34506</xdr:colOff>
      <xdr:row>0</xdr:row>
      <xdr:rowOff>0</xdr:rowOff>
    </xdr:from>
    <xdr:ext cx="304800" cy="302284"/>
    <xdr:sp macro="" textlink="">
      <xdr:nvSpPr>
        <xdr:cNvPr id="254" name="AutoShape 2" descr="Exeter Chiefs">
          <a:extLst>
            <a:ext uri="{FF2B5EF4-FFF2-40B4-BE49-F238E27FC236}">
              <a16:creationId xmlns:a16="http://schemas.microsoft.com/office/drawing/2014/main" id="{6AD14355-9605-4B24-AE66-01D1B513DF71}"/>
            </a:ext>
          </a:extLst>
        </xdr:cNvPr>
        <xdr:cNvSpPr>
          <a:spLocks noChangeAspect="1" noChangeArrowheads="1"/>
        </xdr:cNvSpPr>
      </xdr:nvSpPr>
      <xdr:spPr bwMode="auto">
        <a:xfrm>
          <a:off x="5693434" y="6901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0</xdr:row>
      <xdr:rowOff>0</xdr:rowOff>
    </xdr:from>
    <xdr:ext cx="304800" cy="302284"/>
    <xdr:sp macro="" textlink="">
      <xdr:nvSpPr>
        <xdr:cNvPr id="255" name="AutoShape 3" descr="Harlequins">
          <a:extLst>
            <a:ext uri="{FF2B5EF4-FFF2-40B4-BE49-F238E27FC236}">
              <a16:creationId xmlns:a16="http://schemas.microsoft.com/office/drawing/2014/main" id="{EDA3B6DF-DBEC-41FA-B59F-0C532884C8ED}"/>
            </a:ext>
          </a:extLst>
        </xdr:cNvPr>
        <xdr:cNvSpPr>
          <a:spLocks noChangeAspect="1" noChangeArrowheads="1"/>
        </xdr:cNvSpPr>
      </xdr:nvSpPr>
      <xdr:spPr bwMode="auto">
        <a:xfrm>
          <a:off x="565892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258792</xdr:colOff>
      <xdr:row>0</xdr:row>
      <xdr:rowOff>0</xdr:rowOff>
    </xdr:from>
    <xdr:ext cx="304800" cy="310911"/>
    <xdr:sp macro="" textlink="">
      <xdr:nvSpPr>
        <xdr:cNvPr id="256" name="AutoShape 4" descr="Sale Sharks">
          <a:extLst>
            <a:ext uri="{FF2B5EF4-FFF2-40B4-BE49-F238E27FC236}">
              <a16:creationId xmlns:a16="http://schemas.microsoft.com/office/drawing/2014/main" id="{59D4FEAA-9F42-42F5-8EAA-1076DEAA4453}"/>
            </a:ext>
          </a:extLst>
        </xdr:cNvPr>
        <xdr:cNvSpPr>
          <a:spLocks noChangeAspect="1" noChangeArrowheads="1"/>
        </xdr:cNvSpPr>
      </xdr:nvSpPr>
      <xdr:spPr bwMode="auto">
        <a:xfrm>
          <a:off x="11749177" y="3752491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109267</xdr:colOff>
      <xdr:row>0</xdr:row>
      <xdr:rowOff>0</xdr:rowOff>
    </xdr:from>
    <xdr:ext cx="298150" cy="302284"/>
    <xdr:sp macro="" textlink="">
      <xdr:nvSpPr>
        <xdr:cNvPr id="258" name="AutoShape 9" descr="Bath Rugby">
          <a:extLst>
            <a:ext uri="{FF2B5EF4-FFF2-40B4-BE49-F238E27FC236}">
              <a16:creationId xmlns:a16="http://schemas.microsoft.com/office/drawing/2014/main" id="{BC4EF201-8DD8-4CE7-B03C-1ED4CB4278F2}"/>
            </a:ext>
          </a:extLst>
        </xdr:cNvPr>
        <xdr:cNvSpPr>
          <a:spLocks noChangeAspect="1" noChangeArrowheads="1"/>
        </xdr:cNvSpPr>
      </xdr:nvSpPr>
      <xdr:spPr bwMode="auto">
        <a:xfrm rot="10561955">
          <a:off x="15472912" y="5684810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59" name="AutoShape 11" descr="Gloucester Rugby">
          <a:extLst>
            <a:ext uri="{FF2B5EF4-FFF2-40B4-BE49-F238E27FC236}">
              <a16:creationId xmlns:a16="http://schemas.microsoft.com/office/drawing/2014/main" id="{E4AF7BBD-842A-42B4-BD1E-D338304E7D3D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0" name="AutoShape 10" descr="Wasps">
          <a:extLst>
            <a:ext uri="{FF2B5EF4-FFF2-40B4-BE49-F238E27FC236}">
              <a16:creationId xmlns:a16="http://schemas.microsoft.com/office/drawing/2014/main" id="{5BCE6BEA-2816-407B-8859-823BEFD3775B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1" name="AutoShape 10" descr="Wasps">
          <a:extLst>
            <a:ext uri="{FF2B5EF4-FFF2-40B4-BE49-F238E27FC236}">
              <a16:creationId xmlns:a16="http://schemas.microsoft.com/office/drawing/2014/main" id="{28E238E5-9517-4DCB-848E-386666FFA1A5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2" name="AutoShape 10" descr="Wasps">
          <a:extLst>
            <a:ext uri="{FF2B5EF4-FFF2-40B4-BE49-F238E27FC236}">
              <a16:creationId xmlns:a16="http://schemas.microsoft.com/office/drawing/2014/main" id="{4776F1B7-342C-407B-9809-BEBBEB35AF4B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3" name="AutoShape 10" descr="Wasps">
          <a:extLst>
            <a:ext uri="{FF2B5EF4-FFF2-40B4-BE49-F238E27FC236}">
              <a16:creationId xmlns:a16="http://schemas.microsoft.com/office/drawing/2014/main" id="{6BD0EF06-68C5-41B9-99FD-06C86BBDBBDC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4" name="AutoShape 10" descr="Wasps">
          <a:extLst>
            <a:ext uri="{FF2B5EF4-FFF2-40B4-BE49-F238E27FC236}">
              <a16:creationId xmlns:a16="http://schemas.microsoft.com/office/drawing/2014/main" id="{AD720D75-7802-45D2-AD10-8BE74A765684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5" name="AutoShape 10" descr="Wasps">
          <a:extLst>
            <a:ext uri="{FF2B5EF4-FFF2-40B4-BE49-F238E27FC236}">
              <a16:creationId xmlns:a16="http://schemas.microsoft.com/office/drawing/2014/main" id="{B1FAE896-8B9A-4DF1-969F-A91750D109C2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6" name="AutoShape 10" descr="Wasps">
          <a:extLst>
            <a:ext uri="{FF2B5EF4-FFF2-40B4-BE49-F238E27FC236}">
              <a16:creationId xmlns:a16="http://schemas.microsoft.com/office/drawing/2014/main" id="{22786718-AAF2-40DB-B01F-A25DDA090BDA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7" name="AutoShape 5" descr="Northampton Saints">
          <a:extLst>
            <a:ext uri="{FF2B5EF4-FFF2-40B4-BE49-F238E27FC236}">
              <a16:creationId xmlns:a16="http://schemas.microsoft.com/office/drawing/2014/main" id="{53250C62-BB84-4906-A790-94C0B977077E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8" name="AutoShape 6" descr="London Irish">
          <a:extLst>
            <a:ext uri="{FF2B5EF4-FFF2-40B4-BE49-F238E27FC236}">
              <a16:creationId xmlns:a16="http://schemas.microsoft.com/office/drawing/2014/main" id="{A138E6F0-6C1A-4334-98FE-22ED8847584F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69" name="AutoShape 7" descr="Leicester Tigers">
          <a:extLst>
            <a:ext uri="{FF2B5EF4-FFF2-40B4-BE49-F238E27FC236}">
              <a16:creationId xmlns:a16="http://schemas.microsoft.com/office/drawing/2014/main" id="{600568C2-BF1C-4AE8-8589-62294E3556D3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0" name="AutoShape 8" descr="Newcastle Falcons">
          <a:extLst>
            <a:ext uri="{FF2B5EF4-FFF2-40B4-BE49-F238E27FC236}">
              <a16:creationId xmlns:a16="http://schemas.microsoft.com/office/drawing/2014/main" id="{04810394-BEB8-404B-ADE5-9A3DC365522D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1" name="AutoShape 10" descr="Wasps">
          <a:extLst>
            <a:ext uri="{FF2B5EF4-FFF2-40B4-BE49-F238E27FC236}">
              <a16:creationId xmlns:a16="http://schemas.microsoft.com/office/drawing/2014/main" id="{72786C73-F485-4AC1-B573-FDA4FBFDDE85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2" name="AutoShape 10" descr="Wasps">
          <a:extLst>
            <a:ext uri="{FF2B5EF4-FFF2-40B4-BE49-F238E27FC236}">
              <a16:creationId xmlns:a16="http://schemas.microsoft.com/office/drawing/2014/main" id="{D2993291-5B58-4D8A-8B2B-2F12BA873B58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3" name="AutoShape 10" descr="Wasps">
          <a:extLst>
            <a:ext uri="{FF2B5EF4-FFF2-40B4-BE49-F238E27FC236}">
              <a16:creationId xmlns:a16="http://schemas.microsoft.com/office/drawing/2014/main" id="{50349E9D-7A42-4EC5-B608-9AE82F0C95E4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4" name="AutoShape 10" descr="Wasps">
          <a:extLst>
            <a:ext uri="{FF2B5EF4-FFF2-40B4-BE49-F238E27FC236}">
              <a16:creationId xmlns:a16="http://schemas.microsoft.com/office/drawing/2014/main" id="{4FE3632B-6D5A-470F-9D9B-BF6B18AB8214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5" name="AutoShape 10" descr="Wasps">
          <a:extLst>
            <a:ext uri="{FF2B5EF4-FFF2-40B4-BE49-F238E27FC236}">
              <a16:creationId xmlns:a16="http://schemas.microsoft.com/office/drawing/2014/main" id="{2B52A318-C2B4-4C07-9A48-6D6AD69DAF5F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6" name="AutoShape 5" descr="Northampton Saints">
          <a:extLst>
            <a:ext uri="{FF2B5EF4-FFF2-40B4-BE49-F238E27FC236}">
              <a16:creationId xmlns:a16="http://schemas.microsoft.com/office/drawing/2014/main" id="{EF51189A-1A6F-40B9-B880-FDCCC0A4C608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7" name="AutoShape 6" descr="London Irish">
          <a:extLst>
            <a:ext uri="{FF2B5EF4-FFF2-40B4-BE49-F238E27FC236}">
              <a16:creationId xmlns:a16="http://schemas.microsoft.com/office/drawing/2014/main" id="{5248846F-4039-4D21-B597-B691F77EB7A5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8" name="AutoShape 10" descr="Wasps">
          <a:extLst>
            <a:ext uri="{FF2B5EF4-FFF2-40B4-BE49-F238E27FC236}">
              <a16:creationId xmlns:a16="http://schemas.microsoft.com/office/drawing/2014/main" id="{1BC37428-C333-46FE-8B99-DB2AE6479BE8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79" name="AutoShape 10" descr="Wasps">
          <a:extLst>
            <a:ext uri="{FF2B5EF4-FFF2-40B4-BE49-F238E27FC236}">
              <a16:creationId xmlns:a16="http://schemas.microsoft.com/office/drawing/2014/main" id="{C4898E5E-BB8A-4EEC-9D40-C5FC4D435F87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80" name="AutoShape 10" descr="Wasps">
          <a:extLst>
            <a:ext uri="{FF2B5EF4-FFF2-40B4-BE49-F238E27FC236}">
              <a16:creationId xmlns:a16="http://schemas.microsoft.com/office/drawing/2014/main" id="{A5054CC4-923A-4C44-BBB1-AF0E326C46AC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81" name="AutoShape 10" descr="Wasps">
          <a:extLst>
            <a:ext uri="{FF2B5EF4-FFF2-40B4-BE49-F238E27FC236}">
              <a16:creationId xmlns:a16="http://schemas.microsoft.com/office/drawing/2014/main" id="{DB42E478-005A-4096-A9DF-4397BC048F43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82" name="AutoShape 5" descr="Northampton Saints">
          <a:extLst>
            <a:ext uri="{FF2B5EF4-FFF2-40B4-BE49-F238E27FC236}">
              <a16:creationId xmlns:a16="http://schemas.microsoft.com/office/drawing/2014/main" id="{A576D158-FD24-4598-97DE-2CF50A68F7AC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304800" cy="302284"/>
    <xdr:sp macro="" textlink="">
      <xdr:nvSpPr>
        <xdr:cNvPr id="283" name="AutoShape 6" descr="London Irish">
          <a:extLst>
            <a:ext uri="{FF2B5EF4-FFF2-40B4-BE49-F238E27FC236}">
              <a16:creationId xmlns:a16="http://schemas.microsoft.com/office/drawing/2014/main" id="{7F77199E-B8A8-4607-9435-D05BB9F115A4}"/>
            </a:ext>
          </a:extLst>
        </xdr:cNvPr>
        <xdr:cNvSpPr>
          <a:spLocks noChangeAspect="1" noChangeArrowheads="1"/>
        </xdr:cNvSpPr>
      </xdr:nvSpPr>
      <xdr:spPr bwMode="auto">
        <a:xfrm>
          <a:off x="5719313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733245</xdr:colOff>
      <xdr:row>37</xdr:row>
      <xdr:rowOff>51760</xdr:rowOff>
    </xdr:from>
    <xdr:ext cx="304800" cy="302284"/>
    <xdr:sp macro="" textlink="">
      <xdr:nvSpPr>
        <xdr:cNvPr id="286" name="AutoShape 10" descr="Wasps">
          <a:extLst>
            <a:ext uri="{FF2B5EF4-FFF2-40B4-BE49-F238E27FC236}">
              <a16:creationId xmlns:a16="http://schemas.microsoft.com/office/drawing/2014/main" id="{CB27FCF9-028D-49DF-B3D7-C26F582430A7}"/>
            </a:ext>
          </a:extLst>
        </xdr:cNvPr>
        <xdr:cNvSpPr>
          <a:spLocks noChangeAspect="1" noChangeArrowheads="1"/>
        </xdr:cNvSpPr>
      </xdr:nvSpPr>
      <xdr:spPr bwMode="auto">
        <a:xfrm>
          <a:off x="733245" y="764300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350808</xdr:colOff>
      <xdr:row>65</xdr:row>
      <xdr:rowOff>139820</xdr:rowOff>
    </xdr:from>
    <xdr:ext cx="298150" cy="302284"/>
    <xdr:sp macro="" textlink="">
      <xdr:nvSpPr>
        <xdr:cNvPr id="288" name="AutoShape 9" descr="Bath Rugby">
          <a:extLst>
            <a:ext uri="{FF2B5EF4-FFF2-40B4-BE49-F238E27FC236}">
              <a16:creationId xmlns:a16="http://schemas.microsoft.com/office/drawing/2014/main" id="{81A309B0-7B9B-4A42-AC54-38D0618878D0}"/>
            </a:ext>
          </a:extLst>
        </xdr:cNvPr>
        <xdr:cNvSpPr>
          <a:spLocks noChangeAspect="1" noChangeArrowheads="1"/>
        </xdr:cNvSpPr>
      </xdr:nvSpPr>
      <xdr:spPr bwMode="auto">
        <a:xfrm rot="1916252">
          <a:off x="4103299" y="12906914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293298</xdr:colOff>
      <xdr:row>2</xdr:row>
      <xdr:rowOff>17252</xdr:rowOff>
    </xdr:from>
    <xdr:to>
      <xdr:col>13</xdr:col>
      <xdr:colOff>218536</xdr:colOff>
      <xdr:row>3</xdr:row>
      <xdr:rowOff>147007</xdr:rowOff>
    </xdr:to>
    <xdr:sp macro="" textlink="">
      <xdr:nvSpPr>
        <xdr:cNvPr id="289" name="AutoShape 1" descr="Bristol Bears">
          <a:extLst>
            <a:ext uri="{FF2B5EF4-FFF2-40B4-BE49-F238E27FC236}">
              <a16:creationId xmlns:a16="http://schemas.microsoft.com/office/drawing/2014/main" id="{CF3640D4-F0A4-45D6-83B3-98790181B269}"/>
            </a:ext>
          </a:extLst>
        </xdr:cNvPr>
        <xdr:cNvSpPr>
          <a:spLocks noChangeAspect="1" noChangeArrowheads="1"/>
        </xdr:cNvSpPr>
      </xdr:nvSpPr>
      <xdr:spPr bwMode="auto">
        <a:xfrm>
          <a:off x="7418717" y="396814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129754</xdr:rowOff>
    </xdr:from>
    <xdr:to>
      <xdr:col>9</xdr:col>
      <xdr:colOff>304800</xdr:colOff>
      <xdr:row>39</xdr:row>
      <xdr:rowOff>34505</xdr:rowOff>
    </xdr:to>
    <xdr:sp macro="" textlink="">
      <xdr:nvSpPr>
        <xdr:cNvPr id="290" name="AutoShape 2" descr="Exeter Chiefs">
          <a:extLst>
            <a:ext uri="{FF2B5EF4-FFF2-40B4-BE49-F238E27FC236}">
              <a16:creationId xmlns:a16="http://schemas.microsoft.com/office/drawing/2014/main" id="{93A778FB-1450-4B5B-A3D4-C9BE3AC50310}"/>
            </a:ext>
          </a:extLst>
        </xdr:cNvPr>
        <xdr:cNvSpPr>
          <a:spLocks noChangeAspect="1" noChangeArrowheads="1"/>
        </xdr:cNvSpPr>
      </xdr:nvSpPr>
      <xdr:spPr bwMode="auto">
        <a:xfrm flipV="1">
          <a:off x="5546785" y="888879"/>
          <a:ext cx="304800" cy="654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715993</xdr:colOff>
      <xdr:row>26</xdr:row>
      <xdr:rowOff>112144</xdr:rowOff>
    </xdr:from>
    <xdr:to>
      <xdr:col>2</xdr:col>
      <xdr:colOff>1020793</xdr:colOff>
      <xdr:row>29</xdr:row>
      <xdr:rowOff>43491</xdr:rowOff>
    </xdr:to>
    <xdr:sp macro="" textlink="">
      <xdr:nvSpPr>
        <xdr:cNvPr id="291" name="AutoShape 3" descr="Harlequins">
          <a:extLst>
            <a:ext uri="{FF2B5EF4-FFF2-40B4-BE49-F238E27FC236}">
              <a16:creationId xmlns:a16="http://schemas.microsoft.com/office/drawing/2014/main" id="{EDC382D8-87C8-47EA-A809-0CA42170B0EB}"/>
            </a:ext>
          </a:extLst>
        </xdr:cNvPr>
        <xdr:cNvSpPr>
          <a:spLocks noChangeAspect="1" noChangeArrowheads="1"/>
        </xdr:cNvSpPr>
      </xdr:nvSpPr>
      <xdr:spPr bwMode="auto">
        <a:xfrm>
          <a:off x="2044461" y="5046453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8</xdr:row>
      <xdr:rowOff>121129</xdr:rowOff>
    </xdr:to>
    <xdr:sp macro="" textlink="">
      <xdr:nvSpPr>
        <xdr:cNvPr id="293" name="AutoShape 5" descr="Northampton Saints">
          <a:extLst>
            <a:ext uri="{FF2B5EF4-FFF2-40B4-BE49-F238E27FC236}">
              <a16:creationId xmlns:a16="http://schemas.microsoft.com/office/drawing/2014/main" id="{5D47B252-30CB-4299-BB1A-9F1BDF3EE281}"/>
            </a:ext>
          </a:extLst>
        </xdr:cNvPr>
        <xdr:cNvSpPr>
          <a:spLocks noChangeAspect="1" noChangeArrowheads="1"/>
        </xdr:cNvSpPr>
      </xdr:nvSpPr>
      <xdr:spPr bwMode="auto">
        <a:xfrm>
          <a:off x="5736566" y="1138687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750498</xdr:colOff>
      <xdr:row>27</xdr:row>
      <xdr:rowOff>112143</xdr:rowOff>
    </xdr:from>
    <xdr:to>
      <xdr:col>0</xdr:col>
      <xdr:colOff>1055298</xdr:colOff>
      <xdr:row>30</xdr:row>
      <xdr:rowOff>43490</xdr:rowOff>
    </xdr:to>
    <xdr:sp macro="" textlink="">
      <xdr:nvSpPr>
        <xdr:cNvPr id="294" name="AutoShape 6" descr="London Irish">
          <a:extLst>
            <a:ext uri="{FF2B5EF4-FFF2-40B4-BE49-F238E27FC236}">
              <a16:creationId xmlns:a16="http://schemas.microsoft.com/office/drawing/2014/main" id="{ED972AA1-A260-4D13-8481-5726B0E68E4F}"/>
            </a:ext>
          </a:extLst>
        </xdr:cNvPr>
        <xdr:cNvSpPr>
          <a:spLocks noChangeAspect="1" noChangeArrowheads="1"/>
        </xdr:cNvSpPr>
      </xdr:nvSpPr>
      <xdr:spPr bwMode="auto">
        <a:xfrm>
          <a:off x="750498" y="5236234"/>
          <a:ext cx="304800" cy="50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10</xdr:row>
      <xdr:rowOff>121131</xdr:rowOff>
    </xdr:to>
    <xdr:sp macro="" textlink="">
      <xdr:nvSpPr>
        <xdr:cNvPr id="295" name="AutoShape 7" descr="Leicester Tigers">
          <a:extLst>
            <a:ext uri="{FF2B5EF4-FFF2-40B4-BE49-F238E27FC236}">
              <a16:creationId xmlns:a16="http://schemas.microsoft.com/office/drawing/2014/main" id="{8A5A3955-54D3-4004-8224-7611DA63871B}"/>
            </a:ext>
          </a:extLst>
        </xdr:cNvPr>
        <xdr:cNvSpPr>
          <a:spLocks noChangeAspect="1" noChangeArrowheads="1"/>
        </xdr:cNvSpPr>
      </xdr:nvSpPr>
      <xdr:spPr bwMode="auto">
        <a:xfrm>
          <a:off x="5736566" y="1518249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11</xdr:row>
      <xdr:rowOff>121129</xdr:rowOff>
    </xdr:to>
    <xdr:sp macro="" textlink="">
      <xdr:nvSpPr>
        <xdr:cNvPr id="296" name="AutoShape 8" descr="Newcastle Falcons">
          <a:extLst>
            <a:ext uri="{FF2B5EF4-FFF2-40B4-BE49-F238E27FC236}">
              <a16:creationId xmlns:a16="http://schemas.microsoft.com/office/drawing/2014/main" id="{56646C6F-C2D1-4DBB-8F79-82C130C43BAC}"/>
            </a:ext>
          </a:extLst>
        </xdr:cNvPr>
        <xdr:cNvSpPr>
          <a:spLocks noChangeAspect="1" noChangeArrowheads="1"/>
        </xdr:cNvSpPr>
      </xdr:nvSpPr>
      <xdr:spPr bwMode="auto">
        <a:xfrm>
          <a:off x="5736566" y="1708030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609600</xdr:colOff>
      <xdr:row>10</xdr:row>
      <xdr:rowOff>19050</xdr:rowOff>
    </xdr:from>
    <xdr:to>
      <xdr:col>9</xdr:col>
      <xdr:colOff>295274</xdr:colOff>
      <xdr:row>12</xdr:row>
      <xdr:rowOff>140178</xdr:rowOff>
    </xdr:to>
    <xdr:sp macro="" textlink="">
      <xdr:nvSpPr>
        <xdr:cNvPr id="297" name="AutoShape 9" descr="Bath Rugby">
          <a:extLst>
            <a:ext uri="{FF2B5EF4-FFF2-40B4-BE49-F238E27FC236}">
              <a16:creationId xmlns:a16="http://schemas.microsoft.com/office/drawing/2014/main" id="{D7DF08FD-066E-4583-8756-7B39090EA47A}"/>
            </a:ext>
          </a:extLst>
        </xdr:cNvPr>
        <xdr:cNvSpPr>
          <a:spLocks noChangeAspect="1" noChangeArrowheads="1"/>
        </xdr:cNvSpPr>
      </xdr:nvSpPr>
      <xdr:spPr bwMode="auto">
        <a:xfrm>
          <a:off x="5733691" y="1916861"/>
          <a:ext cx="298149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13</xdr:row>
      <xdr:rowOff>121129</xdr:rowOff>
    </xdr:to>
    <xdr:sp macro="" textlink="">
      <xdr:nvSpPr>
        <xdr:cNvPr id="298" name="AutoShape 10" descr="Wasps">
          <a:extLst>
            <a:ext uri="{FF2B5EF4-FFF2-40B4-BE49-F238E27FC236}">
              <a16:creationId xmlns:a16="http://schemas.microsoft.com/office/drawing/2014/main" id="{D362F4BD-4CD8-40E0-B0C0-3025E52783C1}"/>
            </a:ext>
          </a:extLst>
        </xdr:cNvPr>
        <xdr:cNvSpPr>
          <a:spLocks noChangeAspect="1" noChangeArrowheads="1"/>
        </xdr:cNvSpPr>
      </xdr:nvSpPr>
      <xdr:spPr bwMode="auto">
        <a:xfrm>
          <a:off x="5736566" y="2087592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304800</xdr:colOff>
      <xdr:row>28</xdr:row>
      <xdr:rowOff>129755</xdr:rowOff>
    </xdr:to>
    <xdr:sp macro="" textlink="">
      <xdr:nvSpPr>
        <xdr:cNvPr id="299" name="AutoShape 11" descr="Gloucester Rugby">
          <a:extLst>
            <a:ext uri="{FF2B5EF4-FFF2-40B4-BE49-F238E27FC236}">
              <a16:creationId xmlns:a16="http://schemas.microsoft.com/office/drawing/2014/main" id="{FA91F9A8-CDD6-4D6C-9EAE-13D82F5E962D}"/>
            </a:ext>
          </a:extLst>
        </xdr:cNvPr>
        <xdr:cNvSpPr>
          <a:spLocks noChangeAspect="1" noChangeArrowheads="1"/>
        </xdr:cNvSpPr>
      </xdr:nvSpPr>
      <xdr:spPr bwMode="auto">
        <a:xfrm>
          <a:off x="5736566" y="4364966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189780</xdr:colOff>
      <xdr:row>61</xdr:row>
      <xdr:rowOff>43134</xdr:rowOff>
    </xdr:from>
    <xdr:ext cx="304800" cy="302284"/>
    <xdr:sp macro="" textlink="">
      <xdr:nvSpPr>
        <xdr:cNvPr id="300" name="AutoShape 10" descr="Wasps">
          <a:extLst>
            <a:ext uri="{FF2B5EF4-FFF2-40B4-BE49-F238E27FC236}">
              <a16:creationId xmlns:a16="http://schemas.microsoft.com/office/drawing/2014/main" id="{1A101CD4-DB53-48F1-B49A-47AB0CFDE97D}"/>
            </a:ext>
          </a:extLst>
        </xdr:cNvPr>
        <xdr:cNvSpPr>
          <a:spLocks noChangeAspect="1" noChangeArrowheads="1"/>
        </xdr:cNvSpPr>
      </xdr:nvSpPr>
      <xdr:spPr bwMode="auto">
        <a:xfrm rot="12635338">
          <a:off x="2596550" y="120856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370936</xdr:colOff>
      <xdr:row>58</xdr:row>
      <xdr:rowOff>120770</xdr:rowOff>
    </xdr:from>
    <xdr:ext cx="304800" cy="302284"/>
    <xdr:sp macro="" textlink="">
      <xdr:nvSpPr>
        <xdr:cNvPr id="302" name="AutoShape 10" descr="Wasps">
          <a:extLst>
            <a:ext uri="{FF2B5EF4-FFF2-40B4-BE49-F238E27FC236}">
              <a16:creationId xmlns:a16="http://schemas.microsoft.com/office/drawing/2014/main" id="{6CADD22D-4B4D-46AA-AF77-CAA4C5ED40A3}"/>
            </a:ext>
          </a:extLst>
        </xdr:cNvPr>
        <xdr:cNvSpPr>
          <a:spLocks noChangeAspect="1" noChangeArrowheads="1"/>
        </xdr:cNvSpPr>
      </xdr:nvSpPr>
      <xdr:spPr bwMode="auto">
        <a:xfrm rot="13016514">
          <a:off x="1716657" y="1161978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302284"/>
    <xdr:sp macro="" textlink="">
      <xdr:nvSpPr>
        <xdr:cNvPr id="303" name="AutoShape 10" descr="Wasps">
          <a:extLst>
            <a:ext uri="{FF2B5EF4-FFF2-40B4-BE49-F238E27FC236}">
              <a16:creationId xmlns:a16="http://schemas.microsoft.com/office/drawing/2014/main" id="{B6A339CD-55A4-4F3E-9295-E7EC0E4F4280}"/>
            </a:ext>
          </a:extLst>
        </xdr:cNvPr>
        <xdr:cNvSpPr>
          <a:spLocks noChangeAspect="1" noChangeArrowheads="1"/>
        </xdr:cNvSpPr>
      </xdr:nvSpPr>
      <xdr:spPr bwMode="auto">
        <a:xfrm>
          <a:off x="5736566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232913</xdr:colOff>
      <xdr:row>23</xdr:row>
      <xdr:rowOff>51758</xdr:rowOff>
    </xdr:from>
    <xdr:ext cx="304800" cy="302284"/>
    <xdr:sp macro="" textlink="">
      <xdr:nvSpPr>
        <xdr:cNvPr id="305" name="AutoShape 10" descr="Wasps">
          <a:extLst>
            <a:ext uri="{FF2B5EF4-FFF2-40B4-BE49-F238E27FC236}">
              <a16:creationId xmlns:a16="http://schemas.microsoft.com/office/drawing/2014/main" id="{8A45E934-6AD2-4739-954C-88D0C2A88E7B}"/>
            </a:ext>
          </a:extLst>
        </xdr:cNvPr>
        <xdr:cNvSpPr>
          <a:spLocks noChangeAspect="1" noChangeArrowheads="1"/>
        </xdr:cNvSpPr>
      </xdr:nvSpPr>
      <xdr:spPr bwMode="auto">
        <a:xfrm>
          <a:off x="2889849" y="441672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8627</xdr:colOff>
      <xdr:row>17</xdr:row>
      <xdr:rowOff>94891</xdr:rowOff>
    </xdr:from>
    <xdr:ext cx="304800" cy="302284"/>
    <xdr:sp macro="" textlink="">
      <xdr:nvSpPr>
        <xdr:cNvPr id="306" name="AutoShape 10" descr="Wasps">
          <a:extLst>
            <a:ext uri="{FF2B5EF4-FFF2-40B4-BE49-F238E27FC236}">
              <a16:creationId xmlns:a16="http://schemas.microsoft.com/office/drawing/2014/main" id="{B27FED85-6CBF-4FD5-9700-9E11A2CA9241}"/>
            </a:ext>
          </a:extLst>
        </xdr:cNvPr>
        <xdr:cNvSpPr>
          <a:spLocks noChangeAspect="1" noChangeArrowheads="1"/>
        </xdr:cNvSpPr>
      </xdr:nvSpPr>
      <xdr:spPr bwMode="auto">
        <a:xfrm>
          <a:off x="5745193" y="29416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302284"/>
    <xdr:sp macro="" textlink="">
      <xdr:nvSpPr>
        <xdr:cNvPr id="307" name="AutoShape 10" descr="Wasps">
          <a:extLst>
            <a:ext uri="{FF2B5EF4-FFF2-40B4-BE49-F238E27FC236}">
              <a16:creationId xmlns:a16="http://schemas.microsoft.com/office/drawing/2014/main" id="{A05E9047-4B4C-45D7-8403-9EDD21D3966E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302284"/>
    <xdr:sp macro="" textlink="">
      <xdr:nvSpPr>
        <xdr:cNvPr id="308" name="AutoShape 10" descr="Wasps">
          <a:extLst>
            <a:ext uri="{FF2B5EF4-FFF2-40B4-BE49-F238E27FC236}">
              <a16:creationId xmlns:a16="http://schemas.microsoft.com/office/drawing/2014/main" id="{DA042367-CE28-4C1B-B997-C7DB6553715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2284"/>
    <xdr:sp macro="" textlink="">
      <xdr:nvSpPr>
        <xdr:cNvPr id="309" name="AutoShape 10" descr="Wasps">
          <a:extLst>
            <a:ext uri="{FF2B5EF4-FFF2-40B4-BE49-F238E27FC236}">
              <a16:creationId xmlns:a16="http://schemas.microsoft.com/office/drawing/2014/main" id="{F16545B4-8884-407E-80C1-973BFA1915FD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2284"/>
    <xdr:sp macro="" textlink="">
      <xdr:nvSpPr>
        <xdr:cNvPr id="310" name="AutoShape 10" descr="Wasps">
          <a:extLst>
            <a:ext uri="{FF2B5EF4-FFF2-40B4-BE49-F238E27FC236}">
              <a16:creationId xmlns:a16="http://schemas.microsoft.com/office/drawing/2014/main" id="{5A69B385-03C8-476D-BAA2-E7DF45A55BF4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311" name="AutoShape 10" descr="Wasps">
          <a:extLst>
            <a:ext uri="{FF2B5EF4-FFF2-40B4-BE49-F238E27FC236}">
              <a16:creationId xmlns:a16="http://schemas.microsoft.com/office/drawing/2014/main" id="{22E21B68-9C41-47AD-9DD0-62B4E9ECFD1C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312" name="AutoShape 10" descr="Wasps">
          <a:extLst>
            <a:ext uri="{FF2B5EF4-FFF2-40B4-BE49-F238E27FC236}">
              <a16:creationId xmlns:a16="http://schemas.microsoft.com/office/drawing/2014/main" id="{91AF46E9-143C-4C4F-ACDA-B9013A76B46B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313" name="AutoShape 10" descr="Wasps">
          <a:extLst>
            <a:ext uri="{FF2B5EF4-FFF2-40B4-BE49-F238E27FC236}">
              <a16:creationId xmlns:a16="http://schemas.microsoft.com/office/drawing/2014/main" id="{5A9F78AE-5AA6-4E05-99E5-5B0A125BD93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314" name="AutoShape 10" descr="Wasps">
          <a:extLst>
            <a:ext uri="{FF2B5EF4-FFF2-40B4-BE49-F238E27FC236}">
              <a16:creationId xmlns:a16="http://schemas.microsoft.com/office/drawing/2014/main" id="{AD278991-AFE1-4278-869D-73E1BA3657B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302284"/>
    <xdr:sp macro="" textlink="">
      <xdr:nvSpPr>
        <xdr:cNvPr id="315" name="AutoShape 10" descr="Wasps">
          <a:extLst>
            <a:ext uri="{FF2B5EF4-FFF2-40B4-BE49-F238E27FC236}">
              <a16:creationId xmlns:a16="http://schemas.microsoft.com/office/drawing/2014/main" id="{DA5DFA55-278C-4837-8967-3E211767CDEF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302284"/>
    <xdr:sp macro="" textlink="">
      <xdr:nvSpPr>
        <xdr:cNvPr id="316" name="AutoShape 10" descr="Wasps">
          <a:extLst>
            <a:ext uri="{FF2B5EF4-FFF2-40B4-BE49-F238E27FC236}">
              <a16:creationId xmlns:a16="http://schemas.microsoft.com/office/drawing/2014/main" id="{46528416-EA56-4AB0-9D9C-1070B1F66F1F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302284"/>
    <xdr:sp macro="" textlink="">
      <xdr:nvSpPr>
        <xdr:cNvPr id="317" name="AutoShape 10" descr="Wasps">
          <a:extLst>
            <a:ext uri="{FF2B5EF4-FFF2-40B4-BE49-F238E27FC236}">
              <a16:creationId xmlns:a16="http://schemas.microsoft.com/office/drawing/2014/main" id="{CA583109-B71A-4C54-8F19-2841065E118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302284"/>
    <xdr:sp macro="" textlink="">
      <xdr:nvSpPr>
        <xdr:cNvPr id="318" name="AutoShape 10" descr="Wasps">
          <a:extLst>
            <a:ext uri="{FF2B5EF4-FFF2-40B4-BE49-F238E27FC236}">
              <a16:creationId xmlns:a16="http://schemas.microsoft.com/office/drawing/2014/main" id="{D7F3B7CC-10DB-4A66-8AB9-A1ECB636C69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302284"/>
    <xdr:sp macro="" textlink="">
      <xdr:nvSpPr>
        <xdr:cNvPr id="319" name="AutoShape 10" descr="Wasps">
          <a:extLst>
            <a:ext uri="{FF2B5EF4-FFF2-40B4-BE49-F238E27FC236}">
              <a16:creationId xmlns:a16="http://schemas.microsoft.com/office/drawing/2014/main" id="{0F1DA778-4F5E-4B38-A634-8F72B45C0BAA}"/>
            </a:ext>
          </a:extLst>
        </xdr:cNvPr>
        <xdr:cNvSpPr>
          <a:spLocks noChangeAspect="1" noChangeArrowheads="1"/>
        </xdr:cNvSpPr>
      </xdr:nvSpPr>
      <xdr:spPr bwMode="auto">
        <a:xfrm>
          <a:off x="5736566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</xdr:row>
      <xdr:rowOff>0</xdr:rowOff>
    </xdr:from>
    <xdr:ext cx="304800" cy="303003"/>
    <xdr:sp macro="" textlink="">
      <xdr:nvSpPr>
        <xdr:cNvPr id="320" name="AutoShape 1" descr="Bristol Bears">
          <a:extLst>
            <a:ext uri="{FF2B5EF4-FFF2-40B4-BE49-F238E27FC236}">
              <a16:creationId xmlns:a16="http://schemas.microsoft.com/office/drawing/2014/main" id="{6CFF84B2-A561-4886-80FA-8D374B45882D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3002"/>
    <xdr:sp macro="" textlink="">
      <xdr:nvSpPr>
        <xdr:cNvPr id="321" name="AutoShape 2" descr="Exeter Chiefs">
          <a:extLst>
            <a:ext uri="{FF2B5EF4-FFF2-40B4-BE49-F238E27FC236}">
              <a16:creationId xmlns:a16="http://schemas.microsoft.com/office/drawing/2014/main" id="{1EFEA197-C7CE-4992-BA21-0EFB615E8501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3003"/>
    <xdr:sp macro="" textlink="">
      <xdr:nvSpPr>
        <xdr:cNvPr id="322" name="AutoShape 3" descr="Harlequins">
          <a:extLst>
            <a:ext uri="{FF2B5EF4-FFF2-40B4-BE49-F238E27FC236}">
              <a16:creationId xmlns:a16="http://schemas.microsoft.com/office/drawing/2014/main" id="{87692514-F780-4CB5-B39B-CD43BCC2E785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3003"/>
    <xdr:sp macro="" textlink="">
      <xdr:nvSpPr>
        <xdr:cNvPr id="323" name="AutoShape 4" descr="Sale Sharks">
          <a:extLst>
            <a:ext uri="{FF2B5EF4-FFF2-40B4-BE49-F238E27FC236}">
              <a16:creationId xmlns:a16="http://schemas.microsoft.com/office/drawing/2014/main" id="{A9EE248B-3795-4BFF-8382-5434A74A64B7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3003"/>
    <xdr:sp macro="" textlink="">
      <xdr:nvSpPr>
        <xdr:cNvPr id="324" name="AutoShape 5" descr="Northampton Saints">
          <a:extLst>
            <a:ext uri="{FF2B5EF4-FFF2-40B4-BE49-F238E27FC236}">
              <a16:creationId xmlns:a16="http://schemas.microsoft.com/office/drawing/2014/main" id="{E44FBFE5-CE10-49AB-805B-8FA6BBE3A842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3003"/>
    <xdr:sp macro="" textlink="">
      <xdr:nvSpPr>
        <xdr:cNvPr id="325" name="AutoShape 6" descr="London Irish">
          <a:extLst>
            <a:ext uri="{FF2B5EF4-FFF2-40B4-BE49-F238E27FC236}">
              <a16:creationId xmlns:a16="http://schemas.microsoft.com/office/drawing/2014/main" id="{2A5D14AF-7C39-4117-B843-0549F30BF616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3003"/>
    <xdr:sp macro="" textlink="">
      <xdr:nvSpPr>
        <xdr:cNvPr id="326" name="AutoShape 7" descr="Leicester Tigers">
          <a:extLst>
            <a:ext uri="{FF2B5EF4-FFF2-40B4-BE49-F238E27FC236}">
              <a16:creationId xmlns:a16="http://schemas.microsoft.com/office/drawing/2014/main" id="{F1609E4B-5D49-43E0-9E21-A50AFE8B6CB0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3003"/>
    <xdr:sp macro="" textlink="">
      <xdr:nvSpPr>
        <xdr:cNvPr id="327" name="AutoShape 8" descr="Newcastle Falcons">
          <a:extLst>
            <a:ext uri="{FF2B5EF4-FFF2-40B4-BE49-F238E27FC236}">
              <a16:creationId xmlns:a16="http://schemas.microsoft.com/office/drawing/2014/main" id="{B5643756-99FF-4B33-8AF4-1CFDE8CFB2F4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19050</xdr:rowOff>
    </xdr:from>
    <xdr:ext cx="295275" cy="303003"/>
    <xdr:sp macro="" textlink="">
      <xdr:nvSpPr>
        <xdr:cNvPr id="328" name="AutoShape 9" descr="Bath Rugby">
          <a:extLst>
            <a:ext uri="{FF2B5EF4-FFF2-40B4-BE49-F238E27FC236}">
              <a16:creationId xmlns:a16="http://schemas.microsoft.com/office/drawing/2014/main" id="{8D025328-3042-441D-B925-8B6DC2F5DE00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14</xdr:row>
      <xdr:rowOff>0</xdr:rowOff>
    </xdr:from>
    <xdr:ext cx="304800" cy="303002"/>
    <xdr:sp macro="" textlink="">
      <xdr:nvSpPr>
        <xdr:cNvPr id="329" name="AutoShape 10" descr="Wasps">
          <a:extLst>
            <a:ext uri="{FF2B5EF4-FFF2-40B4-BE49-F238E27FC236}">
              <a16:creationId xmlns:a16="http://schemas.microsoft.com/office/drawing/2014/main" id="{6C88B554-7D20-49D3-B08D-428DD11F2665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227737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34506</xdr:colOff>
      <xdr:row>16</xdr:row>
      <xdr:rowOff>0</xdr:rowOff>
    </xdr:from>
    <xdr:ext cx="304800" cy="302284"/>
    <xdr:sp macro="" textlink="">
      <xdr:nvSpPr>
        <xdr:cNvPr id="330" name="AutoShape 10" descr="Wasps">
          <a:extLst>
            <a:ext uri="{FF2B5EF4-FFF2-40B4-BE49-F238E27FC236}">
              <a16:creationId xmlns:a16="http://schemas.microsoft.com/office/drawing/2014/main" id="{F13447DB-B355-46A2-857F-5239DAB29E03}"/>
            </a:ext>
          </a:extLst>
        </xdr:cNvPr>
        <xdr:cNvSpPr>
          <a:spLocks noChangeAspect="1" noChangeArrowheads="1"/>
        </xdr:cNvSpPr>
      </xdr:nvSpPr>
      <xdr:spPr bwMode="auto">
        <a:xfrm>
          <a:off x="1059323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2284"/>
    <xdr:sp macro="" textlink="">
      <xdr:nvSpPr>
        <xdr:cNvPr id="331" name="AutoShape 10" descr="Wasps">
          <a:extLst>
            <a:ext uri="{FF2B5EF4-FFF2-40B4-BE49-F238E27FC236}">
              <a16:creationId xmlns:a16="http://schemas.microsoft.com/office/drawing/2014/main" id="{91384257-3D55-4ED9-862B-BD2FA32F721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2284"/>
    <xdr:sp macro="" textlink="">
      <xdr:nvSpPr>
        <xdr:cNvPr id="332" name="AutoShape 10" descr="Wasps">
          <a:extLst>
            <a:ext uri="{FF2B5EF4-FFF2-40B4-BE49-F238E27FC236}">
              <a16:creationId xmlns:a16="http://schemas.microsoft.com/office/drawing/2014/main" id="{1C1F7677-1807-4AD3-9AA5-1B8C56B4DA2A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333" name="AutoShape 10" descr="Wasps">
          <a:extLst>
            <a:ext uri="{FF2B5EF4-FFF2-40B4-BE49-F238E27FC236}">
              <a16:creationId xmlns:a16="http://schemas.microsoft.com/office/drawing/2014/main" id="{1CE46454-C0D9-4301-8ABC-2CB0BC57C26A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334" name="AutoShape 10" descr="Wasps">
          <a:extLst>
            <a:ext uri="{FF2B5EF4-FFF2-40B4-BE49-F238E27FC236}">
              <a16:creationId xmlns:a16="http://schemas.microsoft.com/office/drawing/2014/main" id="{681D49AB-A730-4831-A19A-AC2774A01EC4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335" name="AutoShape 10" descr="Wasps">
          <a:extLst>
            <a:ext uri="{FF2B5EF4-FFF2-40B4-BE49-F238E27FC236}">
              <a16:creationId xmlns:a16="http://schemas.microsoft.com/office/drawing/2014/main" id="{89AB4B4E-340B-4846-B57E-BDDEE7CC8969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336" name="AutoShape 10" descr="Wasps">
          <a:extLst>
            <a:ext uri="{FF2B5EF4-FFF2-40B4-BE49-F238E27FC236}">
              <a16:creationId xmlns:a16="http://schemas.microsoft.com/office/drawing/2014/main" id="{C16621EF-9776-4A6F-921C-DDDDFFF7D6D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337" name="AutoShape 10" descr="Wasps">
          <a:extLst>
            <a:ext uri="{FF2B5EF4-FFF2-40B4-BE49-F238E27FC236}">
              <a16:creationId xmlns:a16="http://schemas.microsoft.com/office/drawing/2014/main" id="{5CAC391C-2595-4418-A4BC-A725AB1D2537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338" name="AutoShape 10" descr="Wasps">
          <a:extLst>
            <a:ext uri="{FF2B5EF4-FFF2-40B4-BE49-F238E27FC236}">
              <a16:creationId xmlns:a16="http://schemas.microsoft.com/office/drawing/2014/main" id="{6F3B42A6-DFAE-4FA6-AB63-D9FF03CD13E6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339" name="AutoShape 10" descr="Wasps">
          <a:extLst>
            <a:ext uri="{FF2B5EF4-FFF2-40B4-BE49-F238E27FC236}">
              <a16:creationId xmlns:a16="http://schemas.microsoft.com/office/drawing/2014/main" id="{F0B29CA3-A456-4AF0-B9C0-1658423452D1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340" name="AutoShape 10" descr="Wasps">
          <a:extLst>
            <a:ext uri="{FF2B5EF4-FFF2-40B4-BE49-F238E27FC236}">
              <a16:creationId xmlns:a16="http://schemas.microsoft.com/office/drawing/2014/main" id="{1E3D97C5-E569-4332-8D12-CAB12315B6B6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341" name="AutoShape 10" descr="Wasps">
          <a:extLst>
            <a:ext uri="{FF2B5EF4-FFF2-40B4-BE49-F238E27FC236}">
              <a16:creationId xmlns:a16="http://schemas.microsoft.com/office/drawing/2014/main" id="{19D5EFE7-E427-4741-A282-C5D72C22696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342" name="AutoShape 10" descr="Wasps">
          <a:extLst>
            <a:ext uri="{FF2B5EF4-FFF2-40B4-BE49-F238E27FC236}">
              <a16:creationId xmlns:a16="http://schemas.microsoft.com/office/drawing/2014/main" id="{48A5C62F-C127-4C28-B647-0724D9E3CD18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343" name="AutoShape 10" descr="Wasps">
          <a:extLst>
            <a:ext uri="{FF2B5EF4-FFF2-40B4-BE49-F238E27FC236}">
              <a16:creationId xmlns:a16="http://schemas.microsoft.com/office/drawing/2014/main" id="{BA41CF9E-70C8-41C9-8A3C-095643A0678E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344" name="AutoShape 10" descr="Wasps">
          <a:extLst>
            <a:ext uri="{FF2B5EF4-FFF2-40B4-BE49-F238E27FC236}">
              <a16:creationId xmlns:a16="http://schemas.microsoft.com/office/drawing/2014/main" id="{87E1204A-4B87-4A28-8B1F-0C93B14073E5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345" name="AutoShape 10" descr="Wasps">
          <a:extLst>
            <a:ext uri="{FF2B5EF4-FFF2-40B4-BE49-F238E27FC236}">
              <a16:creationId xmlns:a16="http://schemas.microsoft.com/office/drawing/2014/main" id="{6C151DD9-3B94-48C3-A5B8-9FAEC8902F04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346" name="AutoShape 10" descr="Wasps">
          <a:extLst>
            <a:ext uri="{FF2B5EF4-FFF2-40B4-BE49-F238E27FC236}">
              <a16:creationId xmlns:a16="http://schemas.microsoft.com/office/drawing/2014/main" id="{FA4C0171-7659-4013-BCDD-7681F5490810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347" name="AutoShape 10" descr="Wasps">
          <a:extLst>
            <a:ext uri="{FF2B5EF4-FFF2-40B4-BE49-F238E27FC236}">
              <a16:creationId xmlns:a16="http://schemas.microsoft.com/office/drawing/2014/main" id="{50FFEF9C-DF78-47F0-86A7-B7CBE88C13DE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348" name="AutoShape 10" descr="Wasps">
          <a:extLst>
            <a:ext uri="{FF2B5EF4-FFF2-40B4-BE49-F238E27FC236}">
              <a16:creationId xmlns:a16="http://schemas.microsoft.com/office/drawing/2014/main" id="{C034EC66-C6DB-4053-AAC1-BF2F307E0709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2284"/>
    <xdr:sp macro="" textlink="">
      <xdr:nvSpPr>
        <xdr:cNvPr id="349" name="AutoShape 10" descr="Wasps">
          <a:extLst>
            <a:ext uri="{FF2B5EF4-FFF2-40B4-BE49-F238E27FC236}">
              <a16:creationId xmlns:a16="http://schemas.microsoft.com/office/drawing/2014/main" id="{2F714C16-869E-4DDA-83D5-024164CEAA8E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3002"/>
    <xdr:sp macro="" textlink="">
      <xdr:nvSpPr>
        <xdr:cNvPr id="350" name="AutoShape 2" descr="Exeter Chiefs">
          <a:extLst>
            <a:ext uri="{FF2B5EF4-FFF2-40B4-BE49-F238E27FC236}">
              <a16:creationId xmlns:a16="http://schemas.microsoft.com/office/drawing/2014/main" id="{E5991032-31D6-4F5F-BB63-B459D26A31C1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569343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3003"/>
    <xdr:sp macro="" textlink="">
      <xdr:nvSpPr>
        <xdr:cNvPr id="351" name="AutoShape 3" descr="Harlequins">
          <a:extLst>
            <a:ext uri="{FF2B5EF4-FFF2-40B4-BE49-F238E27FC236}">
              <a16:creationId xmlns:a16="http://schemas.microsoft.com/office/drawing/2014/main" id="{3E60799D-5571-4D3F-9091-13209786E37D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588321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3003"/>
    <xdr:sp macro="" textlink="">
      <xdr:nvSpPr>
        <xdr:cNvPr id="352" name="AutoShape 4" descr="Sale Sharks">
          <a:extLst>
            <a:ext uri="{FF2B5EF4-FFF2-40B4-BE49-F238E27FC236}">
              <a16:creationId xmlns:a16="http://schemas.microsoft.com/office/drawing/2014/main" id="{8086B75A-A7C7-4112-A081-635E06FDF977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07299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303003"/>
    <xdr:sp macro="" textlink="">
      <xdr:nvSpPr>
        <xdr:cNvPr id="353" name="AutoShape 5" descr="Northampton Saints">
          <a:extLst>
            <a:ext uri="{FF2B5EF4-FFF2-40B4-BE49-F238E27FC236}">
              <a16:creationId xmlns:a16="http://schemas.microsoft.com/office/drawing/2014/main" id="{22092D8C-4D00-4C2C-9A43-5BEE507750E5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3003"/>
    <xdr:sp macro="" textlink="">
      <xdr:nvSpPr>
        <xdr:cNvPr id="354" name="AutoShape 6" descr="London Irish">
          <a:extLst>
            <a:ext uri="{FF2B5EF4-FFF2-40B4-BE49-F238E27FC236}">
              <a16:creationId xmlns:a16="http://schemas.microsoft.com/office/drawing/2014/main" id="{C9D6D407-44D5-4B0E-B70C-900B8D3B5EFF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03003"/>
    <xdr:sp macro="" textlink="">
      <xdr:nvSpPr>
        <xdr:cNvPr id="355" name="AutoShape 7" descr="Leicester Tigers">
          <a:extLst>
            <a:ext uri="{FF2B5EF4-FFF2-40B4-BE49-F238E27FC236}">
              <a16:creationId xmlns:a16="http://schemas.microsoft.com/office/drawing/2014/main" id="{CBBE347B-E2CF-4280-A9A8-1081F63372E9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0</xdr:rowOff>
    </xdr:from>
    <xdr:ext cx="304800" cy="303003"/>
    <xdr:sp macro="" textlink="">
      <xdr:nvSpPr>
        <xdr:cNvPr id="356" name="AutoShape 8" descr="Newcastle Falcons">
          <a:extLst>
            <a:ext uri="{FF2B5EF4-FFF2-40B4-BE49-F238E27FC236}">
              <a16:creationId xmlns:a16="http://schemas.microsoft.com/office/drawing/2014/main" id="{271D877A-449E-408E-A94D-4B07E5B7E41B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357" name="AutoShape 11" descr="Gloucester Rugby">
          <a:extLst>
            <a:ext uri="{FF2B5EF4-FFF2-40B4-BE49-F238E27FC236}">
              <a16:creationId xmlns:a16="http://schemas.microsoft.com/office/drawing/2014/main" id="{6BAAA2C1-80F4-41F6-A314-4170C1F7C176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172530</xdr:colOff>
      <xdr:row>29</xdr:row>
      <xdr:rowOff>172528</xdr:rowOff>
    </xdr:from>
    <xdr:ext cx="304800" cy="302284"/>
    <xdr:sp macro="" textlink="">
      <xdr:nvSpPr>
        <xdr:cNvPr id="358" name="AutoShape 10" descr="Wasps">
          <a:extLst>
            <a:ext uri="{FF2B5EF4-FFF2-40B4-BE49-F238E27FC236}">
              <a16:creationId xmlns:a16="http://schemas.microsoft.com/office/drawing/2014/main" id="{17853A02-DFFB-4CCF-86C0-06742802DE94}"/>
            </a:ext>
          </a:extLst>
        </xdr:cNvPr>
        <xdr:cNvSpPr>
          <a:spLocks noChangeAspect="1" noChangeArrowheads="1"/>
        </xdr:cNvSpPr>
      </xdr:nvSpPr>
      <xdr:spPr bwMode="auto">
        <a:xfrm>
          <a:off x="7668885" y="491705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361" name="AutoShape 10" descr="Wasps">
          <a:extLst>
            <a:ext uri="{FF2B5EF4-FFF2-40B4-BE49-F238E27FC236}">
              <a16:creationId xmlns:a16="http://schemas.microsoft.com/office/drawing/2014/main" id="{04581E95-A1E3-422D-8934-722C2F34958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362" name="AutoShape 10" descr="Wasps">
          <a:extLst>
            <a:ext uri="{FF2B5EF4-FFF2-40B4-BE49-F238E27FC236}">
              <a16:creationId xmlns:a16="http://schemas.microsoft.com/office/drawing/2014/main" id="{1BF80650-C6B4-489F-9A8E-ABD52FDA6C0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363" name="AutoShape 10" descr="Wasps">
          <a:extLst>
            <a:ext uri="{FF2B5EF4-FFF2-40B4-BE49-F238E27FC236}">
              <a16:creationId xmlns:a16="http://schemas.microsoft.com/office/drawing/2014/main" id="{BD006289-C220-4FC8-BA0F-BCBF97F2CDB2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364" name="AutoShape 10" descr="Wasps">
          <a:extLst>
            <a:ext uri="{FF2B5EF4-FFF2-40B4-BE49-F238E27FC236}">
              <a16:creationId xmlns:a16="http://schemas.microsoft.com/office/drawing/2014/main" id="{E3DC047F-6233-4446-B84B-D6B93BD55B78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365" name="AutoShape 10" descr="Wasps">
          <a:extLst>
            <a:ext uri="{FF2B5EF4-FFF2-40B4-BE49-F238E27FC236}">
              <a16:creationId xmlns:a16="http://schemas.microsoft.com/office/drawing/2014/main" id="{E8ECB484-EAC3-4F9B-AB37-184C56207C4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366" name="AutoShape 10" descr="Wasps">
          <a:extLst>
            <a:ext uri="{FF2B5EF4-FFF2-40B4-BE49-F238E27FC236}">
              <a16:creationId xmlns:a16="http://schemas.microsoft.com/office/drawing/2014/main" id="{BC3DB553-032C-4D77-B792-F67713A18EAE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367" name="AutoShape 10" descr="Wasps">
          <a:extLst>
            <a:ext uri="{FF2B5EF4-FFF2-40B4-BE49-F238E27FC236}">
              <a16:creationId xmlns:a16="http://schemas.microsoft.com/office/drawing/2014/main" id="{CD6F032E-7965-4552-8FBA-CE52B785B27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368" name="AutoShape 10" descr="Wasps">
          <a:extLst>
            <a:ext uri="{FF2B5EF4-FFF2-40B4-BE49-F238E27FC236}">
              <a16:creationId xmlns:a16="http://schemas.microsoft.com/office/drawing/2014/main" id="{864E31D8-4C05-4902-9BBD-0595FCC905DB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2284"/>
    <xdr:sp macro="" textlink="">
      <xdr:nvSpPr>
        <xdr:cNvPr id="369" name="AutoShape 10" descr="Wasps">
          <a:extLst>
            <a:ext uri="{FF2B5EF4-FFF2-40B4-BE49-F238E27FC236}">
              <a16:creationId xmlns:a16="http://schemas.microsoft.com/office/drawing/2014/main" id="{B0CBC378-A230-43B7-A078-5BF70E682E88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2284"/>
    <xdr:sp macro="" textlink="">
      <xdr:nvSpPr>
        <xdr:cNvPr id="370" name="AutoShape 10" descr="Wasps">
          <a:extLst>
            <a:ext uri="{FF2B5EF4-FFF2-40B4-BE49-F238E27FC236}">
              <a16:creationId xmlns:a16="http://schemas.microsoft.com/office/drawing/2014/main" id="{2CEF4256-FD5E-4738-BD71-146EF765B90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302284"/>
    <xdr:sp macro="" textlink="">
      <xdr:nvSpPr>
        <xdr:cNvPr id="371" name="AutoShape 10" descr="Wasps">
          <a:extLst>
            <a:ext uri="{FF2B5EF4-FFF2-40B4-BE49-F238E27FC236}">
              <a16:creationId xmlns:a16="http://schemas.microsoft.com/office/drawing/2014/main" id="{DFD88D16-4EA8-415A-A404-91FE6B29EAFE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302284"/>
    <xdr:sp macro="" textlink="">
      <xdr:nvSpPr>
        <xdr:cNvPr id="372" name="AutoShape 10" descr="Wasps">
          <a:extLst>
            <a:ext uri="{FF2B5EF4-FFF2-40B4-BE49-F238E27FC236}">
              <a16:creationId xmlns:a16="http://schemas.microsoft.com/office/drawing/2014/main" id="{A3A7B9C4-ABC0-4C41-9DDF-8F6B0BF3B3BA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02284"/>
    <xdr:sp macro="" textlink="">
      <xdr:nvSpPr>
        <xdr:cNvPr id="373" name="AutoShape 10" descr="Wasps">
          <a:extLst>
            <a:ext uri="{FF2B5EF4-FFF2-40B4-BE49-F238E27FC236}">
              <a16:creationId xmlns:a16="http://schemas.microsoft.com/office/drawing/2014/main" id="{BF425C0D-41D6-4D91-B39C-28F6D22BBE57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02284"/>
    <xdr:sp macro="" textlink="">
      <xdr:nvSpPr>
        <xdr:cNvPr id="374" name="AutoShape 10" descr="Wasps">
          <a:extLst>
            <a:ext uri="{FF2B5EF4-FFF2-40B4-BE49-F238E27FC236}">
              <a16:creationId xmlns:a16="http://schemas.microsoft.com/office/drawing/2014/main" id="{C7C3DDF3-AE97-4C75-8D4D-7F403C3D155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02284"/>
    <xdr:sp macro="" textlink="">
      <xdr:nvSpPr>
        <xdr:cNvPr id="375" name="AutoShape 10" descr="Wasps">
          <a:extLst>
            <a:ext uri="{FF2B5EF4-FFF2-40B4-BE49-F238E27FC236}">
              <a16:creationId xmlns:a16="http://schemas.microsoft.com/office/drawing/2014/main" id="{2F5F7346-1208-4455-AC5C-073BFC53103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02284"/>
    <xdr:sp macro="" textlink="">
      <xdr:nvSpPr>
        <xdr:cNvPr id="376" name="AutoShape 10" descr="Wasps">
          <a:extLst>
            <a:ext uri="{FF2B5EF4-FFF2-40B4-BE49-F238E27FC236}">
              <a16:creationId xmlns:a16="http://schemas.microsoft.com/office/drawing/2014/main" id="{31DB2FB3-616B-4117-973C-40E6793BE14B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377" name="AutoShape 10" descr="Wasps">
          <a:extLst>
            <a:ext uri="{FF2B5EF4-FFF2-40B4-BE49-F238E27FC236}">
              <a16:creationId xmlns:a16="http://schemas.microsoft.com/office/drawing/2014/main" id="{858201F0-E926-4C00-82C5-738F4FFA059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304800" cy="302284"/>
    <xdr:sp macro="" textlink="">
      <xdr:nvSpPr>
        <xdr:cNvPr id="378" name="AutoShape 11" descr="Gloucester Rugby">
          <a:extLst>
            <a:ext uri="{FF2B5EF4-FFF2-40B4-BE49-F238E27FC236}">
              <a16:creationId xmlns:a16="http://schemas.microsoft.com/office/drawing/2014/main" id="{3100CB36-78A5-4124-AA7A-4A8F20A0CE6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48905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381" name="AutoShape 10" descr="Wasps">
          <a:extLst>
            <a:ext uri="{FF2B5EF4-FFF2-40B4-BE49-F238E27FC236}">
              <a16:creationId xmlns:a16="http://schemas.microsoft.com/office/drawing/2014/main" id="{87F95532-72FC-4FA9-9331-C2DE5FEC9421}"/>
            </a:ext>
          </a:extLst>
        </xdr:cNvPr>
        <xdr:cNvSpPr>
          <a:spLocks noChangeAspect="1" noChangeArrowheads="1"/>
        </xdr:cNvSpPr>
      </xdr:nvSpPr>
      <xdr:spPr bwMode="auto">
        <a:xfrm>
          <a:off x="5736566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382" name="AutoShape 10" descr="Wasps">
          <a:extLst>
            <a:ext uri="{FF2B5EF4-FFF2-40B4-BE49-F238E27FC236}">
              <a16:creationId xmlns:a16="http://schemas.microsoft.com/office/drawing/2014/main" id="{59FDB2CA-D62F-4090-8BD4-7757E30339BA}"/>
            </a:ext>
          </a:extLst>
        </xdr:cNvPr>
        <xdr:cNvSpPr>
          <a:spLocks noChangeAspect="1" noChangeArrowheads="1"/>
        </xdr:cNvSpPr>
      </xdr:nvSpPr>
      <xdr:spPr bwMode="auto">
        <a:xfrm>
          <a:off x="5736566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383" name="AutoShape 10" descr="Wasps">
          <a:extLst>
            <a:ext uri="{FF2B5EF4-FFF2-40B4-BE49-F238E27FC236}">
              <a16:creationId xmlns:a16="http://schemas.microsoft.com/office/drawing/2014/main" id="{985746FE-5E32-461B-883C-7F069499CFB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384" name="AutoShape 10" descr="Wasps">
          <a:extLst>
            <a:ext uri="{FF2B5EF4-FFF2-40B4-BE49-F238E27FC236}">
              <a16:creationId xmlns:a16="http://schemas.microsoft.com/office/drawing/2014/main" id="{67D46AD2-38CC-4228-AB9B-A91B4DF8C8DC}"/>
            </a:ext>
          </a:extLst>
        </xdr:cNvPr>
        <xdr:cNvSpPr>
          <a:spLocks noChangeAspect="1" noChangeArrowheads="1"/>
        </xdr:cNvSpPr>
      </xdr:nvSpPr>
      <xdr:spPr bwMode="auto">
        <a:xfrm>
          <a:off x="5736566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385" name="AutoShape 10" descr="Wasps">
          <a:extLst>
            <a:ext uri="{FF2B5EF4-FFF2-40B4-BE49-F238E27FC236}">
              <a16:creationId xmlns:a16="http://schemas.microsoft.com/office/drawing/2014/main" id="{085DBEB7-E5AF-4F7C-8ABE-5CAF55D954B2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386" name="AutoShape 10" descr="Wasps">
          <a:extLst>
            <a:ext uri="{FF2B5EF4-FFF2-40B4-BE49-F238E27FC236}">
              <a16:creationId xmlns:a16="http://schemas.microsoft.com/office/drawing/2014/main" id="{9D6B730B-98A4-4F30-9013-D526A286C29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387" name="AutoShape 10" descr="Wasps">
          <a:extLst>
            <a:ext uri="{FF2B5EF4-FFF2-40B4-BE49-F238E27FC236}">
              <a16:creationId xmlns:a16="http://schemas.microsoft.com/office/drawing/2014/main" id="{77754494-F3BD-4BC3-BD39-8B35574C410C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388" name="AutoShape 10" descr="Wasps">
          <a:extLst>
            <a:ext uri="{FF2B5EF4-FFF2-40B4-BE49-F238E27FC236}">
              <a16:creationId xmlns:a16="http://schemas.microsoft.com/office/drawing/2014/main" id="{7B2933DF-D219-4045-90BB-4B8D5D991968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389" name="AutoShape 10" descr="Wasps">
          <a:extLst>
            <a:ext uri="{FF2B5EF4-FFF2-40B4-BE49-F238E27FC236}">
              <a16:creationId xmlns:a16="http://schemas.microsoft.com/office/drawing/2014/main" id="{C6B64764-F07F-492B-8798-E92E79876318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390" name="AutoShape 10" descr="Wasps">
          <a:extLst>
            <a:ext uri="{FF2B5EF4-FFF2-40B4-BE49-F238E27FC236}">
              <a16:creationId xmlns:a16="http://schemas.microsoft.com/office/drawing/2014/main" id="{ED63E377-859B-4591-A9B2-CB0E937A324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391" name="AutoShape 10" descr="Wasps">
          <a:extLst>
            <a:ext uri="{FF2B5EF4-FFF2-40B4-BE49-F238E27FC236}">
              <a16:creationId xmlns:a16="http://schemas.microsoft.com/office/drawing/2014/main" id="{01456754-347F-438A-808A-176F42D4ED4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392" name="AutoShape 10" descr="Wasps">
          <a:extLst>
            <a:ext uri="{FF2B5EF4-FFF2-40B4-BE49-F238E27FC236}">
              <a16:creationId xmlns:a16="http://schemas.microsoft.com/office/drawing/2014/main" id="{23E8CF0C-7E76-4B22-B70B-60232FA278FD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393" name="AutoShape 10" descr="Wasps">
          <a:extLst>
            <a:ext uri="{FF2B5EF4-FFF2-40B4-BE49-F238E27FC236}">
              <a16:creationId xmlns:a16="http://schemas.microsoft.com/office/drawing/2014/main" id="{71EBBFBA-C5F7-40DE-A8B7-0F7AC3034EEA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394" name="AutoShape 10" descr="Wasps">
          <a:extLst>
            <a:ext uri="{FF2B5EF4-FFF2-40B4-BE49-F238E27FC236}">
              <a16:creationId xmlns:a16="http://schemas.microsoft.com/office/drawing/2014/main" id="{82E541EC-C2CD-4C1B-B4F7-FA37B1FF50DC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395" name="AutoShape 10" descr="Wasps">
          <a:extLst>
            <a:ext uri="{FF2B5EF4-FFF2-40B4-BE49-F238E27FC236}">
              <a16:creationId xmlns:a16="http://schemas.microsoft.com/office/drawing/2014/main" id="{C6B35333-E0F7-4125-8FD6-D03617CE2A0E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396" name="AutoShape 10" descr="Wasps">
          <a:extLst>
            <a:ext uri="{FF2B5EF4-FFF2-40B4-BE49-F238E27FC236}">
              <a16:creationId xmlns:a16="http://schemas.microsoft.com/office/drawing/2014/main" id="{C843D3E8-9928-436C-8887-F07C94536650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304800" cy="302284"/>
    <xdr:sp macro="" textlink="">
      <xdr:nvSpPr>
        <xdr:cNvPr id="397" name="AutoShape 10" descr="Wasps">
          <a:extLst>
            <a:ext uri="{FF2B5EF4-FFF2-40B4-BE49-F238E27FC236}">
              <a16:creationId xmlns:a16="http://schemas.microsoft.com/office/drawing/2014/main" id="{852F6297-2011-4DD1-A7D5-803498C02380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871268</xdr:colOff>
      <xdr:row>56</xdr:row>
      <xdr:rowOff>17253</xdr:rowOff>
    </xdr:from>
    <xdr:ext cx="304800" cy="302284"/>
    <xdr:sp macro="" textlink="">
      <xdr:nvSpPr>
        <xdr:cNvPr id="398" name="AutoShape 1" descr="Bristol Bears">
          <a:extLst>
            <a:ext uri="{FF2B5EF4-FFF2-40B4-BE49-F238E27FC236}">
              <a16:creationId xmlns:a16="http://schemas.microsoft.com/office/drawing/2014/main" id="{412AAC57-4162-4E5D-83D6-16539E7FDC6F}"/>
            </a:ext>
          </a:extLst>
        </xdr:cNvPr>
        <xdr:cNvSpPr>
          <a:spLocks noChangeAspect="1" noChangeArrowheads="1"/>
        </xdr:cNvSpPr>
      </xdr:nvSpPr>
      <xdr:spPr bwMode="auto">
        <a:xfrm rot="2218041">
          <a:off x="871268" y="111539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2284"/>
    <xdr:sp macro="" textlink="">
      <xdr:nvSpPr>
        <xdr:cNvPr id="400" name="AutoShape 3" descr="Harlequins">
          <a:extLst>
            <a:ext uri="{FF2B5EF4-FFF2-40B4-BE49-F238E27FC236}">
              <a16:creationId xmlns:a16="http://schemas.microsoft.com/office/drawing/2014/main" id="{805FD96B-F207-41A3-954E-A7CCFF83425C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401" name="AutoShape 4" descr="Sale Sharks">
          <a:extLst>
            <a:ext uri="{FF2B5EF4-FFF2-40B4-BE49-F238E27FC236}">
              <a16:creationId xmlns:a16="http://schemas.microsoft.com/office/drawing/2014/main" id="{BDB1D175-8729-4526-A6B3-8A54816F728E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402" name="AutoShape 5" descr="Northampton Saints">
          <a:extLst>
            <a:ext uri="{FF2B5EF4-FFF2-40B4-BE49-F238E27FC236}">
              <a16:creationId xmlns:a16="http://schemas.microsoft.com/office/drawing/2014/main" id="{C9C6B75E-E90D-40E1-8823-E6364044C903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302284"/>
    <xdr:sp macro="" textlink="">
      <xdr:nvSpPr>
        <xdr:cNvPr id="403" name="AutoShape 6" descr="London Irish">
          <a:extLst>
            <a:ext uri="{FF2B5EF4-FFF2-40B4-BE49-F238E27FC236}">
              <a16:creationId xmlns:a16="http://schemas.microsoft.com/office/drawing/2014/main" id="{CBF13827-B3A7-4A55-B499-4526D51D41E4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302284"/>
    <xdr:sp macro="" textlink="">
      <xdr:nvSpPr>
        <xdr:cNvPr id="404" name="AutoShape 7" descr="Leicester Tigers">
          <a:extLst>
            <a:ext uri="{FF2B5EF4-FFF2-40B4-BE49-F238E27FC236}">
              <a16:creationId xmlns:a16="http://schemas.microsoft.com/office/drawing/2014/main" id="{E69136C3-1B1B-455B-A2D3-2B390D4F371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379562</xdr:colOff>
      <xdr:row>25</xdr:row>
      <xdr:rowOff>8627</xdr:rowOff>
    </xdr:from>
    <xdr:ext cx="304800" cy="302284"/>
    <xdr:sp macro="" textlink="">
      <xdr:nvSpPr>
        <xdr:cNvPr id="405" name="AutoShape 8" descr="Newcastle Falcons">
          <a:extLst>
            <a:ext uri="{FF2B5EF4-FFF2-40B4-BE49-F238E27FC236}">
              <a16:creationId xmlns:a16="http://schemas.microsoft.com/office/drawing/2014/main" id="{AABA442B-E1EE-4402-9608-607B10349BBE}"/>
            </a:ext>
          </a:extLst>
        </xdr:cNvPr>
        <xdr:cNvSpPr>
          <a:spLocks noChangeAspect="1" noChangeArrowheads="1"/>
        </xdr:cNvSpPr>
      </xdr:nvSpPr>
      <xdr:spPr bwMode="auto">
        <a:xfrm>
          <a:off x="4364966" y="475315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23</xdr:row>
      <xdr:rowOff>0</xdr:rowOff>
    </xdr:from>
    <xdr:ext cx="298150" cy="302284"/>
    <xdr:sp macro="" textlink="">
      <xdr:nvSpPr>
        <xdr:cNvPr id="406" name="AutoShape 9" descr="Bath Rugby">
          <a:extLst>
            <a:ext uri="{FF2B5EF4-FFF2-40B4-BE49-F238E27FC236}">
              <a16:creationId xmlns:a16="http://schemas.microsoft.com/office/drawing/2014/main" id="{67670F35-C77B-417B-B8D5-A1D2A568971C}"/>
            </a:ext>
          </a:extLst>
        </xdr:cNvPr>
        <xdr:cNvSpPr>
          <a:spLocks noChangeAspect="1" noChangeArrowheads="1"/>
        </xdr:cNvSpPr>
      </xdr:nvSpPr>
      <xdr:spPr bwMode="auto">
        <a:xfrm>
          <a:off x="5733691" y="438401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407" name="AutoShape 1" descr="Bristol Bears">
          <a:extLst>
            <a:ext uri="{FF2B5EF4-FFF2-40B4-BE49-F238E27FC236}">
              <a16:creationId xmlns:a16="http://schemas.microsoft.com/office/drawing/2014/main" id="{22B88471-710D-4105-9307-7857304465BA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31387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408" name="AutoShape 2" descr="Exeter Chiefs">
          <a:extLst>
            <a:ext uri="{FF2B5EF4-FFF2-40B4-BE49-F238E27FC236}">
              <a16:creationId xmlns:a16="http://schemas.microsoft.com/office/drawing/2014/main" id="{522D741F-6B3D-41E9-BACF-185937958180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409" name="AutoShape 3" descr="Harlequins">
          <a:extLst>
            <a:ext uri="{FF2B5EF4-FFF2-40B4-BE49-F238E27FC236}">
              <a16:creationId xmlns:a16="http://schemas.microsoft.com/office/drawing/2014/main" id="{CA544298-BB1D-4804-95ED-8543EAA1474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2284"/>
    <xdr:sp macro="" textlink="">
      <xdr:nvSpPr>
        <xdr:cNvPr id="410" name="AutoShape 4" descr="Sale Sharks">
          <a:extLst>
            <a:ext uri="{FF2B5EF4-FFF2-40B4-BE49-F238E27FC236}">
              <a16:creationId xmlns:a16="http://schemas.microsoft.com/office/drawing/2014/main" id="{E5FA9277-F8E9-4412-A4FD-64A6A4014F27}"/>
            </a:ext>
          </a:extLst>
        </xdr:cNvPr>
        <xdr:cNvSpPr>
          <a:spLocks noChangeAspect="1" noChangeArrowheads="1"/>
        </xdr:cNvSpPr>
      </xdr:nvSpPr>
      <xdr:spPr bwMode="auto">
        <a:xfrm>
          <a:off x="5736566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302284"/>
    <xdr:sp macro="" textlink="">
      <xdr:nvSpPr>
        <xdr:cNvPr id="411" name="AutoShape 5" descr="Northampton Saints">
          <a:extLst>
            <a:ext uri="{FF2B5EF4-FFF2-40B4-BE49-F238E27FC236}">
              <a16:creationId xmlns:a16="http://schemas.microsoft.com/office/drawing/2014/main" id="{3081ED06-8E0E-4EDC-8C7E-2D4CB6CFC5C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02284"/>
    <xdr:sp macro="" textlink="">
      <xdr:nvSpPr>
        <xdr:cNvPr id="412" name="AutoShape 6" descr="London Irish">
          <a:extLst>
            <a:ext uri="{FF2B5EF4-FFF2-40B4-BE49-F238E27FC236}">
              <a16:creationId xmlns:a16="http://schemas.microsoft.com/office/drawing/2014/main" id="{D25E3BF8-F477-4C4E-8082-4BF69419F32D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02284"/>
    <xdr:sp macro="" textlink="">
      <xdr:nvSpPr>
        <xdr:cNvPr id="413" name="AutoShape 7" descr="Leicester Tigers">
          <a:extLst>
            <a:ext uri="{FF2B5EF4-FFF2-40B4-BE49-F238E27FC236}">
              <a16:creationId xmlns:a16="http://schemas.microsoft.com/office/drawing/2014/main" id="{EEEE86E7-7CEF-4985-A6CF-20D66E93918E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414" name="AutoShape 8" descr="Newcastle Falcons">
          <a:extLst>
            <a:ext uri="{FF2B5EF4-FFF2-40B4-BE49-F238E27FC236}">
              <a16:creationId xmlns:a16="http://schemas.microsoft.com/office/drawing/2014/main" id="{51EB6DE2-6C42-4D8F-B783-3037B50BA684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415" name="AutoShape 1" descr="Bristol Bears">
          <a:extLst>
            <a:ext uri="{FF2B5EF4-FFF2-40B4-BE49-F238E27FC236}">
              <a16:creationId xmlns:a16="http://schemas.microsoft.com/office/drawing/2014/main" id="{CF4D618C-BBCA-4BAD-9771-B0DACB14EA0F}"/>
            </a:ext>
          </a:extLst>
        </xdr:cNvPr>
        <xdr:cNvSpPr>
          <a:spLocks noChangeAspect="1" noChangeArrowheads="1"/>
        </xdr:cNvSpPr>
      </xdr:nvSpPr>
      <xdr:spPr bwMode="auto">
        <a:xfrm>
          <a:off x="5736566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416" name="AutoShape 2" descr="Exeter Chiefs">
          <a:extLst>
            <a:ext uri="{FF2B5EF4-FFF2-40B4-BE49-F238E27FC236}">
              <a16:creationId xmlns:a16="http://schemas.microsoft.com/office/drawing/2014/main" id="{0E4BBFA8-C9F5-4DDE-A481-40C9DDDB9717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16058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417" name="AutoShape 3" descr="Harlequins">
          <a:extLst>
            <a:ext uri="{FF2B5EF4-FFF2-40B4-BE49-F238E27FC236}">
              <a16:creationId xmlns:a16="http://schemas.microsoft.com/office/drawing/2014/main" id="{7FC1468C-5B27-4EA3-94B0-2A046D401170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3503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418" name="AutoShape 4" descr="Sale Sharks">
          <a:extLst>
            <a:ext uri="{FF2B5EF4-FFF2-40B4-BE49-F238E27FC236}">
              <a16:creationId xmlns:a16="http://schemas.microsoft.com/office/drawing/2014/main" id="{B83F1B97-ABBE-4F33-89A1-C917D9098824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5401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419" name="AutoShape 5" descr="Northampton Saints">
          <a:extLst>
            <a:ext uri="{FF2B5EF4-FFF2-40B4-BE49-F238E27FC236}">
              <a16:creationId xmlns:a16="http://schemas.microsoft.com/office/drawing/2014/main" id="{03ED17AB-D482-4780-BE3D-1AE4064D21B5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7299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420" name="AutoShape 6" descr="London Irish">
          <a:extLst>
            <a:ext uri="{FF2B5EF4-FFF2-40B4-BE49-F238E27FC236}">
              <a16:creationId xmlns:a16="http://schemas.microsoft.com/office/drawing/2014/main" id="{9B312FFF-CE62-49B9-8A16-A1B090801D81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91971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421" name="AutoShape 7" descr="Leicester Tigers">
          <a:extLst>
            <a:ext uri="{FF2B5EF4-FFF2-40B4-BE49-F238E27FC236}">
              <a16:creationId xmlns:a16="http://schemas.microsoft.com/office/drawing/2014/main" id="{BC2D7097-637F-4879-B775-B4A7F792DEA6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10949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304800" cy="302284"/>
    <xdr:sp macro="" textlink="">
      <xdr:nvSpPr>
        <xdr:cNvPr id="422" name="AutoShape 8" descr="Newcastle Falcons">
          <a:extLst>
            <a:ext uri="{FF2B5EF4-FFF2-40B4-BE49-F238E27FC236}">
              <a16:creationId xmlns:a16="http://schemas.microsoft.com/office/drawing/2014/main" id="{C86E8BF8-0237-4529-879A-43E27B92D63B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29927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40</xdr:row>
      <xdr:rowOff>19050</xdr:rowOff>
    </xdr:from>
    <xdr:ext cx="298150" cy="302284"/>
    <xdr:sp macro="" textlink="">
      <xdr:nvSpPr>
        <xdr:cNvPr id="423" name="AutoShape 9" descr="Bath Rugby">
          <a:extLst>
            <a:ext uri="{FF2B5EF4-FFF2-40B4-BE49-F238E27FC236}">
              <a16:creationId xmlns:a16="http://schemas.microsoft.com/office/drawing/2014/main" id="{3B8FC506-9FDB-4B4E-8302-3347CD090758}"/>
            </a:ext>
          </a:extLst>
        </xdr:cNvPr>
        <xdr:cNvSpPr>
          <a:spLocks noChangeAspect="1" noChangeArrowheads="1"/>
        </xdr:cNvSpPr>
      </xdr:nvSpPr>
      <xdr:spPr bwMode="auto">
        <a:xfrm>
          <a:off x="5733691" y="8179639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304800" cy="302284"/>
    <xdr:sp macro="" textlink="">
      <xdr:nvSpPr>
        <xdr:cNvPr id="424" name="AutoShape 10" descr="Wasps">
          <a:extLst>
            <a:ext uri="{FF2B5EF4-FFF2-40B4-BE49-F238E27FC236}">
              <a16:creationId xmlns:a16="http://schemas.microsoft.com/office/drawing/2014/main" id="{15C1514C-A958-49C8-9BB5-04E2AF42F64D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6788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310551</xdr:colOff>
      <xdr:row>25</xdr:row>
      <xdr:rowOff>129396</xdr:rowOff>
    </xdr:from>
    <xdr:ext cx="304800" cy="302284"/>
    <xdr:sp macro="" textlink="">
      <xdr:nvSpPr>
        <xdr:cNvPr id="425" name="AutoShape 1" descr="Bristol Bears">
          <a:extLst>
            <a:ext uri="{FF2B5EF4-FFF2-40B4-BE49-F238E27FC236}">
              <a16:creationId xmlns:a16="http://schemas.microsoft.com/office/drawing/2014/main" id="{2A0FEE44-4428-493A-B5B9-2636000F5340}"/>
            </a:ext>
          </a:extLst>
        </xdr:cNvPr>
        <xdr:cNvSpPr>
          <a:spLocks noChangeAspect="1" noChangeArrowheads="1"/>
        </xdr:cNvSpPr>
      </xdr:nvSpPr>
      <xdr:spPr bwMode="auto">
        <a:xfrm>
          <a:off x="10541479" y="487392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2284"/>
    <xdr:sp macro="" textlink="">
      <xdr:nvSpPr>
        <xdr:cNvPr id="426" name="AutoShape 2" descr="Exeter Chiefs">
          <a:extLst>
            <a:ext uri="{FF2B5EF4-FFF2-40B4-BE49-F238E27FC236}">
              <a16:creationId xmlns:a16="http://schemas.microsoft.com/office/drawing/2014/main" id="{2DA2810C-3F02-44C6-858B-BD40DED79DFA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2284"/>
    <xdr:sp macro="" textlink="">
      <xdr:nvSpPr>
        <xdr:cNvPr id="427" name="AutoShape 3" descr="Harlequins">
          <a:extLst>
            <a:ext uri="{FF2B5EF4-FFF2-40B4-BE49-F238E27FC236}">
              <a16:creationId xmlns:a16="http://schemas.microsoft.com/office/drawing/2014/main" id="{BB7B864D-7160-42B4-AC96-1A2EEFCD8779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2284"/>
    <xdr:sp macro="" textlink="">
      <xdr:nvSpPr>
        <xdr:cNvPr id="428" name="AutoShape 4" descr="Sale Sharks">
          <a:extLst>
            <a:ext uri="{FF2B5EF4-FFF2-40B4-BE49-F238E27FC236}">
              <a16:creationId xmlns:a16="http://schemas.microsoft.com/office/drawing/2014/main" id="{A25F9812-D74D-414C-9CBF-7C9ADEC68322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2284"/>
    <xdr:sp macro="" textlink="">
      <xdr:nvSpPr>
        <xdr:cNvPr id="429" name="AutoShape 5" descr="Northampton Saints">
          <a:extLst>
            <a:ext uri="{FF2B5EF4-FFF2-40B4-BE49-F238E27FC236}">
              <a16:creationId xmlns:a16="http://schemas.microsoft.com/office/drawing/2014/main" id="{8405A2BB-D099-4C12-95D5-84195571AEE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2284"/>
    <xdr:sp macro="" textlink="">
      <xdr:nvSpPr>
        <xdr:cNvPr id="430" name="AutoShape 6" descr="London Irish">
          <a:extLst>
            <a:ext uri="{FF2B5EF4-FFF2-40B4-BE49-F238E27FC236}">
              <a16:creationId xmlns:a16="http://schemas.microsoft.com/office/drawing/2014/main" id="{418F4592-62FD-4F1C-99BA-0EBCA73E7D4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2284"/>
    <xdr:sp macro="" textlink="">
      <xdr:nvSpPr>
        <xdr:cNvPr id="431" name="AutoShape 7" descr="Leicester Tigers">
          <a:extLst>
            <a:ext uri="{FF2B5EF4-FFF2-40B4-BE49-F238E27FC236}">
              <a16:creationId xmlns:a16="http://schemas.microsoft.com/office/drawing/2014/main" id="{E4BABC7D-6C46-473D-B480-14A64546D93F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2284"/>
    <xdr:sp macro="" textlink="">
      <xdr:nvSpPr>
        <xdr:cNvPr id="432" name="AutoShape 8" descr="Newcastle Falcons">
          <a:extLst>
            <a:ext uri="{FF2B5EF4-FFF2-40B4-BE49-F238E27FC236}">
              <a16:creationId xmlns:a16="http://schemas.microsoft.com/office/drawing/2014/main" id="{CF1B858D-701F-4095-8C59-F7982CD1B6BC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11</xdr:row>
      <xdr:rowOff>19050</xdr:rowOff>
    </xdr:from>
    <xdr:ext cx="298150" cy="302284"/>
    <xdr:sp macro="" textlink="">
      <xdr:nvSpPr>
        <xdr:cNvPr id="433" name="AutoShape 9" descr="Bath Rugby">
          <a:extLst>
            <a:ext uri="{FF2B5EF4-FFF2-40B4-BE49-F238E27FC236}">
              <a16:creationId xmlns:a16="http://schemas.microsoft.com/office/drawing/2014/main" id="{E66EB771-87B4-4A31-A4F3-12877CE92E3C}"/>
            </a:ext>
          </a:extLst>
        </xdr:cNvPr>
        <xdr:cNvSpPr>
          <a:spLocks noChangeAspect="1" noChangeArrowheads="1"/>
        </xdr:cNvSpPr>
      </xdr:nvSpPr>
      <xdr:spPr bwMode="auto">
        <a:xfrm>
          <a:off x="10555857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13</xdr:row>
      <xdr:rowOff>181156</xdr:rowOff>
    </xdr:from>
    <xdr:ext cx="304800" cy="302284"/>
    <xdr:sp macro="" textlink="">
      <xdr:nvSpPr>
        <xdr:cNvPr id="434" name="AutoShape 10" descr="Wasps">
          <a:extLst>
            <a:ext uri="{FF2B5EF4-FFF2-40B4-BE49-F238E27FC236}">
              <a16:creationId xmlns:a16="http://schemas.microsoft.com/office/drawing/2014/main" id="{A319D372-4D94-45C3-86BB-BED44588A090}"/>
            </a:ext>
          </a:extLst>
        </xdr:cNvPr>
        <xdr:cNvSpPr>
          <a:spLocks noChangeAspect="1" noChangeArrowheads="1"/>
        </xdr:cNvSpPr>
      </xdr:nvSpPr>
      <xdr:spPr bwMode="auto">
        <a:xfrm>
          <a:off x="10610491" y="226874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435" name="AutoShape 1" descr="Bristol Bears">
          <a:extLst>
            <a:ext uri="{FF2B5EF4-FFF2-40B4-BE49-F238E27FC236}">
              <a16:creationId xmlns:a16="http://schemas.microsoft.com/office/drawing/2014/main" id="{B3FD3748-DEE5-4426-81D9-52EA737D7129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436" name="AutoShape 2" descr="Exeter Chiefs">
          <a:extLst>
            <a:ext uri="{FF2B5EF4-FFF2-40B4-BE49-F238E27FC236}">
              <a16:creationId xmlns:a16="http://schemas.microsoft.com/office/drawing/2014/main" id="{588F855B-FBBF-480F-BCE2-F5A9CD775B74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437" name="AutoShape 3" descr="Harlequins">
          <a:extLst>
            <a:ext uri="{FF2B5EF4-FFF2-40B4-BE49-F238E27FC236}">
              <a16:creationId xmlns:a16="http://schemas.microsoft.com/office/drawing/2014/main" id="{48EB3A75-6ECE-4F28-830F-626A0CF341A7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438" name="AutoShape 4" descr="Sale Sharks">
          <a:extLst>
            <a:ext uri="{FF2B5EF4-FFF2-40B4-BE49-F238E27FC236}">
              <a16:creationId xmlns:a16="http://schemas.microsoft.com/office/drawing/2014/main" id="{E4D7C0D4-275B-4F28-A01F-5845D4326271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439" name="AutoShape 5" descr="Northampton Saints">
          <a:extLst>
            <a:ext uri="{FF2B5EF4-FFF2-40B4-BE49-F238E27FC236}">
              <a16:creationId xmlns:a16="http://schemas.microsoft.com/office/drawing/2014/main" id="{AF750089-011E-4CD6-8101-3A2E566E9B9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440" name="AutoShape 6" descr="London Irish">
          <a:extLst>
            <a:ext uri="{FF2B5EF4-FFF2-40B4-BE49-F238E27FC236}">
              <a16:creationId xmlns:a16="http://schemas.microsoft.com/office/drawing/2014/main" id="{203A0359-22C5-4CBC-87F2-B0A58D245E29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441" name="AutoShape 7" descr="Leicester Tigers">
          <a:extLst>
            <a:ext uri="{FF2B5EF4-FFF2-40B4-BE49-F238E27FC236}">
              <a16:creationId xmlns:a16="http://schemas.microsoft.com/office/drawing/2014/main" id="{D28D6983-ED21-4E9B-9CD1-E9D0AFB1FC74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621102</xdr:colOff>
      <xdr:row>60</xdr:row>
      <xdr:rowOff>138022</xdr:rowOff>
    </xdr:from>
    <xdr:ext cx="304800" cy="302284"/>
    <xdr:sp macro="" textlink="">
      <xdr:nvSpPr>
        <xdr:cNvPr id="442" name="AutoShape 1" descr="Bristol Bears">
          <a:extLst>
            <a:ext uri="{FF2B5EF4-FFF2-40B4-BE49-F238E27FC236}">
              <a16:creationId xmlns:a16="http://schemas.microsoft.com/office/drawing/2014/main" id="{0660E816-2947-48A1-ABD9-19E10CE4464D}"/>
            </a:ext>
          </a:extLst>
        </xdr:cNvPr>
        <xdr:cNvSpPr>
          <a:spLocks noChangeAspect="1" noChangeArrowheads="1"/>
        </xdr:cNvSpPr>
      </xdr:nvSpPr>
      <xdr:spPr bwMode="auto">
        <a:xfrm>
          <a:off x="621102" y="1199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443" name="AutoShape 2" descr="Exeter Chiefs">
          <a:extLst>
            <a:ext uri="{FF2B5EF4-FFF2-40B4-BE49-F238E27FC236}">
              <a16:creationId xmlns:a16="http://schemas.microsoft.com/office/drawing/2014/main" id="{3C709870-9B3D-4AF1-8C12-0C8659B6B6F5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444" name="AutoShape 3" descr="Harlequins">
          <a:extLst>
            <a:ext uri="{FF2B5EF4-FFF2-40B4-BE49-F238E27FC236}">
              <a16:creationId xmlns:a16="http://schemas.microsoft.com/office/drawing/2014/main" id="{6FFA604D-6C7E-4025-8149-56CF72C62BE0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445" name="AutoShape 4" descr="Sale Sharks">
          <a:extLst>
            <a:ext uri="{FF2B5EF4-FFF2-40B4-BE49-F238E27FC236}">
              <a16:creationId xmlns:a16="http://schemas.microsoft.com/office/drawing/2014/main" id="{197B0567-9821-4626-A9EC-2847E636BFFD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302284"/>
    <xdr:sp macro="" textlink="">
      <xdr:nvSpPr>
        <xdr:cNvPr id="446" name="AutoShape 5" descr="Northampton Saints">
          <a:extLst>
            <a:ext uri="{FF2B5EF4-FFF2-40B4-BE49-F238E27FC236}">
              <a16:creationId xmlns:a16="http://schemas.microsoft.com/office/drawing/2014/main" id="{F9C52158-A9F4-4349-A4A2-BA01BA2A8D76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2284"/>
    <xdr:sp macro="" textlink="">
      <xdr:nvSpPr>
        <xdr:cNvPr id="447" name="AutoShape 6" descr="London Irish">
          <a:extLst>
            <a:ext uri="{FF2B5EF4-FFF2-40B4-BE49-F238E27FC236}">
              <a16:creationId xmlns:a16="http://schemas.microsoft.com/office/drawing/2014/main" id="{E41B6E55-55B5-49A2-BC9F-29157099659D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02284"/>
    <xdr:sp macro="" textlink="">
      <xdr:nvSpPr>
        <xdr:cNvPr id="448" name="AutoShape 7" descr="Leicester Tigers">
          <a:extLst>
            <a:ext uri="{FF2B5EF4-FFF2-40B4-BE49-F238E27FC236}">
              <a16:creationId xmlns:a16="http://schemas.microsoft.com/office/drawing/2014/main" id="{C057F060-F35B-42DA-B5AC-5A36BDE13814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21168</xdr:colOff>
      <xdr:row>40</xdr:row>
      <xdr:rowOff>0</xdr:rowOff>
    </xdr:from>
    <xdr:ext cx="304800" cy="302284"/>
    <xdr:sp macro="" textlink="">
      <xdr:nvSpPr>
        <xdr:cNvPr id="449" name="AutoShape 8" descr="Newcastle Falcons">
          <a:extLst>
            <a:ext uri="{FF2B5EF4-FFF2-40B4-BE49-F238E27FC236}">
              <a16:creationId xmlns:a16="http://schemas.microsoft.com/office/drawing/2014/main" id="{18EF4766-E722-40D4-8312-0F583DE33C9D}"/>
            </a:ext>
          </a:extLst>
        </xdr:cNvPr>
        <xdr:cNvSpPr>
          <a:spLocks noChangeAspect="1" noChangeArrowheads="1"/>
        </xdr:cNvSpPr>
      </xdr:nvSpPr>
      <xdr:spPr bwMode="auto">
        <a:xfrm>
          <a:off x="10579900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310910"/>
    <xdr:sp macro="" textlink="">
      <xdr:nvSpPr>
        <xdr:cNvPr id="451" name="AutoShape 6" descr="London Irish">
          <a:extLst>
            <a:ext uri="{FF2B5EF4-FFF2-40B4-BE49-F238E27FC236}">
              <a16:creationId xmlns:a16="http://schemas.microsoft.com/office/drawing/2014/main" id="{A00572BF-46FB-48EF-B77A-ECB9A4DF7118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79562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310911"/>
    <xdr:sp macro="" textlink="">
      <xdr:nvSpPr>
        <xdr:cNvPr id="452" name="AutoShape 7" descr="Leicester Tigers">
          <a:extLst>
            <a:ext uri="{FF2B5EF4-FFF2-40B4-BE49-F238E27FC236}">
              <a16:creationId xmlns:a16="http://schemas.microsoft.com/office/drawing/2014/main" id="{8F9BCBCE-7536-47F0-9364-03615B9AA520}"/>
            </a:ext>
          </a:extLst>
        </xdr:cNvPr>
        <xdr:cNvSpPr>
          <a:spLocks noChangeAspect="1" noChangeArrowheads="1"/>
        </xdr:cNvSpPr>
      </xdr:nvSpPr>
      <xdr:spPr bwMode="auto">
        <a:xfrm>
          <a:off x="5736566" y="3985404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10910"/>
    <xdr:sp macro="" textlink="">
      <xdr:nvSpPr>
        <xdr:cNvPr id="453" name="AutoShape 6" descr="London Irish">
          <a:extLst>
            <a:ext uri="{FF2B5EF4-FFF2-40B4-BE49-F238E27FC236}">
              <a16:creationId xmlns:a16="http://schemas.microsoft.com/office/drawing/2014/main" id="{443CCFC3-1D63-4E58-9358-21CB97087C62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262777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10911"/>
    <xdr:sp macro="" textlink="">
      <xdr:nvSpPr>
        <xdr:cNvPr id="454" name="AutoShape 7" descr="Leicester Tigers">
          <a:extLst>
            <a:ext uri="{FF2B5EF4-FFF2-40B4-BE49-F238E27FC236}">
              <a16:creationId xmlns:a16="http://schemas.microsoft.com/office/drawing/2014/main" id="{F5CD5558-370E-4BF3-9D56-76336DA9A2A6}"/>
            </a:ext>
          </a:extLst>
        </xdr:cNvPr>
        <xdr:cNvSpPr>
          <a:spLocks noChangeAspect="1" noChangeArrowheads="1"/>
        </xdr:cNvSpPr>
      </xdr:nvSpPr>
      <xdr:spPr bwMode="auto">
        <a:xfrm>
          <a:off x="5736566" y="6452558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10910"/>
    <xdr:sp macro="" textlink="">
      <xdr:nvSpPr>
        <xdr:cNvPr id="455" name="AutoShape 6" descr="London Irish">
          <a:extLst>
            <a:ext uri="{FF2B5EF4-FFF2-40B4-BE49-F238E27FC236}">
              <a16:creationId xmlns:a16="http://schemas.microsoft.com/office/drawing/2014/main" id="{3EA33627-B2D7-4B69-BE43-9F566692E560}"/>
            </a:ext>
          </a:extLst>
        </xdr:cNvPr>
        <xdr:cNvSpPr>
          <a:spLocks noChangeAspect="1" noChangeArrowheads="1"/>
        </xdr:cNvSpPr>
      </xdr:nvSpPr>
      <xdr:spPr bwMode="auto">
        <a:xfrm>
          <a:off x="5736566" y="8919713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10911"/>
    <xdr:sp macro="" textlink="">
      <xdr:nvSpPr>
        <xdr:cNvPr id="456" name="AutoShape 7" descr="Leicester Tigers">
          <a:extLst>
            <a:ext uri="{FF2B5EF4-FFF2-40B4-BE49-F238E27FC236}">
              <a16:creationId xmlns:a16="http://schemas.microsoft.com/office/drawing/2014/main" id="{FCD9FCF8-F96C-4E96-9215-2E0C185A3589}"/>
            </a:ext>
          </a:extLst>
        </xdr:cNvPr>
        <xdr:cNvSpPr>
          <a:spLocks noChangeAspect="1" noChangeArrowheads="1"/>
        </xdr:cNvSpPr>
      </xdr:nvSpPr>
      <xdr:spPr bwMode="auto">
        <a:xfrm>
          <a:off x="5736566" y="9109494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10910"/>
    <xdr:sp macro="" textlink="">
      <xdr:nvSpPr>
        <xdr:cNvPr id="457" name="AutoShape 6" descr="London Irish">
          <a:extLst>
            <a:ext uri="{FF2B5EF4-FFF2-40B4-BE49-F238E27FC236}">
              <a16:creationId xmlns:a16="http://schemas.microsoft.com/office/drawing/2014/main" id="{2D7D6B7E-C674-4CC1-BD26-32A1436F7E2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518249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10911"/>
    <xdr:sp macro="" textlink="">
      <xdr:nvSpPr>
        <xdr:cNvPr id="458" name="AutoShape 7" descr="Leicester Tigers">
          <a:extLst>
            <a:ext uri="{FF2B5EF4-FFF2-40B4-BE49-F238E27FC236}">
              <a16:creationId xmlns:a16="http://schemas.microsoft.com/office/drawing/2014/main" id="{434175F5-4649-4A26-B4C3-C7CB1C4B9827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1708030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10910"/>
    <xdr:sp macro="" textlink="">
      <xdr:nvSpPr>
        <xdr:cNvPr id="459" name="AutoShape 6" descr="London Irish">
          <a:extLst>
            <a:ext uri="{FF2B5EF4-FFF2-40B4-BE49-F238E27FC236}">
              <a16:creationId xmlns:a16="http://schemas.microsoft.com/office/drawing/2014/main" id="{6F63EE54-92E8-46E6-9891-66743CF3AD64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175185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10911"/>
    <xdr:sp macro="" textlink="">
      <xdr:nvSpPr>
        <xdr:cNvPr id="460" name="AutoShape 7" descr="Leicester Tigers">
          <a:extLst>
            <a:ext uri="{FF2B5EF4-FFF2-40B4-BE49-F238E27FC236}">
              <a16:creationId xmlns:a16="http://schemas.microsoft.com/office/drawing/2014/main" id="{7DCA62FB-F170-4E4C-B421-A770DC753D4A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10910"/>
    <xdr:sp macro="" textlink="">
      <xdr:nvSpPr>
        <xdr:cNvPr id="461" name="AutoShape 6" descr="London Irish">
          <a:extLst>
            <a:ext uri="{FF2B5EF4-FFF2-40B4-BE49-F238E27FC236}">
              <a16:creationId xmlns:a16="http://schemas.microsoft.com/office/drawing/2014/main" id="{9A9F3ACF-364F-4013-85B1-DA3AB8E4683B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452558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10911"/>
    <xdr:sp macro="" textlink="">
      <xdr:nvSpPr>
        <xdr:cNvPr id="462" name="AutoShape 7" descr="Leicester Tigers">
          <a:extLst>
            <a:ext uri="{FF2B5EF4-FFF2-40B4-BE49-F238E27FC236}">
              <a16:creationId xmlns:a16="http://schemas.microsoft.com/office/drawing/2014/main" id="{7D14A7AC-BC63-4FAD-A18A-6AD2DE44B043}"/>
            </a:ext>
          </a:extLst>
        </xdr:cNvPr>
        <xdr:cNvSpPr>
          <a:spLocks noChangeAspect="1" noChangeArrowheads="1"/>
        </xdr:cNvSpPr>
      </xdr:nvSpPr>
      <xdr:spPr bwMode="auto">
        <a:xfrm>
          <a:off x="10558732" y="6642340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304800" cy="500691"/>
    <xdr:sp macro="" textlink="">
      <xdr:nvSpPr>
        <xdr:cNvPr id="464" name="AutoShape 8" descr="Newcastle Falcons">
          <a:extLst>
            <a:ext uri="{FF2B5EF4-FFF2-40B4-BE49-F238E27FC236}">
              <a16:creationId xmlns:a16="http://schemas.microsoft.com/office/drawing/2014/main" id="{B2D8130E-FEA4-4D79-8B47-66EFC5F353CA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708030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12</xdr:row>
      <xdr:rowOff>19050</xdr:rowOff>
    </xdr:from>
    <xdr:ext cx="298149" cy="500691"/>
    <xdr:sp macro="" textlink="">
      <xdr:nvSpPr>
        <xdr:cNvPr id="465" name="AutoShape 9" descr="Bath Rugby">
          <a:extLst>
            <a:ext uri="{FF2B5EF4-FFF2-40B4-BE49-F238E27FC236}">
              <a16:creationId xmlns:a16="http://schemas.microsoft.com/office/drawing/2014/main" id="{740127A2-E1E0-4DD0-9B7A-5E7572DC1386}"/>
            </a:ext>
          </a:extLst>
        </xdr:cNvPr>
        <xdr:cNvSpPr>
          <a:spLocks noChangeAspect="1" noChangeArrowheads="1"/>
        </xdr:cNvSpPr>
      </xdr:nvSpPr>
      <xdr:spPr bwMode="auto">
        <a:xfrm>
          <a:off x="5543910" y="1916861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13</xdr:row>
      <xdr:rowOff>19050</xdr:rowOff>
    </xdr:from>
    <xdr:ext cx="298150" cy="302284"/>
    <xdr:sp macro="" textlink="">
      <xdr:nvSpPr>
        <xdr:cNvPr id="466" name="AutoShape 9" descr="Bath Rugby">
          <a:extLst>
            <a:ext uri="{FF2B5EF4-FFF2-40B4-BE49-F238E27FC236}">
              <a16:creationId xmlns:a16="http://schemas.microsoft.com/office/drawing/2014/main" id="{A5D769A9-7FB8-4190-9E4A-C0497CA6DDB9}"/>
            </a:ext>
          </a:extLst>
        </xdr:cNvPr>
        <xdr:cNvSpPr>
          <a:spLocks noChangeAspect="1" noChangeArrowheads="1"/>
        </xdr:cNvSpPr>
      </xdr:nvSpPr>
      <xdr:spPr bwMode="auto">
        <a:xfrm>
          <a:off x="13609608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195533</xdr:colOff>
      <xdr:row>24</xdr:row>
      <xdr:rowOff>51759</xdr:rowOff>
    </xdr:from>
    <xdr:ext cx="298150" cy="302284"/>
    <xdr:sp macro="" textlink="">
      <xdr:nvSpPr>
        <xdr:cNvPr id="467" name="AutoShape 9" descr="Bath Rugby">
          <a:extLst>
            <a:ext uri="{FF2B5EF4-FFF2-40B4-BE49-F238E27FC236}">
              <a16:creationId xmlns:a16="http://schemas.microsoft.com/office/drawing/2014/main" id="{C4D246CD-249F-4E17-B05E-46FB7283FC0B}"/>
            </a:ext>
          </a:extLst>
        </xdr:cNvPr>
        <xdr:cNvSpPr>
          <a:spLocks noChangeAspect="1" noChangeArrowheads="1"/>
        </xdr:cNvSpPr>
      </xdr:nvSpPr>
      <xdr:spPr bwMode="auto">
        <a:xfrm>
          <a:off x="3913518" y="460650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155275</xdr:colOff>
      <xdr:row>33</xdr:row>
      <xdr:rowOff>69011</xdr:rowOff>
    </xdr:from>
    <xdr:ext cx="304800" cy="319536"/>
    <xdr:sp macro="" textlink="">
      <xdr:nvSpPr>
        <xdr:cNvPr id="468" name="AutoShape 1" descr="Bristol Bears">
          <a:extLst>
            <a:ext uri="{FF2B5EF4-FFF2-40B4-BE49-F238E27FC236}">
              <a16:creationId xmlns:a16="http://schemas.microsoft.com/office/drawing/2014/main" id="{DFA80719-96FC-40D1-A84F-B7FCF790C13B}"/>
            </a:ext>
          </a:extLst>
        </xdr:cNvPr>
        <xdr:cNvSpPr>
          <a:spLocks noChangeAspect="1" noChangeArrowheads="1"/>
        </xdr:cNvSpPr>
      </xdr:nvSpPr>
      <xdr:spPr bwMode="auto">
        <a:xfrm>
          <a:off x="155275" y="6331788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457200</xdr:colOff>
      <xdr:row>36</xdr:row>
      <xdr:rowOff>86263</xdr:rowOff>
    </xdr:from>
    <xdr:ext cx="304800" cy="319537"/>
    <xdr:sp macro="" textlink="">
      <xdr:nvSpPr>
        <xdr:cNvPr id="469" name="AutoShape 2" descr="Exeter Chiefs">
          <a:extLst>
            <a:ext uri="{FF2B5EF4-FFF2-40B4-BE49-F238E27FC236}">
              <a16:creationId xmlns:a16="http://schemas.microsoft.com/office/drawing/2014/main" id="{88C8DBC5-F05D-416B-B8F9-3AC3B3DC66A3}"/>
            </a:ext>
          </a:extLst>
        </xdr:cNvPr>
        <xdr:cNvSpPr>
          <a:spLocks noChangeAspect="1" noChangeArrowheads="1"/>
        </xdr:cNvSpPr>
      </xdr:nvSpPr>
      <xdr:spPr bwMode="auto">
        <a:xfrm>
          <a:off x="457200" y="6918384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500691"/>
    <xdr:sp macro="" textlink="">
      <xdr:nvSpPr>
        <xdr:cNvPr id="470" name="AutoShape 3" descr="Harlequins">
          <a:extLst>
            <a:ext uri="{FF2B5EF4-FFF2-40B4-BE49-F238E27FC236}">
              <a16:creationId xmlns:a16="http://schemas.microsoft.com/office/drawing/2014/main" id="{C28EFD04-59A5-4616-A055-00FA20655BDA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59125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500693"/>
    <xdr:sp macro="" textlink="">
      <xdr:nvSpPr>
        <xdr:cNvPr id="471" name="AutoShape 4" descr="Sale Sharks">
          <a:extLst>
            <a:ext uri="{FF2B5EF4-FFF2-40B4-BE49-F238E27FC236}">
              <a16:creationId xmlns:a16="http://schemas.microsoft.com/office/drawing/2014/main" id="{515C8039-7D89-4AC3-AF4C-6EA46F76766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948906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500691"/>
    <xdr:sp macro="" textlink="">
      <xdr:nvSpPr>
        <xdr:cNvPr id="472" name="AutoShape 5" descr="Northampton Saints">
          <a:extLst>
            <a:ext uri="{FF2B5EF4-FFF2-40B4-BE49-F238E27FC236}">
              <a16:creationId xmlns:a16="http://schemas.microsoft.com/office/drawing/2014/main" id="{276B3A6B-3E95-4696-879A-E08E9F3320F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138687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500690"/>
    <xdr:sp macro="" textlink="">
      <xdr:nvSpPr>
        <xdr:cNvPr id="473" name="AutoShape 6" descr="London Irish">
          <a:extLst>
            <a:ext uri="{FF2B5EF4-FFF2-40B4-BE49-F238E27FC236}">
              <a16:creationId xmlns:a16="http://schemas.microsoft.com/office/drawing/2014/main" id="{4EE595E0-F848-46AD-B01E-DBCC8B5BD32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328468"/>
          <a:ext cx="304800" cy="50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500693"/>
    <xdr:sp macro="" textlink="">
      <xdr:nvSpPr>
        <xdr:cNvPr id="474" name="AutoShape 7" descr="Leicester Tigers">
          <a:extLst>
            <a:ext uri="{FF2B5EF4-FFF2-40B4-BE49-F238E27FC236}">
              <a16:creationId xmlns:a16="http://schemas.microsoft.com/office/drawing/2014/main" id="{CDAB156B-EE99-4FA2-9B44-419E0C9D510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518249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500691"/>
    <xdr:sp macro="" textlink="">
      <xdr:nvSpPr>
        <xdr:cNvPr id="475" name="AutoShape 8" descr="Newcastle Falcons">
          <a:extLst>
            <a:ext uri="{FF2B5EF4-FFF2-40B4-BE49-F238E27FC236}">
              <a16:creationId xmlns:a16="http://schemas.microsoft.com/office/drawing/2014/main" id="{5ED7DC7F-C07D-482D-84A5-9AA8D8B47EF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708030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25</xdr:row>
      <xdr:rowOff>19050</xdr:rowOff>
    </xdr:from>
    <xdr:ext cx="298149" cy="500691"/>
    <xdr:sp macro="" textlink="">
      <xdr:nvSpPr>
        <xdr:cNvPr id="476" name="AutoShape 9" descr="Bath Rugby">
          <a:extLst>
            <a:ext uri="{FF2B5EF4-FFF2-40B4-BE49-F238E27FC236}">
              <a16:creationId xmlns:a16="http://schemas.microsoft.com/office/drawing/2014/main" id="{8D55F05A-92CA-4FBE-ACE0-D70781239E86}"/>
            </a:ext>
          </a:extLst>
        </xdr:cNvPr>
        <xdr:cNvSpPr>
          <a:spLocks noChangeAspect="1" noChangeArrowheads="1"/>
        </xdr:cNvSpPr>
      </xdr:nvSpPr>
      <xdr:spPr bwMode="auto">
        <a:xfrm>
          <a:off x="5543910" y="1916861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304800" cy="500692"/>
    <xdr:sp macro="" textlink="">
      <xdr:nvSpPr>
        <xdr:cNvPr id="477" name="AutoShape 10" descr="Wasps">
          <a:extLst>
            <a:ext uri="{FF2B5EF4-FFF2-40B4-BE49-F238E27FC236}">
              <a16:creationId xmlns:a16="http://schemas.microsoft.com/office/drawing/2014/main" id="{DEA5EB87-9E38-4855-B803-1FC344EE967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2087592"/>
          <a:ext cx="304800" cy="50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304800" cy="500691"/>
    <xdr:sp macro="" textlink="">
      <xdr:nvSpPr>
        <xdr:cNvPr id="478" name="AutoShape 8" descr="Newcastle Falcons">
          <a:extLst>
            <a:ext uri="{FF2B5EF4-FFF2-40B4-BE49-F238E27FC236}">
              <a16:creationId xmlns:a16="http://schemas.microsoft.com/office/drawing/2014/main" id="{B1A2864F-8FF6-436D-8684-238971C15A6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2087592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27</xdr:row>
      <xdr:rowOff>19050</xdr:rowOff>
    </xdr:from>
    <xdr:ext cx="298149" cy="500691"/>
    <xdr:sp macro="" textlink="">
      <xdr:nvSpPr>
        <xdr:cNvPr id="479" name="AutoShape 9" descr="Bath Rugby">
          <a:extLst>
            <a:ext uri="{FF2B5EF4-FFF2-40B4-BE49-F238E27FC236}">
              <a16:creationId xmlns:a16="http://schemas.microsoft.com/office/drawing/2014/main" id="{E1FE2E96-7CAC-4F81-8308-31A2D922BACA}"/>
            </a:ext>
          </a:extLst>
        </xdr:cNvPr>
        <xdr:cNvSpPr>
          <a:spLocks noChangeAspect="1" noChangeArrowheads="1"/>
        </xdr:cNvSpPr>
      </xdr:nvSpPr>
      <xdr:spPr bwMode="auto">
        <a:xfrm>
          <a:off x="5543910" y="2296424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19536"/>
    <xdr:sp macro="" textlink="">
      <xdr:nvSpPr>
        <xdr:cNvPr id="480" name="AutoShape 11" descr="Gloucester Rugby">
          <a:extLst>
            <a:ext uri="{FF2B5EF4-FFF2-40B4-BE49-F238E27FC236}">
              <a16:creationId xmlns:a16="http://schemas.microsoft.com/office/drawing/2014/main" id="{55676FF5-8B07-4EF0-8A2F-F6D7E6B7C9C7}"/>
            </a:ext>
          </a:extLst>
        </xdr:cNvPr>
        <xdr:cNvSpPr>
          <a:spLocks noChangeAspect="1" noChangeArrowheads="1"/>
        </xdr:cNvSpPr>
      </xdr:nvSpPr>
      <xdr:spPr bwMode="auto">
        <a:xfrm>
          <a:off x="5546785" y="5124091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482" name="AutoShape 10" descr="Wasps">
          <a:extLst>
            <a:ext uri="{FF2B5EF4-FFF2-40B4-BE49-F238E27FC236}">
              <a16:creationId xmlns:a16="http://schemas.microsoft.com/office/drawing/2014/main" id="{2B7CE246-A0F4-4E2A-8EEB-F64D6A1EC16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483" name="AutoShape 10" descr="Wasps">
          <a:extLst>
            <a:ext uri="{FF2B5EF4-FFF2-40B4-BE49-F238E27FC236}">
              <a16:creationId xmlns:a16="http://schemas.microsoft.com/office/drawing/2014/main" id="{2D2EEB76-F502-42C5-B492-1DFF41A12D2C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484" name="AutoShape 10" descr="Wasps">
          <a:extLst>
            <a:ext uri="{FF2B5EF4-FFF2-40B4-BE49-F238E27FC236}">
              <a16:creationId xmlns:a16="http://schemas.microsoft.com/office/drawing/2014/main" id="{F54FC7B0-C05A-484E-BDFC-79BE62AC9E7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8627</xdr:colOff>
      <xdr:row>32</xdr:row>
      <xdr:rowOff>94891</xdr:rowOff>
    </xdr:from>
    <xdr:ext cx="304800" cy="302284"/>
    <xdr:sp macro="" textlink="">
      <xdr:nvSpPr>
        <xdr:cNvPr id="485" name="AutoShape 10" descr="Wasps">
          <a:extLst>
            <a:ext uri="{FF2B5EF4-FFF2-40B4-BE49-F238E27FC236}">
              <a16:creationId xmlns:a16="http://schemas.microsoft.com/office/drawing/2014/main" id="{432B379F-2CB3-40DA-9EBA-DD322B6AC3E5}"/>
            </a:ext>
          </a:extLst>
        </xdr:cNvPr>
        <xdr:cNvSpPr>
          <a:spLocks noChangeAspect="1" noChangeArrowheads="1"/>
        </xdr:cNvSpPr>
      </xdr:nvSpPr>
      <xdr:spPr bwMode="auto">
        <a:xfrm>
          <a:off x="5555412" y="332117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486" name="AutoShape 10" descr="Wasps">
          <a:extLst>
            <a:ext uri="{FF2B5EF4-FFF2-40B4-BE49-F238E27FC236}">
              <a16:creationId xmlns:a16="http://schemas.microsoft.com/office/drawing/2014/main" id="{92AE367D-4359-4C98-816A-E4DCEBEC70E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487" name="AutoShape 10" descr="Wasps">
          <a:extLst>
            <a:ext uri="{FF2B5EF4-FFF2-40B4-BE49-F238E27FC236}">
              <a16:creationId xmlns:a16="http://schemas.microsoft.com/office/drawing/2014/main" id="{FDA632B9-7C59-4181-9E56-00192EDB3FB5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488" name="AutoShape 10" descr="Wasps">
          <a:extLst>
            <a:ext uri="{FF2B5EF4-FFF2-40B4-BE49-F238E27FC236}">
              <a16:creationId xmlns:a16="http://schemas.microsoft.com/office/drawing/2014/main" id="{8E868AF4-FADD-4C6E-A4CC-7B54D0BF2A5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489" name="AutoShape 10" descr="Wasps">
          <a:extLst>
            <a:ext uri="{FF2B5EF4-FFF2-40B4-BE49-F238E27FC236}">
              <a16:creationId xmlns:a16="http://schemas.microsoft.com/office/drawing/2014/main" id="{4F500DEE-2B8D-44B6-BF1D-86047E2C2FC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2284"/>
    <xdr:sp macro="" textlink="">
      <xdr:nvSpPr>
        <xdr:cNvPr id="490" name="AutoShape 10" descr="Wasps">
          <a:extLst>
            <a:ext uri="{FF2B5EF4-FFF2-40B4-BE49-F238E27FC236}">
              <a16:creationId xmlns:a16="http://schemas.microsoft.com/office/drawing/2014/main" id="{005AB8D2-D519-4175-ABC8-EF433A7A65F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2284"/>
    <xdr:sp macro="" textlink="">
      <xdr:nvSpPr>
        <xdr:cNvPr id="491" name="AutoShape 10" descr="Wasps">
          <a:extLst>
            <a:ext uri="{FF2B5EF4-FFF2-40B4-BE49-F238E27FC236}">
              <a16:creationId xmlns:a16="http://schemas.microsoft.com/office/drawing/2014/main" id="{DBDA9841-1D53-406C-92D4-DF05185C4B2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302284"/>
    <xdr:sp macro="" textlink="">
      <xdr:nvSpPr>
        <xdr:cNvPr id="492" name="AutoShape 10" descr="Wasps">
          <a:extLst>
            <a:ext uri="{FF2B5EF4-FFF2-40B4-BE49-F238E27FC236}">
              <a16:creationId xmlns:a16="http://schemas.microsoft.com/office/drawing/2014/main" id="{808060E5-5143-4F31-A6B8-7F5D5867F03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302284"/>
    <xdr:sp macro="" textlink="">
      <xdr:nvSpPr>
        <xdr:cNvPr id="493" name="AutoShape 10" descr="Wasps">
          <a:extLst>
            <a:ext uri="{FF2B5EF4-FFF2-40B4-BE49-F238E27FC236}">
              <a16:creationId xmlns:a16="http://schemas.microsoft.com/office/drawing/2014/main" id="{FD9BFA42-EE06-4DCF-B2B2-F03087D6DB95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02284"/>
    <xdr:sp macro="" textlink="">
      <xdr:nvSpPr>
        <xdr:cNvPr id="494" name="AutoShape 10" descr="Wasps">
          <a:extLst>
            <a:ext uri="{FF2B5EF4-FFF2-40B4-BE49-F238E27FC236}">
              <a16:creationId xmlns:a16="http://schemas.microsoft.com/office/drawing/2014/main" id="{C6A2215D-73F3-48B8-AD4E-9B8EA0A3E80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02284"/>
    <xdr:sp macro="" textlink="">
      <xdr:nvSpPr>
        <xdr:cNvPr id="495" name="AutoShape 10" descr="Wasps">
          <a:extLst>
            <a:ext uri="{FF2B5EF4-FFF2-40B4-BE49-F238E27FC236}">
              <a16:creationId xmlns:a16="http://schemas.microsoft.com/office/drawing/2014/main" id="{67580921-7059-48FE-B087-70044B867225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02284"/>
    <xdr:sp macro="" textlink="">
      <xdr:nvSpPr>
        <xdr:cNvPr id="496" name="AutoShape 10" descr="Wasps">
          <a:extLst>
            <a:ext uri="{FF2B5EF4-FFF2-40B4-BE49-F238E27FC236}">
              <a16:creationId xmlns:a16="http://schemas.microsoft.com/office/drawing/2014/main" id="{4B9912A9-EB43-4806-A07D-A6DF8C26A7A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02284"/>
    <xdr:sp macro="" textlink="">
      <xdr:nvSpPr>
        <xdr:cNvPr id="497" name="AutoShape 10" descr="Wasps">
          <a:extLst>
            <a:ext uri="{FF2B5EF4-FFF2-40B4-BE49-F238E27FC236}">
              <a16:creationId xmlns:a16="http://schemas.microsoft.com/office/drawing/2014/main" id="{CDC11401-4C3E-4E67-912C-817387A26AB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498" name="AutoShape 10" descr="Wasps">
          <a:extLst>
            <a:ext uri="{FF2B5EF4-FFF2-40B4-BE49-F238E27FC236}">
              <a16:creationId xmlns:a16="http://schemas.microsoft.com/office/drawing/2014/main" id="{0D9FB2B3-BA9F-47C6-B99D-8BC3A23132C1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499" name="AutoShape 2" descr="Exeter Chiefs">
          <a:extLst>
            <a:ext uri="{FF2B5EF4-FFF2-40B4-BE49-F238E27FC236}">
              <a16:creationId xmlns:a16="http://schemas.microsoft.com/office/drawing/2014/main" id="{ADCE6797-6485-488A-B3E3-6E8027F6BC7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2284"/>
    <xdr:sp macro="" textlink="">
      <xdr:nvSpPr>
        <xdr:cNvPr id="500" name="AutoShape 3" descr="Harlequins">
          <a:extLst>
            <a:ext uri="{FF2B5EF4-FFF2-40B4-BE49-F238E27FC236}">
              <a16:creationId xmlns:a16="http://schemas.microsoft.com/office/drawing/2014/main" id="{8940BC4E-98B5-47B2-83DA-9F4C8C294495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2284"/>
    <xdr:sp macro="" textlink="">
      <xdr:nvSpPr>
        <xdr:cNvPr id="501" name="AutoShape 4" descr="Sale Sharks">
          <a:extLst>
            <a:ext uri="{FF2B5EF4-FFF2-40B4-BE49-F238E27FC236}">
              <a16:creationId xmlns:a16="http://schemas.microsoft.com/office/drawing/2014/main" id="{5C497B03-CD23-435F-AFA8-9DA07B86FD7C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302284"/>
    <xdr:sp macro="" textlink="">
      <xdr:nvSpPr>
        <xdr:cNvPr id="502" name="AutoShape 5" descr="Northampton Saints">
          <a:extLst>
            <a:ext uri="{FF2B5EF4-FFF2-40B4-BE49-F238E27FC236}">
              <a16:creationId xmlns:a16="http://schemas.microsoft.com/office/drawing/2014/main" id="{64656D6B-5652-48EA-AEDD-EB4075A5E45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02284"/>
    <xdr:sp macro="" textlink="">
      <xdr:nvSpPr>
        <xdr:cNvPr id="503" name="AutoShape 6" descr="London Irish">
          <a:extLst>
            <a:ext uri="{FF2B5EF4-FFF2-40B4-BE49-F238E27FC236}">
              <a16:creationId xmlns:a16="http://schemas.microsoft.com/office/drawing/2014/main" id="{3410312B-763F-4EB1-AFCD-A0439EAF79A7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02284"/>
    <xdr:sp macro="" textlink="">
      <xdr:nvSpPr>
        <xdr:cNvPr id="504" name="AutoShape 7" descr="Leicester Tigers">
          <a:extLst>
            <a:ext uri="{FF2B5EF4-FFF2-40B4-BE49-F238E27FC236}">
              <a16:creationId xmlns:a16="http://schemas.microsoft.com/office/drawing/2014/main" id="{3130BA59-374F-4A6A-ABC5-1B44B5E953F8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38</xdr:row>
      <xdr:rowOff>0</xdr:rowOff>
    </xdr:from>
    <xdr:ext cx="298150" cy="302284"/>
    <xdr:sp macro="" textlink="">
      <xdr:nvSpPr>
        <xdr:cNvPr id="505" name="AutoShape 9" descr="Bath Rugby">
          <a:extLst>
            <a:ext uri="{FF2B5EF4-FFF2-40B4-BE49-F238E27FC236}">
              <a16:creationId xmlns:a16="http://schemas.microsoft.com/office/drawing/2014/main" id="{B8410C05-DABB-42CD-B266-AC3C1384AB40}"/>
            </a:ext>
          </a:extLst>
        </xdr:cNvPr>
        <xdr:cNvSpPr>
          <a:spLocks noChangeAspect="1" noChangeArrowheads="1"/>
        </xdr:cNvSpPr>
      </xdr:nvSpPr>
      <xdr:spPr bwMode="auto">
        <a:xfrm>
          <a:off x="5543910" y="436496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10910"/>
    <xdr:sp macro="" textlink="">
      <xdr:nvSpPr>
        <xdr:cNvPr id="506" name="AutoShape 6" descr="London Irish">
          <a:extLst>
            <a:ext uri="{FF2B5EF4-FFF2-40B4-BE49-F238E27FC236}">
              <a16:creationId xmlns:a16="http://schemas.microsoft.com/office/drawing/2014/main" id="{C07915D6-5BA5-4805-A780-5E820B8A4B9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175185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310911"/>
    <xdr:sp macro="" textlink="">
      <xdr:nvSpPr>
        <xdr:cNvPr id="507" name="AutoShape 7" descr="Leicester Tigers">
          <a:extLst>
            <a:ext uri="{FF2B5EF4-FFF2-40B4-BE49-F238E27FC236}">
              <a16:creationId xmlns:a16="http://schemas.microsoft.com/office/drawing/2014/main" id="{76CEA339-A2D1-42E7-9269-81FF1860CD8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364966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19536"/>
    <xdr:sp macro="" textlink="">
      <xdr:nvSpPr>
        <xdr:cNvPr id="509" name="AutoShape 1" descr="Bristol Bears">
          <a:extLst>
            <a:ext uri="{FF2B5EF4-FFF2-40B4-BE49-F238E27FC236}">
              <a16:creationId xmlns:a16="http://schemas.microsoft.com/office/drawing/2014/main" id="{9C088251-9550-474F-808F-1F35E163A5E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226279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974785</xdr:colOff>
      <xdr:row>33</xdr:row>
      <xdr:rowOff>0</xdr:rowOff>
    </xdr:from>
    <xdr:ext cx="1915064" cy="319537"/>
    <xdr:sp macro="" textlink="">
      <xdr:nvSpPr>
        <xdr:cNvPr id="510" name="AutoShape 2" descr="Exeter Chiefs">
          <a:extLst>
            <a:ext uri="{FF2B5EF4-FFF2-40B4-BE49-F238E27FC236}">
              <a16:creationId xmlns:a16="http://schemas.microsoft.com/office/drawing/2014/main" id="{0A5C2426-1C60-46E2-9ED2-1DB5A66551D4}"/>
            </a:ext>
          </a:extLst>
        </xdr:cNvPr>
        <xdr:cNvSpPr>
          <a:spLocks noChangeAspect="1" noChangeArrowheads="1"/>
        </xdr:cNvSpPr>
      </xdr:nvSpPr>
      <xdr:spPr bwMode="auto">
        <a:xfrm flipH="1">
          <a:off x="3631721" y="6254151"/>
          <a:ext cx="1915064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500691"/>
    <xdr:sp macro="" textlink="">
      <xdr:nvSpPr>
        <xdr:cNvPr id="511" name="AutoShape 3" descr="Harlequins">
          <a:extLst>
            <a:ext uri="{FF2B5EF4-FFF2-40B4-BE49-F238E27FC236}">
              <a16:creationId xmlns:a16="http://schemas.microsoft.com/office/drawing/2014/main" id="{A81F0F5B-FDD6-4B42-B156-102CCC784E7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605842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500693"/>
    <xdr:sp macro="" textlink="">
      <xdr:nvSpPr>
        <xdr:cNvPr id="512" name="AutoShape 4" descr="Sale Sharks">
          <a:extLst>
            <a:ext uri="{FF2B5EF4-FFF2-40B4-BE49-F238E27FC236}">
              <a16:creationId xmlns:a16="http://schemas.microsoft.com/office/drawing/2014/main" id="{EB84FA76-7769-4BD2-A372-8B263680587B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795623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500691"/>
    <xdr:sp macro="" textlink="">
      <xdr:nvSpPr>
        <xdr:cNvPr id="513" name="AutoShape 5" descr="Northampton Saints">
          <a:extLst>
            <a:ext uri="{FF2B5EF4-FFF2-40B4-BE49-F238E27FC236}">
              <a16:creationId xmlns:a16="http://schemas.microsoft.com/office/drawing/2014/main" id="{B221B2BC-AAF1-463B-8D33-E78FA964A0F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3985404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500690"/>
    <xdr:sp macro="" textlink="">
      <xdr:nvSpPr>
        <xdr:cNvPr id="514" name="AutoShape 6" descr="London Irish">
          <a:extLst>
            <a:ext uri="{FF2B5EF4-FFF2-40B4-BE49-F238E27FC236}">
              <a16:creationId xmlns:a16="http://schemas.microsoft.com/office/drawing/2014/main" id="{AAC7BF64-C553-47E4-A06E-ADA3F1A4CA3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175185"/>
          <a:ext cx="304800" cy="50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304800" cy="500693"/>
    <xdr:sp macro="" textlink="">
      <xdr:nvSpPr>
        <xdr:cNvPr id="515" name="AutoShape 7" descr="Leicester Tigers">
          <a:extLst>
            <a:ext uri="{FF2B5EF4-FFF2-40B4-BE49-F238E27FC236}">
              <a16:creationId xmlns:a16="http://schemas.microsoft.com/office/drawing/2014/main" id="{FE3F4598-518A-4233-B01D-48E99825B227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364966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500691"/>
    <xdr:sp macro="" textlink="">
      <xdr:nvSpPr>
        <xdr:cNvPr id="516" name="AutoShape 8" descr="Newcastle Falcons">
          <a:extLst>
            <a:ext uri="{FF2B5EF4-FFF2-40B4-BE49-F238E27FC236}">
              <a16:creationId xmlns:a16="http://schemas.microsoft.com/office/drawing/2014/main" id="{2DDDB06C-8C38-4228-BD84-56C7FF4F7E4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554747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40</xdr:row>
      <xdr:rowOff>19050</xdr:rowOff>
    </xdr:from>
    <xdr:ext cx="298149" cy="500691"/>
    <xdr:sp macro="" textlink="">
      <xdr:nvSpPr>
        <xdr:cNvPr id="517" name="AutoShape 9" descr="Bath Rugby">
          <a:extLst>
            <a:ext uri="{FF2B5EF4-FFF2-40B4-BE49-F238E27FC236}">
              <a16:creationId xmlns:a16="http://schemas.microsoft.com/office/drawing/2014/main" id="{BE04C42B-960D-4B47-AECF-69502CF3D87C}"/>
            </a:ext>
          </a:extLst>
        </xdr:cNvPr>
        <xdr:cNvSpPr>
          <a:spLocks noChangeAspect="1" noChangeArrowheads="1"/>
        </xdr:cNvSpPr>
      </xdr:nvSpPr>
      <xdr:spPr bwMode="auto">
        <a:xfrm>
          <a:off x="5543910" y="4763578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500692"/>
    <xdr:sp macro="" textlink="">
      <xdr:nvSpPr>
        <xdr:cNvPr id="518" name="AutoShape 10" descr="Wasps">
          <a:extLst>
            <a:ext uri="{FF2B5EF4-FFF2-40B4-BE49-F238E27FC236}">
              <a16:creationId xmlns:a16="http://schemas.microsoft.com/office/drawing/2014/main" id="{AAE55D08-9768-4A68-B554-F0BFB2CF462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934309"/>
          <a:ext cx="304800" cy="50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500691"/>
    <xdr:sp macro="" textlink="">
      <xdr:nvSpPr>
        <xdr:cNvPr id="519" name="AutoShape 8" descr="Newcastle Falcons">
          <a:extLst>
            <a:ext uri="{FF2B5EF4-FFF2-40B4-BE49-F238E27FC236}">
              <a16:creationId xmlns:a16="http://schemas.microsoft.com/office/drawing/2014/main" id="{F6E63207-65F3-4BC6-BDBF-BFB35714533F}"/>
            </a:ext>
          </a:extLst>
        </xdr:cNvPr>
        <xdr:cNvSpPr>
          <a:spLocks noChangeAspect="1" noChangeArrowheads="1"/>
        </xdr:cNvSpPr>
      </xdr:nvSpPr>
      <xdr:spPr bwMode="auto">
        <a:xfrm>
          <a:off x="5546785" y="4934309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42</xdr:row>
      <xdr:rowOff>19050</xdr:rowOff>
    </xdr:from>
    <xdr:ext cx="298149" cy="500691"/>
    <xdr:sp macro="" textlink="">
      <xdr:nvSpPr>
        <xdr:cNvPr id="520" name="AutoShape 9" descr="Bath Rugby">
          <a:extLst>
            <a:ext uri="{FF2B5EF4-FFF2-40B4-BE49-F238E27FC236}">
              <a16:creationId xmlns:a16="http://schemas.microsoft.com/office/drawing/2014/main" id="{4ED68C1D-836B-4466-9C71-EC8D71F4704B}"/>
            </a:ext>
          </a:extLst>
        </xdr:cNvPr>
        <xdr:cNvSpPr>
          <a:spLocks noChangeAspect="1" noChangeArrowheads="1"/>
        </xdr:cNvSpPr>
      </xdr:nvSpPr>
      <xdr:spPr bwMode="auto">
        <a:xfrm>
          <a:off x="5543910" y="5143141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304800" cy="302284"/>
    <xdr:sp macro="" textlink="">
      <xdr:nvSpPr>
        <xdr:cNvPr id="521" name="AutoShape 11" descr="Gloucester Rugby">
          <a:extLst>
            <a:ext uri="{FF2B5EF4-FFF2-40B4-BE49-F238E27FC236}">
              <a16:creationId xmlns:a16="http://schemas.microsoft.com/office/drawing/2014/main" id="{BD61F539-EB1B-4A65-8A5B-DD3DE643920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97080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304800" cy="302284"/>
    <xdr:sp macro="" textlink="">
      <xdr:nvSpPr>
        <xdr:cNvPr id="522" name="AutoShape 10" descr="Wasps">
          <a:extLst>
            <a:ext uri="{FF2B5EF4-FFF2-40B4-BE49-F238E27FC236}">
              <a16:creationId xmlns:a16="http://schemas.microsoft.com/office/drawing/2014/main" id="{3358FDB3-4B4D-435C-A192-4C8F12FA07E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304800" cy="302284"/>
    <xdr:sp macro="" textlink="">
      <xdr:nvSpPr>
        <xdr:cNvPr id="523" name="AutoShape 10" descr="Wasps">
          <a:extLst>
            <a:ext uri="{FF2B5EF4-FFF2-40B4-BE49-F238E27FC236}">
              <a16:creationId xmlns:a16="http://schemas.microsoft.com/office/drawing/2014/main" id="{C6BBCDDD-A5A9-4F82-989D-29DAB1D2694F}"/>
            </a:ext>
          </a:extLst>
        </xdr:cNvPr>
        <xdr:cNvSpPr>
          <a:spLocks noChangeAspect="1" noChangeArrowheads="1"/>
        </xdr:cNvSpPr>
      </xdr:nvSpPr>
      <xdr:spPr bwMode="auto">
        <a:xfrm>
          <a:off x="5546785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24" name="AutoShape 10" descr="Wasps">
          <a:extLst>
            <a:ext uri="{FF2B5EF4-FFF2-40B4-BE49-F238E27FC236}">
              <a16:creationId xmlns:a16="http://schemas.microsoft.com/office/drawing/2014/main" id="{79E70809-050A-411F-A844-F5B87AA80ED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25" name="AutoShape 10" descr="Wasps">
          <a:extLst>
            <a:ext uri="{FF2B5EF4-FFF2-40B4-BE49-F238E27FC236}">
              <a16:creationId xmlns:a16="http://schemas.microsoft.com/office/drawing/2014/main" id="{54CC35C8-582E-426D-98C5-74105EBEE87A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26" name="AutoShape 10" descr="Wasps">
          <a:extLst>
            <a:ext uri="{FF2B5EF4-FFF2-40B4-BE49-F238E27FC236}">
              <a16:creationId xmlns:a16="http://schemas.microsoft.com/office/drawing/2014/main" id="{BB3FC004-6CA7-4816-9F09-879FF419815B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27" name="AutoShape 10" descr="Wasps">
          <a:extLst>
            <a:ext uri="{FF2B5EF4-FFF2-40B4-BE49-F238E27FC236}">
              <a16:creationId xmlns:a16="http://schemas.microsoft.com/office/drawing/2014/main" id="{84304C4E-A7A8-4DB9-BF60-C99577B42A9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528" name="AutoShape 10" descr="Wasps">
          <a:extLst>
            <a:ext uri="{FF2B5EF4-FFF2-40B4-BE49-F238E27FC236}">
              <a16:creationId xmlns:a16="http://schemas.microsoft.com/office/drawing/2014/main" id="{4FB3CC50-6285-49DA-A04E-75AB42D4FEF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529" name="AutoShape 10" descr="Wasps">
          <a:extLst>
            <a:ext uri="{FF2B5EF4-FFF2-40B4-BE49-F238E27FC236}">
              <a16:creationId xmlns:a16="http://schemas.microsoft.com/office/drawing/2014/main" id="{A27A44FB-B0EB-470D-BA31-58FEDB91962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530" name="AutoShape 10" descr="Wasps">
          <a:extLst>
            <a:ext uri="{FF2B5EF4-FFF2-40B4-BE49-F238E27FC236}">
              <a16:creationId xmlns:a16="http://schemas.microsoft.com/office/drawing/2014/main" id="{1074CF0E-5972-4D9E-8A6C-A196F788D0F5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531" name="AutoShape 10" descr="Wasps">
          <a:extLst>
            <a:ext uri="{FF2B5EF4-FFF2-40B4-BE49-F238E27FC236}">
              <a16:creationId xmlns:a16="http://schemas.microsoft.com/office/drawing/2014/main" id="{198F3EA5-7FE9-499A-AE98-074075BDBAB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532" name="AutoShape 10" descr="Wasps">
          <a:extLst>
            <a:ext uri="{FF2B5EF4-FFF2-40B4-BE49-F238E27FC236}">
              <a16:creationId xmlns:a16="http://schemas.microsoft.com/office/drawing/2014/main" id="{84C29A34-CC53-4EA8-B7C6-868C6411ECA2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533" name="AutoShape 10" descr="Wasps">
          <a:extLst>
            <a:ext uri="{FF2B5EF4-FFF2-40B4-BE49-F238E27FC236}">
              <a16:creationId xmlns:a16="http://schemas.microsoft.com/office/drawing/2014/main" id="{8978EB0A-B51B-413B-8B6A-583B0F736F5B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534" name="AutoShape 10" descr="Wasps">
          <a:extLst>
            <a:ext uri="{FF2B5EF4-FFF2-40B4-BE49-F238E27FC236}">
              <a16:creationId xmlns:a16="http://schemas.microsoft.com/office/drawing/2014/main" id="{61D75D12-4669-4D2A-8F7B-6FD2E3031EEA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535" name="AutoShape 10" descr="Wasps">
          <a:extLst>
            <a:ext uri="{FF2B5EF4-FFF2-40B4-BE49-F238E27FC236}">
              <a16:creationId xmlns:a16="http://schemas.microsoft.com/office/drawing/2014/main" id="{B47BB1F7-8033-408D-A3B7-53A095DAA468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536" name="AutoShape 10" descr="Wasps">
          <a:extLst>
            <a:ext uri="{FF2B5EF4-FFF2-40B4-BE49-F238E27FC236}">
              <a16:creationId xmlns:a16="http://schemas.microsoft.com/office/drawing/2014/main" id="{654F1761-6896-4D65-9EED-59C4A53F130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537" name="AutoShape 10" descr="Wasps">
          <a:extLst>
            <a:ext uri="{FF2B5EF4-FFF2-40B4-BE49-F238E27FC236}">
              <a16:creationId xmlns:a16="http://schemas.microsoft.com/office/drawing/2014/main" id="{90849130-B80D-49CD-8DAC-B15C32CEF62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538" name="AutoShape 10" descr="Wasps">
          <a:extLst>
            <a:ext uri="{FF2B5EF4-FFF2-40B4-BE49-F238E27FC236}">
              <a16:creationId xmlns:a16="http://schemas.microsoft.com/office/drawing/2014/main" id="{392C74FF-7F18-44A7-AE12-79DC5EB1FF7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539" name="AutoShape 10" descr="Wasps">
          <a:extLst>
            <a:ext uri="{FF2B5EF4-FFF2-40B4-BE49-F238E27FC236}">
              <a16:creationId xmlns:a16="http://schemas.microsoft.com/office/drawing/2014/main" id="{1106DD54-291A-4807-9291-A86DE213A308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304800" cy="302284"/>
    <xdr:sp macro="" textlink="">
      <xdr:nvSpPr>
        <xdr:cNvPr id="540" name="AutoShape 10" descr="Wasps">
          <a:extLst>
            <a:ext uri="{FF2B5EF4-FFF2-40B4-BE49-F238E27FC236}">
              <a16:creationId xmlns:a16="http://schemas.microsoft.com/office/drawing/2014/main" id="{B32476ED-65ED-4228-B6F3-A2487A3F365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4014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41" name="AutoShape 1" descr="Bristol Bears">
          <a:extLst>
            <a:ext uri="{FF2B5EF4-FFF2-40B4-BE49-F238E27FC236}">
              <a16:creationId xmlns:a16="http://schemas.microsoft.com/office/drawing/2014/main" id="{02A16C23-E481-435E-A258-41CFA4B88491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542" name="AutoShape 2" descr="Exeter Chiefs">
          <a:extLst>
            <a:ext uri="{FF2B5EF4-FFF2-40B4-BE49-F238E27FC236}">
              <a16:creationId xmlns:a16="http://schemas.microsoft.com/office/drawing/2014/main" id="{1095A0FD-CBED-4486-AA05-6A3F9377BDD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543" name="AutoShape 3" descr="Harlequins">
          <a:extLst>
            <a:ext uri="{FF2B5EF4-FFF2-40B4-BE49-F238E27FC236}">
              <a16:creationId xmlns:a16="http://schemas.microsoft.com/office/drawing/2014/main" id="{3727F07F-997D-4180-AB6A-C33A20CDEF25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544" name="AutoShape 4" descr="Sale Sharks">
          <a:extLst>
            <a:ext uri="{FF2B5EF4-FFF2-40B4-BE49-F238E27FC236}">
              <a16:creationId xmlns:a16="http://schemas.microsoft.com/office/drawing/2014/main" id="{D38BA749-7952-4295-B04B-034623158CC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545" name="AutoShape 5" descr="Northampton Saints">
          <a:extLst>
            <a:ext uri="{FF2B5EF4-FFF2-40B4-BE49-F238E27FC236}">
              <a16:creationId xmlns:a16="http://schemas.microsoft.com/office/drawing/2014/main" id="{8C815658-2A39-4C1C-9DDE-741D1244252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546" name="AutoShape 6" descr="London Irish">
          <a:extLst>
            <a:ext uri="{FF2B5EF4-FFF2-40B4-BE49-F238E27FC236}">
              <a16:creationId xmlns:a16="http://schemas.microsoft.com/office/drawing/2014/main" id="{CC4245AD-2881-4FBA-B114-767AA0618598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547" name="AutoShape 7" descr="Leicester Tigers">
          <a:extLst>
            <a:ext uri="{FF2B5EF4-FFF2-40B4-BE49-F238E27FC236}">
              <a16:creationId xmlns:a16="http://schemas.microsoft.com/office/drawing/2014/main" id="{5F3F7BE7-0B59-4271-936E-458DCCD68697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304800" cy="302284"/>
    <xdr:sp macro="" textlink="">
      <xdr:nvSpPr>
        <xdr:cNvPr id="548" name="AutoShape 8" descr="Newcastle Falcons">
          <a:extLst>
            <a:ext uri="{FF2B5EF4-FFF2-40B4-BE49-F238E27FC236}">
              <a16:creationId xmlns:a16="http://schemas.microsoft.com/office/drawing/2014/main" id="{E124C7A8-E443-4A4E-A6A6-2A330BCC255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4014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56</xdr:row>
      <xdr:rowOff>19050</xdr:rowOff>
    </xdr:from>
    <xdr:ext cx="298150" cy="302284"/>
    <xdr:sp macro="" textlink="">
      <xdr:nvSpPr>
        <xdr:cNvPr id="549" name="AutoShape 9" descr="Bath Rugby">
          <a:extLst>
            <a:ext uri="{FF2B5EF4-FFF2-40B4-BE49-F238E27FC236}">
              <a16:creationId xmlns:a16="http://schemas.microsoft.com/office/drawing/2014/main" id="{6A66840A-4ACF-460B-93AE-F9724DA8022C}"/>
            </a:ext>
          </a:extLst>
        </xdr:cNvPr>
        <xdr:cNvSpPr>
          <a:spLocks noChangeAspect="1" noChangeArrowheads="1"/>
        </xdr:cNvSpPr>
      </xdr:nvSpPr>
      <xdr:spPr bwMode="auto">
        <a:xfrm>
          <a:off x="5543910" y="761029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10910"/>
    <xdr:sp macro="" textlink="">
      <xdr:nvSpPr>
        <xdr:cNvPr id="550" name="AutoShape 6" descr="London Irish">
          <a:extLst>
            <a:ext uri="{FF2B5EF4-FFF2-40B4-BE49-F238E27FC236}">
              <a16:creationId xmlns:a16="http://schemas.microsoft.com/office/drawing/2014/main" id="{648B8C5A-A311-47FE-93C9-77B880B23DB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10911"/>
    <xdr:sp macro="" textlink="">
      <xdr:nvSpPr>
        <xdr:cNvPr id="551" name="AutoShape 7" descr="Leicester Tigers">
          <a:extLst>
            <a:ext uri="{FF2B5EF4-FFF2-40B4-BE49-F238E27FC236}">
              <a16:creationId xmlns:a16="http://schemas.microsoft.com/office/drawing/2014/main" id="{18135B3B-0440-464D-A37D-B2288AFB2F9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304800" cy="319536"/>
    <xdr:sp macro="" textlink="">
      <xdr:nvSpPr>
        <xdr:cNvPr id="552" name="AutoShape 11" descr="Gloucester Rugby">
          <a:extLst>
            <a:ext uri="{FF2B5EF4-FFF2-40B4-BE49-F238E27FC236}">
              <a16:creationId xmlns:a16="http://schemas.microsoft.com/office/drawing/2014/main" id="{57DE2F6F-05E5-4608-9541-ED8BA3EBE497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970808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304800" cy="302284"/>
    <xdr:sp macro="" textlink="">
      <xdr:nvSpPr>
        <xdr:cNvPr id="553" name="AutoShape 10" descr="Wasps">
          <a:extLst>
            <a:ext uri="{FF2B5EF4-FFF2-40B4-BE49-F238E27FC236}">
              <a16:creationId xmlns:a16="http://schemas.microsoft.com/office/drawing/2014/main" id="{AC4E7E3C-6636-4FD4-8D89-D55C37D5FBAF}"/>
            </a:ext>
          </a:extLst>
        </xdr:cNvPr>
        <xdr:cNvSpPr>
          <a:spLocks noChangeAspect="1" noChangeArrowheads="1"/>
        </xdr:cNvSpPr>
      </xdr:nvSpPr>
      <xdr:spPr bwMode="auto">
        <a:xfrm>
          <a:off x="5546785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54" name="AutoShape 10" descr="Wasps">
          <a:extLst>
            <a:ext uri="{FF2B5EF4-FFF2-40B4-BE49-F238E27FC236}">
              <a16:creationId xmlns:a16="http://schemas.microsoft.com/office/drawing/2014/main" id="{29CE3FA3-AAD8-4D35-9423-FF759F5AC89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55" name="AutoShape 10" descr="Wasps">
          <a:extLst>
            <a:ext uri="{FF2B5EF4-FFF2-40B4-BE49-F238E27FC236}">
              <a16:creationId xmlns:a16="http://schemas.microsoft.com/office/drawing/2014/main" id="{AE8F2377-EA49-4416-AAEF-61982FD6710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02284"/>
    <xdr:sp macro="" textlink="">
      <xdr:nvSpPr>
        <xdr:cNvPr id="556" name="AutoShape 10" descr="Wasps">
          <a:extLst>
            <a:ext uri="{FF2B5EF4-FFF2-40B4-BE49-F238E27FC236}">
              <a16:creationId xmlns:a16="http://schemas.microsoft.com/office/drawing/2014/main" id="{BACB09A4-B0A3-465C-83FA-DEE1A235BDE1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8627</xdr:colOff>
      <xdr:row>48</xdr:row>
      <xdr:rowOff>94891</xdr:rowOff>
    </xdr:from>
    <xdr:ext cx="304800" cy="302284"/>
    <xdr:sp macro="" textlink="">
      <xdr:nvSpPr>
        <xdr:cNvPr id="557" name="AutoShape 10" descr="Wasps">
          <a:extLst>
            <a:ext uri="{FF2B5EF4-FFF2-40B4-BE49-F238E27FC236}">
              <a16:creationId xmlns:a16="http://schemas.microsoft.com/office/drawing/2014/main" id="{F1410ED2-CBA8-42E1-BB54-233243C34EF1}"/>
            </a:ext>
          </a:extLst>
        </xdr:cNvPr>
        <xdr:cNvSpPr>
          <a:spLocks noChangeAspect="1" noChangeArrowheads="1"/>
        </xdr:cNvSpPr>
      </xdr:nvSpPr>
      <xdr:spPr bwMode="auto">
        <a:xfrm>
          <a:off x="5555412" y="61678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558" name="AutoShape 10" descr="Wasps">
          <a:extLst>
            <a:ext uri="{FF2B5EF4-FFF2-40B4-BE49-F238E27FC236}">
              <a16:creationId xmlns:a16="http://schemas.microsoft.com/office/drawing/2014/main" id="{D00BA0C1-52BC-4A53-B2F4-60023E1FDAA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559" name="AutoShape 10" descr="Wasps">
          <a:extLst>
            <a:ext uri="{FF2B5EF4-FFF2-40B4-BE49-F238E27FC236}">
              <a16:creationId xmlns:a16="http://schemas.microsoft.com/office/drawing/2014/main" id="{61FF9929-3495-41AD-86B8-AFE8F1B23A0F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560" name="AutoShape 10" descr="Wasps">
          <a:extLst>
            <a:ext uri="{FF2B5EF4-FFF2-40B4-BE49-F238E27FC236}">
              <a16:creationId xmlns:a16="http://schemas.microsoft.com/office/drawing/2014/main" id="{16775D1F-FFC8-4333-B653-9BE2EEF6D57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561" name="AutoShape 10" descr="Wasps">
          <a:extLst>
            <a:ext uri="{FF2B5EF4-FFF2-40B4-BE49-F238E27FC236}">
              <a16:creationId xmlns:a16="http://schemas.microsoft.com/office/drawing/2014/main" id="{D001DD52-8AF2-4DA8-B121-919F34BE396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562" name="AutoShape 10" descr="Wasps">
          <a:extLst>
            <a:ext uri="{FF2B5EF4-FFF2-40B4-BE49-F238E27FC236}">
              <a16:creationId xmlns:a16="http://schemas.microsoft.com/office/drawing/2014/main" id="{BA62B504-A646-4998-93A0-F54FA2C0D9F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563" name="AutoShape 10" descr="Wasps">
          <a:extLst>
            <a:ext uri="{FF2B5EF4-FFF2-40B4-BE49-F238E27FC236}">
              <a16:creationId xmlns:a16="http://schemas.microsoft.com/office/drawing/2014/main" id="{7C9E7B7B-4A11-461C-BF41-2DA462EA9B21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564" name="AutoShape 10" descr="Wasps">
          <a:extLst>
            <a:ext uri="{FF2B5EF4-FFF2-40B4-BE49-F238E27FC236}">
              <a16:creationId xmlns:a16="http://schemas.microsoft.com/office/drawing/2014/main" id="{E7276AC7-9D63-4B89-A96D-3D4F955E6C4C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565" name="AutoShape 10" descr="Wasps">
          <a:extLst>
            <a:ext uri="{FF2B5EF4-FFF2-40B4-BE49-F238E27FC236}">
              <a16:creationId xmlns:a16="http://schemas.microsoft.com/office/drawing/2014/main" id="{CD224106-7FA8-4987-8C66-89F8565F889F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566" name="AutoShape 10" descr="Wasps">
          <a:extLst>
            <a:ext uri="{FF2B5EF4-FFF2-40B4-BE49-F238E27FC236}">
              <a16:creationId xmlns:a16="http://schemas.microsoft.com/office/drawing/2014/main" id="{18B143AA-0472-4B7A-AB15-237AF31BE70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567" name="AutoShape 10" descr="Wasps">
          <a:extLst>
            <a:ext uri="{FF2B5EF4-FFF2-40B4-BE49-F238E27FC236}">
              <a16:creationId xmlns:a16="http://schemas.microsoft.com/office/drawing/2014/main" id="{24A50235-DAE8-4703-8FA1-68ED2B682DAC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568" name="AutoShape 10" descr="Wasps">
          <a:extLst>
            <a:ext uri="{FF2B5EF4-FFF2-40B4-BE49-F238E27FC236}">
              <a16:creationId xmlns:a16="http://schemas.microsoft.com/office/drawing/2014/main" id="{628A2EF2-AC33-495C-9BA5-834C2BBEE598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569" name="AutoShape 10" descr="Wasps">
          <a:extLst>
            <a:ext uri="{FF2B5EF4-FFF2-40B4-BE49-F238E27FC236}">
              <a16:creationId xmlns:a16="http://schemas.microsoft.com/office/drawing/2014/main" id="{442EB147-7871-4833-8AD0-8634E0C757A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304800" cy="302284"/>
    <xdr:sp macro="" textlink="">
      <xdr:nvSpPr>
        <xdr:cNvPr id="570" name="AutoShape 10" descr="Wasps">
          <a:extLst>
            <a:ext uri="{FF2B5EF4-FFF2-40B4-BE49-F238E27FC236}">
              <a16:creationId xmlns:a16="http://schemas.microsoft.com/office/drawing/2014/main" id="{2935D847-8998-478E-B037-6548346623C7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40146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02284"/>
    <xdr:sp macro="" textlink="">
      <xdr:nvSpPr>
        <xdr:cNvPr id="571" name="AutoShape 2" descr="Exeter Chiefs">
          <a:extLst>
            <a:ext uri="{FF2B5EF4-FFF2-40B4-BE49-F238E27FC236}">
              <a16:creationId xmlns:a16="http://schemas.microsoft.com/office/drawing/2014/main" id="{0F9FCA45-9A4E-4EB3-BD96-622A88A5B82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302284"/>
    <xdr:sp macro="" textlink="">
      <xdr:nvSpPr>
        <xdr:cNvPr id="572" name="AutoShape 3" descr="Harlequins">
          <a:extLst>
            <a:ext uri="{FF2B5EF4-FFF2-40B4-BE49-F238E27FC236}">
              <a16:creationId xmlns:a16="http://schemas.microsoft.com/office/drawing/2014/main" id="{4A90D56D-4D69-48D1-84DD-7F280FFE082F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302284"/>
    <xdr:sp macro="" textlink="">
      <xdr:nvSpPr>
        <xdr:cNvPr id="573" name="AutoShape 4" descr="Sale Sharks">
          <a:extLst>
            <a:ext uri="{FF2B5EF4-FFF2-40B4-BE49-F238E27FC236}">
              <a16:creationId xmlns:a16="http://schemas.microsoft.com/office/drawing/2014/main" id="{FA6F2FE3-521D-481F-A64B-71113D08C5A0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302284"/>
    <xdr:sp macro="" textlink="">
      <xdr:nvSpPr>
        <xdr:cNvPr id="574" name="AutoShape 5" descr="Northampton Saints">
          <a:extLst>
            <a:ext uri="{FF2B5EF4-FFF2-40B4-BE49-F238E27FC236}">
              <a16:creationId xmlns:a16="http://schemas.microsoft.com/office/drawing/2014/main" id="{56AE9906-095F-4650-B9D5-92B91147D6AA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02284"/>
    <xdr:sp macro="" textlink="">
      <xdr:nvSpPr>
        <xdr:cNvPr id="575" name="AutoShape 6" descr="London Irish">
          <a:extLst>
            <a:ext uri="{FF2B5EF4-FFF2-40B4-BE49-F238E27FC236}">
              <a16:creationId xmlns:a16="http://schemas.microsoft.com/office/drawing/2014/main" id="{E4AE3252-14D8-40DE-B8AC-ADFFB82CE012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02284"/>
    <xdr:sp macro="" textlink="">
      <xdr:nvSpPr>
        <xdr:cNvPr id="576" name="AutoShape 7" descr="Leicester Tigers">
          <a:extLst>
            <a:ext uri="{FF2B5EF4-FFF2-40B4-BE49-F238E27FC236}">
              <a16:creationId xmlns:a16="http://schemas.microsoft.com/office/drawing/2014/main" id="{2B7A2F5F-B6EB-4CA7-9E1F-C2EBDC9776A1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54</xdr:row>
      <xdr:rowOff>0</xdr:rowOff>
    </xdr:from>
    <xdr:ext cx="298150" cy="302284"/>
    <xdr:sp macro="" textlink="">
      <xdr:nvSpPr>
        <xdr:cNvPr id="577" name="AutoShape 9" descr="Bath Rugby">
          <a:extLst>
            <a:ext uri="{FF2B5EF4-FFF2-40B4-BE49-F238E27FC236}">
              <a16:creationId xmlns:a16="http://schemas.microsoft.com/office/drawing/2014/main" id="{6F7F3F49-BDA0-4E28-9299-B89CDEE0C1E2}"/>
            </a:ext>
          </a:extLst>
        </xdr:cNvPr>
        <xdr:cNvSpPr>
          <a:spLocks noChangeAspect="1" noChangeArrowheads="1"/>
        </xdr:cNvSpPr>
      </xdr:nvSpPr>
      <xdr:spPr bwMode="auto">
        <a:xfrm>
          <a:off x="5543910" y="7211683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310910"/>
    <xdr:sp macro="" textlink="">
      <xdr:nvSpPr>
        <xdr:cNvPr id="578" name="AutoShape 6" descr="London Irish">
          <a:extLst>
            <a:ext uri="{FF2B5EF4-FFF2-40B4-BE49-F238E27FC236}">
              <a16:creationId xmlns:a16="http://schemas.microsoft.com/office/drawing/2014/main" id="{9B9889D6-AC45-4180-AF68-B384054EFFD9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310911"/>
    <xdr:sp macro="" textlink="">
      <xdr:nvSpPr>
        <xdr:cNvPr id="579" name="AutoShape 7" descr="Leicester Tigers">
          <a:extLst>
            <a:ext uri="{FF2B5EF4-FFF2-40B4-BE49-F238E27FC236}">
              <a16:creationId xmlns:a16="http://schemas.microsoft.com/office/drawing/2014/main" id="{3FBAEF4C-CAD7-41D3-AA10-5F5B6AB8188B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304800" cy="319536"/>
    <xdr:sp macro="" textlink="">
      <xdr:nvSpPr>
        <xdr:cNvPr id="581" name="AutoShape 1" descr="Bristol Bears">
          <a:extLst>
            <a:ext uri="{FF2B5EF4-FFF2-40B4-BE49-F238E27FC236}">
              <a16:creationId xmlns:a16="http://schemas.microsoft.com/office/drawing/2014/main" id="{016A8F9D-9266-4C93-A92A-31A7B325FE82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072996"/>
          <a:ext cx="304800" cy="31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304800" cy="319537"/>
    <xdr:sp macro="" textlink="">
      <xdr:nvSpPr>
        <xdr:cNvPr id="582" name="AutoShape 2" descr="Exeter Chiefs">
          <a:extLst>
            <a:ext uri="{FF2B5EF4-FFF2-40B4-BE49-F238E27FC236}">
              <a16:creationId xmlns:a16="http://schemas.microsoft.com/office/drawing/2014/main" id="{58625EC3-F587-4A3E-8EC8-502B4AB27A7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262777"/>
          <a:ext cx="304800" cy="31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304800" cy="500691"/>
    <xdr:sp macro="" textlink="">
      <xdr:nvSpPr>
        <xdr:cNvPr id="583" name="AutoShape 3" descr="Harlequins">
          <a:extLst>
            <a:ext uri="{FF2B5EF4-FFF2-40B4-BE49-F238E27FC236}">
              <a16:creationId xmlns:a16="http://schemas.microsoft.com/office/drawing/2014/main" id="{CF526D1D-3745-4218-BCC0-248B24E52376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452558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304800" cy="500693"/>
    <xdr:sp macro="" textlink="">
      <xdr:nvSpPr>
        <xdr:cNvPr id="584" name="AutoShape 4" descr="Sale Sharks">
          <a:extLst>
            <a:ext uri="{FF2B5EF4-FFF2-40B4-BE49-F238E27FC236}">
              <a16:creationId xmlns:a16="http://schemas.microsoft.com/office/drawing/2014/main" id="{E3F9626D-C321-4475-AD51-F6207D2CD3A4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642340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304800" cy="500691"/>
    <xdr:sp macro="" textlink="">
      <xdr:nvSpPr>
        <xdr:cNvPr id="585" name="AutoShape 5" descr="Northampton Saints">
          <a:extLst>
            <a:ext uri="{FF2B5EF4-FFF2-40B4-BE49-F238E27FC236}">
              <a16:creationId xmlns:a16="http://schemas.microsoft.com/office/drawing/2014/main" id="{DA773377-1EC0-4009-B345-F7E11591F20C}"/>
            </a:ext>
          </a:extLst>
        </xdr:cNvPr>
        <xdr:cNvSpPr>
          <a:spLocks noChangeAspect="1" noChangeArrowheads="1"/>
        </xdr:cNvSpPr>
      </xdr:nvSpPr>
      <xdr:spPr bwMode="auto">
        <a:xfrm>
          <a:off x="5546785" y="6832121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304800" cy="500690"/>
    <xdr:sp macro="" textlink="">
      <xdr:nvSpPr>
        <xdr:cNvPr id="586" name="AutoShape 6" descr="London Irish">
          <a:extLst>
            <a:ext uri="{FF2B5EF4-FFF2-40B4-BE49-F238E27FC236}">
              <a16:creationId xmlns:a16="http://schemas.microsoft.com/office/drawing/2014/main" id="{E82CC372-D48B-4D42-A047-0AE3E02571C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021902"/>
          <a:ext cx="304800" cy="50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304800" cy="500693"/>
    <xdr:sp macro="" textlink="">
      <xdr:nvSpPr>
        <xdr:cNvPr id="587" name="AutoShape 7" descr="Leicester Tigers">
          <a:extLst>
            <a:ext uri="{FF2B5EF4-FFF2-40B4-BE49-F238E27FC236}">
              <a16:creationId xmlns:a16="http://schemas.microsoft.com/office/drawing/2014/main" id="{9409BDEC-F11E-482A-B7D3-890FB82AEB2F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211683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304800" cy="500691"/>
    <xdr:sp macro="" textlink="">
      <xdr:nvSpPr>
        <xdr:cNvPr id="588" name="AutoShape 8" descr="Newcastle Falcons">
          <a:extLst>
            <a:ext uri="{FF2B5EF4-FFF2-40B4-BE49-F238E27FC236}">
              <a16:creationId xmlns:a16="http://schemas.microsoft.com/office/drawing/2014/main" id="{AC1D179F-4DE0-42D8-BD25-0F79DF6A747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401464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56</xdr:row>
      <xdr:rowOff>19050</xdr:rowOff>
    </xdr:from>
    <xdr:ext cx="298149" cy="500691"/>
    <xdr:sp macro="" textlink="">
      <xdr:nvSpPr>
        <xdr:cNvPr id="589" name="AutoShape 9" descr="Bath Rugby">
          <a:extLst>
            <a:ext uri="{FF2B5EF4-FFF2-40B4-BE49-F238E27FC236}">
              <a16:creationId xmlns:a16="http://schemas.microsoft.com/office/drawing/2014/main" id="{6FB3AA14-E666-439C-8CD3-ADDF73BC2167}"/>
            </a:ext>
          </a:extLst>
        </xdr:cNvPr>
        <xdr:cNvSpPr>
          <a:spLocks noChangeAspect="1" noChangeArrowheads="1"/>
        </xdr:cNvSpPr>
      </xdr:nvSpPr>
      <xdr:spPr bwMode="auto">
        <a:xfrm>
          <a:off x="5543910" y="7610295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304800" cy="500692"/>
    <xdr:sp macro="" textlink="">
      <xdr:nvSpPr>
        <xdr:cNvPr id="590" name="AutoShape 10" descr="Wasps">
          <a:extLst>
            <a:ext uri="{FF2B5EF4-FFF2-40B4-BE49-F238E27FC236}">
              <a16:creationId xmlns:a16="http://schemas.microsoft.com/office/drawing/2014/main" id="{9374D0C7-7D02-4C56-B17B-CC0C2671C4EA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781026"/>
          <a:ext cx="304800" cy="50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57</xdr:row>
      <xdr:rowOff>0</xdr:rowOff>
    </xdr:from>
    <xdr:ext cx="304800" cy="500691"/>
    <xdr:sp macro="" textlink="">
      <xdr:nvSpPr>
        <xdr:cNvPr id="591" name="AutoShape 8" descr="Newcastle Falcons">
          <a:extLst>
            <a:ext uri="{FF2B5EF4-FFF2-40B4-BE49-F238E27FC236}">
              <a16:creationId xmlns:a16="http://schemas.microsoft.com/office/drawing/2014/main" id="{1F249A89-F7D9-4BB4-AEAD-4103C9320F51}"/>
            </a:ext>
          </a:extLst>
        </xdr:cNvPr>
        <xdr:cNvSpPr>
          <a:spLocks noChangeAspect="1" noChangeArrowheads="1"/>
        </xdr:cNvSpPr>
      </xdr:nvSpPr>
      <xdr:spPr bwMode="auto">
        <a:xfrm>
          <a:off x="5546785" y="7781026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609600</xdr:colOff>
      <xdr:row>58</xdr:row>
      <xdr:rowOff>19050</xdr:rowOff>
    </xdr:from>
    <xdr:ext cx="298149" cy="500691"/>
    <xdr:sp macro="" textlink="">
      <xdr:nvSpPr>
        <xdr:cNvPr id="592" name="AutoShape 9" descr="Bath Rugby">
          <a:extLst>
            <a:ext uri="{FF2B5EF4-FFF2-40B4-BE49-F238E27FC236}">
              <a16:creationId xmlns:a16="http://schemas.microsoft.com/office/drawing/2014/main" id="{2812829D-216B-4F1A-811A-11E0C4B00AA3}"/>
            </a:ext>
          </a:extLst>
        </xdr:cNvPr>
        <xdr:cNvSpPr>
          <a:spLocks noChangeAspect="1" noChangeArrowheads="1"/>
        </xdr:cNvSpPr>
      </xdr:nvSpPr>
      <xdr:spPr bwMode="auto">
        <a:xfrm>
          <a:off x="5543910" y="7989858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12</xdr:row>
      <xdr:rowOff>0</xdr:rowOff>
    </xdr:from>
    <xdr:ext cx="304800" cy="303002"/>
    <xdr:sp macro="" textlink="">
      <xdr:nvSpPr>
        <xdr:cNvPr id="593" name="AutoShape 10" descr="Wasps">
          <a:extLst>
            <a:ext uri="{FF2B5EF4-FFF2-40B4-BE49-F238E27FC236}">
              <a16:creationId xmlns:a16="http://schemas.microsoft.com/office/drawing/2014/main" id="{FE65384B-2228-453F-A61E-D18BB66DB5E0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265693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11</xdr:row>
      <xdr:rowOff>181156</xdr:rowOff>
    </xdr:from>
    <xdr:ext cx="304800" cy="302284"/>
    <xdr:sp macro="" textlink="">
      <xdr:nvSpPr>
        <xdr:cNvPr id="594" name="AutoShape 10" descr="Wasps">
          <a:extLst>
            <a:ext uri="{FF2B5EF4-FFF2-40B4-BE49-F238E27FC236}">
              <a16:creationId xmlns:a16="http://schemas.microsoft.com/office/drawing/2014/main" id="{3DC87C1E-0D53-4858-8371-E2DDE946D520}"/>
            </a:ext>
          </a:extLst>
        </xdr:cNvPr>
        <xdr:cNvSpPr>
          <a:spLocks noChangeAspect="1" noChangeArrowheads="1"/>
        </xdr:cNvSpPr>
      </xdr:nvSpPr>
      <xdr:spPr bwMode="auto">
        <a:xfrm>
          <a:off x="12879238" y="26483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11</xdr:row>
      <xdr:rowOff>19050</xdr:rowOff>
    </xdr:from>
    <xdr:ext cx="298150" cy="302284"/>
    <xdr:sp macro="" textlink="">
      <xdr:nvSpPr>
        <xdr:cNvPr id="595" name="AutoShape 9" descr="Bath Rugby">
          <a:extLst>
            <a:ext uri="{FF2B5EF4-FFF2-40B4-BE49-F238E27FC236}">
              <a16:creationId xmlns:a16="http://schemas.microsoft.com/office/drawing/2014/main" id="{47670537-9D8E-4BB2-84EB-A22B0F09E65F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248620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500693"/>
    <xdr:sp macro="" textlink="">
      <xdr:nvSpPr>
        <xdr:cNvPr id="596" name="AutoShape 4" descr="Sale Sharks">
          <a:extLst>
            <a:ext uri="{FF2B5EF4-FFF2-40B4-BE49-F238E27FC236}">
              <a16:creationId xmlns:a16="http://schemas.microsoft.com/office/drawing/2014/main" id="{CB1F1FDA-C812-45FC-B635-EACECF13B0DE}"/>
            </a:ext>
          </a:extLst>
        </xdr:cNvPr>
        <xdr:cNvSpPr>
          <a:spLocks noChangeAspect="1" noChangeArrowheads="1"/>
        </xdr:cNvSpPr>
      </xdr:nvSpPr>
      <xdr:spPr bwMode="auto">
        <a:xfrm>
          <a:off x="5546785" y="948906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500691"/>
    <xdr:sp macro="" textlink="">
      <xdr:nvSpPr>
        <xdr:cNvPr id="597" name="AutoShape 5" descr="Northampton Saints">
          <a:extLst>
            <a:ext uri="{FF2B5EF4-FFF2-40B4-BE49-F238E27FC236}">
              <a16:creationId xmlns:a16="http://schemas.microsoft.com/office/drawing/2014/main" id="{D94A83F6-8A44-46BA-B9AB-697E9B10C73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138687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500693"/>
    <xdr:sp macro="" textlink="">
      <xdr:nvSpPr>
        <xdr:cNvPr id="598" name="AutoShape 7" descr="Leicester Tigers">
          <a:extLst>
            <a:ext uri="{FF2B5EF4-FFF2-40B4-BE49-F238E27FC236}">
              <a16:creationId xmlns:a16="http://schemas.microsoft.com/office/drawing/2014/main" id="{B39983DE-843F-4C5F-B571-A945CE38804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518249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500691"/>
    <xdr:sp macro="" textlink="">
      <xdr:nvSpPr>
        <xdr:cNvPr id="599" name="AutoShape 8" descr="Newcastle Falcons">
          <a:extLst>
            <a:ext uri="{FF2B5EF4-FFF2-40B4-BE49-F238E27FC236}">
              <a16:creationId xmlns:a16="http://schemas.microsoft.com/office/drawing/2014/main" id="{0116EFC0-7B44-417F-A777-03334DF8CFCD}"/>
            </a:ext>
          </a:extLst>
        </xdr:cNvPr>
        <xdr:cNvSpPr>
          <a:spLocks noChangeAspect="1" noChangeArrowheads="1"/>
        </xdr:cNvSpPr>
      </xdr:nvSpPr>
      <xdr:spPr bwMode="auto">
        <a:xfrm>
          <a:off x="5546785" y="1708030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11</xdr:row>
      <xdr:rowOff>19050</xdr:rowOff>
    </xdr:from>
    <xdr:ext cx="298149" cy="500691"/>
    <xdr:sp macro="" textlink="">
      <xdr:nvSpPr>
        <xdr:cNvPr id="600" name="AutoShape 9" descr="Bath Rugby">
          <a:extLst>
            <a:ext uri="{FF2B5EF4-FFF2-40B4-BE49-F238E27FC236}">
              <a16:creationId xmlns:a16="http://schemas.microsoft.com/office/drawing/2014/main" id="{E0004AE3-51AE-4854-A9F0-18F60651F71E}"/>
            </a:ext>
          </a:extLst>
        </xdr:cNvPr>
        <xdr:cNvSpPr>
          <a:spLocks noChangeAspect="1" noChangeArrowheads="1"/>
        </xdr:cNvSpPr>
      </xdr:nvSpPr>
      <xdr:spPr bwMode="auto">
        <a:xfrm>
          <a:off x="5543910" y="1916861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12</xdr:row>
      <xdr:rowOff>0</xdr:rowOff>
    </xdr:from>
    <xdr:ext cx="304800" cy="500692"/>
    <xdr:sp macro="" textlink="">
      <xdr:nvSpPr>
        <xdr:cNvPr id="601" name="AutoShape 10" descr="Wasps">
          <a:extLst>
            <a:ext uri="{FF2B5EF4-FFF2-40B4-BE49-F238E27FC236}">
              <a16:creationId xmlns:a16="http://schemas.microsoft.com/office/drawing/2014/main" id="{F951B7B3-A203-45C2-8EED-77222A5192AC}"/>
            </a:ext>
          </a:extLst>
        </xdr:cNvPr>
        <xdr:cNvSpPr>
          <a:spLocks noChangeAspect="1" noChangeArrowheads="1"/>
        </xdr:cNvSpPr>
      </xdr:nvSpPr>
      <xdr:spPr bwMode="auto">
        <a:xfrm>
          <a:off x="5546785" y="2087592"/>
          <a:ext cx="304800" cy="50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12</xdr:row>
      <xdr:rowOff>0</xdr:rowOff>
    </xdr:from>
    <xdr:ext cx="304800" cy="500691"/>
    <xdr:sp macro="" textlink="">
      <xdr:nvSpPr>
        <xdr:cNvPr id="602" name="AutoShape 8" descr="Newcastle Falcons">
          <a:extLst>
            <a:ext uri="{FF2B5EF4-FFF2-40B4-BE49-F238E27FC236}">
              <a16:creationId xmlns:a16="http://schemas.microsoft.com/office/drawing/2014/main" id="{2C439942-0CBE-4064-B95B-9CE3C05A8F93}"/>
            </a:ext>
          </a:extLst>
        </xdr:cNvPr>
        <xdr:cNvSpPr>
          <a:spLocks noChangeAspect="1" noChangeArrowheads="1"/>
        </xdr:cNvSpPr>
      </xdr:nvSpPr>
      <xdr:spPr bwMode="auto">
        <a:xfrm>
          <a:off x="5546785" y="2087592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13</xdr:row>
      <xdr:rowOff>19050</xdr:rowOff>
    </xdr:from>
    <xdr:ext cx="298149" cy="500691"/>
    <xdr:sp macro="" textlink="">
      <xdr:nvSpPr>
        <xdr:cNvPr id="603" name="AutoShape 9" descr="Bath Rugby">
          <a:extLst>
            <a:ext uri="{FF2B5EF4-FFF2-40B4-BE49-F238E27FC236}">
              <a16:creationId xmlns:a16="http://schemas.microsoft.com/office/drawing/2014/main" id="{7419968F-8DE6-496E-950A-7BBDF39875BF}"/>
            </a:ext>
          </a:extLst>
        </xdr:cNvPr>
        <xdr:cNvSpPr>
          <a:spLocks noChangeAspect="1" noChangeArrowheads="1"/>
        </xdr:cNvSpPr>
      </xdr:nvSpPr>
      <xdr:spPr bwMode="auto">
        <a:xfrm>
          <a:off x="5543910" y="2296424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3003"/>
    <xdr:sp macro="" textlink="">
      <xdr:nvSpPr>
        <xdr:cNvPr id="604" name="AutoShape 1" descr="Bristol Bears">
          <a:extLst>
            <a:ext uri="{FF2B5EF4-FFF2-40B4-BE49-F238E27FC236}">
              <a16:creationId xmlns:a16="http://schemas.microsoft.com/office/drawing/2014/main" id="{3C88A973-955F-45E3-8F6A-92B30700DBC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5693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3002"/>
    <xdr:sp macro="" textlink="">
      <xdr:nvSpPr>
        <xdr:cNvPr id="605" name="AutoShape 2" descr="Exeter Chiefs">
          <a:extLst>
            <a:ext uri="{FF2B5EF4-FFF2-40B4-BE49-F238E27FC236}">
              <a16:creationId xmlns:a16="http://schemas.microsoft.com/office/drawing/2014/main" id="{32AF8F61-F5F7-4D30-9F48-1439C8B98527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3003"/>
    <xdr:sp macro="" textlink="">
      <xdr:nvSpPr>
        <xdr:cNvPr id="606" name="AutoShape 3" descr="Harlequins">
          <a:extLst>
            <a:ext uri="{FF2B5EF4-FFF2-40B4-BE49-F238E27FC236}">
              <a16:creationId xmlns:a16="http://schemas.microsoft.com/office/drawing/2014/main" id="{4CD0F16A-94F7-4800-A436-4EED339B0DAE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3003"/>
    <xdr:sp macro="" textlink="">
      <xdr:nvSpPr>
        <xdr:cNvPr id="607" name="AutoShape 4" descr="Sale Sharks">
          <a:extLst>
            <a:ext uri="{FF2B5EF4-FFF2-40B4-BE49-F238E27FC236}">
              <a16:creationId xmlns:a16="http://schemas.microsoft.com/office/drawing/2014/main" id="{C1AF3AF0-C886-4095-8609-2DE2F127B39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3003"/>
    <xdr:sp macro="" textlink="">
      <xdr:nvSpPr>
        <xdr:cNvPr id="608" name="AutoShape 5" descr="Northampton Saints">
          <a:extLst>
            <a:ext uri="{FF2B5EF4-FFF2-40B4-BE49-F238E27FC236}">
              <a16:creationId xmlns:a16="http://schemas.microsoft.com/office/drawing/2014/main" id="{5A759C1A-5664-4DF9-BA4C-11B26ADD0A7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3003"/>
    <xdr:sp macro="" textlink="">
      <xdr:nvSpPr>
        <xdr:cNvPr id="609" name="AutoShape 6" descr="London Irish">
          <a:extLst>
            <a:ext uri="{FF2B5EF4-FFF2-40B4-BE49-F238E27FC236}">
              <a16:creationId xmlns:a16="http://schemas.microsoft.com/office/drawing/2014/main" id="{66A0AF6B-6C47-482E-B4B0-46711EB6D302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3003"/>
    <xdr:sp macro="" textlink="">
      <xdr:nvSpPr>
        <xdr:cNvPr id="610" name="AutoShape 7" descr="Leicester Tigers">
          <a:extLst>
            <a:ext uri="{FF2B5EF4-FFF2-40B4-BE49-F238E27FC236}">
              <a16:creationId xmlns:a16="http://schemas.microsoft.com/office/drawing/2014/main" id="{7EC014B1-E485-4216-A227-6577C6608AE0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3003"/>
    <xdr:sp macro="" textlink="">
      <xdr:nvSpPr>
        <xdr:cNvPr id="611" name="AutoShape 8" descr="Newcastle Falcons">
          <a:extLst>
            <a:ext uri="{FF2B5EF4-FFF2-40B4-BE49-F238E27FC236}">
              <a16:creationId xmlns:a16="http://schemas.microsoft.com/office/drawing/2014/main" id="{07BE40D9-B4FB-4E79-A4AD-E3F5E343CC38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19050</xdr:rowOff>
    </xdr:from>
    <xdr:ext cx="295275" cy="303003"/>
    <xdr:sp macro="" textlink="">
      <xdr:nvSpPr>
        <xdr:cNvPr id="612" name="AutoShape 9" descr="Bath Rugby">
          <a:extLst>
            <a:ext uri="{FF2B5EF4-FFF2-40B4-BE49-F238E27FC236}">
              <a16:creationId xmlns:a16="http://schemas.microsoft.com/office/drawing/2014/main" id="{E47CBF53-9B5C-401B-A508-0456BCF5C450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30</xdr:row>
      <xdr:rowOff>0</xdr:rowOff>
    </xdr:from>
    <xdr:ext cx="304800" cy="303002"/>
    <xdr:sp macro="" textlink="">
      <xdr:nvSpPr>
        <xdr:cNvPr id="613" name="AutoShape 10" descr="Wasps">
          <a:extLst>
            <a:ext uri="{FF2B5EF4-FFF2-40B4-BE49-F238E27FC236}">
              <a16:creationId xmlns:a16="http://schemas.microsoft.com/office/drawing/2014/main" id="{6371F710-99DD-40C2-991D-0A4905749398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265693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614" name="AutoShape 2" descr="Exeter Chiefs">
          <a:extLst>
            <a:ext uri="{FF2B5EF4-FFF2-40B4-BE49-F238E27FC236}">
              <a16:creationId xmlns:a16="http://schemas.microsoft.com/office/drawing/2014/main" id="{6FA988B7-3EF8-4D41-A60E-825B7C1B6E54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615" name="AutoShape 3" descr="Harlequins">
          <a:extLst>
            <a:ext uri="{FF2B5EF4-FFF2-40B4-BE49-F238E27FC236}">
              <a16:creationId xmlns:a16="http://schemas.microsoft.com/office/drawing/2014/main" id="{84BC8264-AEAA-4E24-A4B9-8CAF06518EF6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616" name="AutoShape 4" descr="Sale Sharks">
          <a:extLst>
            <a:ext uri="{FF2B5EF4-FFF2-40B4-BE49-F238E27FC236}">
              <a16:creationId xmlns:a16="http://schemas.microsoft.com/office/drawing/2014/main" id="{33132B3C-3455-4488-ACA4-279A08741B1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617" name="AutoShape 5" descr="Northampton Saints">
          <a:extLst>
            <a:ext uri="{FF2B5EF4-FFF2-40B4-BE49-F238E27FC236}">
              <a16:creationId xmlns:a16="http://schemas.microsoft.com/office/drawing/2014/main" id="{65C88DDC-BCDA-4009-8F9E-66939C20984F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2284"/>
    <xdr:sp macro="" textlink="">
      <xdr:nvSpPr>
        <xdr:cNvPr id="618" name="AutoShape 6" descr="London Irish">
          <a:extLst>
            <a:ext uri="{FF2B5EF4-FFF2-40B4-BE49-F238E27FC236}">
              <a16:creationId xmlns:a16="http://schemas.microsoft.com/office/drawing/2014/main" id="{D86CC958-A494-446E-8154-E9B2EBCFF122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02284"/>
    <xdr:sp macro="" textlink="">
      <xdr:nvSpPr>
        <xdr:cNvPr id="619" name="AutoShape 7" descr="Leicester Tigers">
          <a:extLst>
            <a:ext uri="{FF2B5EF4-FFF2-40B4-BE49-F238E27FC236}">
              <a16:creationId xmlns:a16="http://schemas.microsoft.com/office/drawing/2014/main" id="{A8C11518-EC04-4157-838A-024F08A07F5D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302284"/>
    <xdr:sp macro="" textlink="">
      <xdr:nvSpPr>
        <xdr:cNvPr id="620" name="AutoShape 8" descr="Newcastle Falcons">
          <a:extLst>
            <a:ext uri="{FF2B5EF4-FFF2-40B4-BE49-F238E27FC236}">
              <a16:creationId xmlns:a16="http://schemas.microsoft.com/office/drawing/2014/main" id="{C830F947-2B09-466A-90F2-B0B9F71A453E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27</xdr:row>
      <xdr:rowOff>19050</xdr:rowOff>
    </xdr:from>
    <xdr:ext cx="298150" cy="302284"/>
    <xdr:sp macro="" textlink="">
      <xdr:nvSpPr>
        <xdr:cNvPr id="621" name="AutoShape 9" descr="Bath Rugby">
          <a:extLst>
            <a:ext uri="{FF2B5EF4-FFF2-40B4-BE49-F238E27FC236}">
              <a16:creationId xmlns:a16="http://schemas.microsoft.com/office/drawing/2014/main" id="{59F96505-AFC3-4126-8FFD-E01BF770ADA7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29</xdr:row>
      <xdr:rowOff>181156</xdr:rowOff>
    </xdr:from>
    <xdr:ext cx="304800" cy="302284"/>
    <xdr:sp macro="" textlink="">
      <xdr:nvSpPr>
        <xdr:cNvPr id="622" name="AutoShape 10" descr="Wasps">
          <a:extLst>
            <a:ext uri="{FF2B5EF4-FFF2-40B4-BE49-F238E27FC236}">
              <a16:creationId xmlns:a16="http://schemas.microsoft.com/office/drawing/2014/main" id="{C10788C1-FFAA-4F06-90F8-0DB4644A5AAF}"/>
            </a:ext>
          </a:extLst>
        </xdr:cNvPr>
        <xdr:cNvSpPr>
          <a:spLocks noChangeAspect="1" noChangeArrowheads="1"/>
        </xdr:cNvSpPr>
      </xdr:nvSpPr>
      <xdr:spPr bwMode="auto">
        <a:xfrm>
          <a:off x="12879238" y="26483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10910"/>
    <xdr:sp macro="" textlink="">
      <xdr:nvSpPr>
        <xdr:cNvPr id="623" name="AutoShape 6" descr="London Irish">
          <a:extLst>
            <a:ext uri="{FF2B5EF4-FFF2-40B4-BE49-F238E27FC236}">
              <a16:creationId xmlns:a16="http://schemas.microsoft.com/office/drawing/2014/main" id="{F508982F-4EBC-4CC5-95F7-CA0E07EE3D46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518249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310911"/>
    <xdr:sp macro="" textlink="">
      <xdr:nvSpPr>
        <xdr:cNvPr id="624" name="AutoShape 7" descr="Leicester Tigers">
          <a:extLst>
            <a:ext uri="{FF2B5EF4-FFF2-40B4-BE49-F238E27FC236}">
              <a16:creationId xmlns:a16="http://schemas.microsoft.com/office/drawing/2014/main" id="{D70B7C9F-54FB-4052-AAE8-2F79FCCFFE46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708030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29</xdr:row>
      <xdr:rowOff>19050</xdr:rowOff>
    </xdr:from>
    <xdr:ext cx="298150" cy="302284"/>
    <xdr:sp macro="" textlink="">
      <xdr:nvSpPr>
        <xdr:cNvPr id="625" name="AutoShape 9" descr="Bath Rugby">
          <a:extLst>
            <a:ext uri="{FF2B5EF4-FFF2-40B4-BE49-F238E27FC236}">
              <a16:creationId xmlns:a16="http://schemas.microsoft.com/office/drawing/2014/main" id="{3691D476-8975-4A9B-921C-D544BE8632FF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2486205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28</xdr:row>
      <xdr:rowOff>0</xdr:rowOff>
    </xdr:from>
    <xdr:ext cx="304800" cy="303002"/>
    <xdr:sp macro="" textlink="">
      <xdr:nvSpPr>
        <xdr:cNvPr id="626" name="AutoShape 10" descr="Wasps">
          <a:extLst>
            <a:ext uri="{FF2B5EF4-FFF2-40B4-BE49-F238E27FC236}">
              <a16:creationId xmlns:a16="http://schemas.microsoft.com/office/drawing/2014/main" id="{606378EC-7DA6-493A-9FB9-8482AEEBB46E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227737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27</xdr:row>
      <xdr:rowOff>181156</xdr:rowOff>
    </xdr:from>
    <xdr:ext cx="304800" cy="302284"/>
    <xdr:sp macro="" textlink="">
      <xdr:nvSpPr>
        <xdr:cNvPr id="627" name="AutoShape 10" descr="Wasps">
          <a:extLst>
            <a:ext uri="{FF2B5EF4-FFF2-40B4-BE49-F238E27FC236}">
              <a16:creationId xmlns:a16="http://schemas.microsoft.com/office/drawing/2014/main" id="{07D94520-9FD4-4E4F-8777-C9CFA9B7C2D5}"/>
            </a:ext>
          </a:extLst>
        </xdr:cNvPr>
        <xdr:cNvSpPr>
          <a:spLocks noChangeAspect="1" noChangeArrowheads="1"/>
        </xdr:cNvSpPr>
      </xdr:nvSpPr>
      <xdr:spPr bwMode="auto">
        <a:xfrm>
          <a:off x="12879238" y="226874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27</xdr:row>
      <xdr:rowOff>19050</xdr:rowOff>
    </xdr:from>
    <xdr:ext cx="298150" cy="302284"/>
    <xdr:sp macro="" textlink="">
      <xdr:nvSpPr>
        <xdr:cNvPr id="628" name="AutoShape 9" descr="Bath Rugby">
          <a:extLst>
            <a:ext uri="{FF2B5EF4-FFF2-40B4-BE49-F238E27FC236}">
              <a16:creationId xmlns:a16="http://schemas.microsoft.com/office/drawing/2014/main" id="{5F9108DE-B337-428F-B0EF-32ACE82894CD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500693"/>
    <xdr:sp macro="" textlink="">
      <xdr:nvSpPr>
        <xdr:cNvPr id="629" name="AutoShape 4" descr="Sale Sharks">
          <a:extLst>
            <a:ext uri="{FF2B5EF4-FFF2-40B4-BE49-F238E27FC236}">
              <a16:creationId xmlns:a16="http://schemas.microsoft.com/office/drawing/2014/main" id="{F9E5C008-2A7B-4F52-84FA-431F97D6477C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138687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500691"/>
    <xdr:sp macro="" textlink="">
      <xdr:nvSpPr>
        <xdr:cNvPr id="630" name="AutoShape 5" descr="Northampton Saints">
          <a:extLst>
            <a:ext uri="{FF2B5EF4-FFF2-40B4-BE49-F238E27FC236}">
              <a16:creationId xmlns:a16="http://schemas.microsoft.com/office/drawing/2014/main" id="{8FCAAF19-637B-496B-ABAD-76471FD8CD2C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328468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304800" cy="500693"/>
    <xdr:sp macro="" textlink="">
      <xdr:nvSpPr>
        <xdr:cNvPr id="631" name="AutoShape 7" descr="Leicester Tigers">
          <a:extLst>
            <a:ext uri="{FF2B5EF4-FFF2-40B4-BE49-F238E27FC236}">
              <a16:creationId xmlns:a16="http://schemas.microsoft.com/office/drawing/2014/main" id="{93A90610-3B52-403F-BC83-D2978428449C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708030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304800" cy="500691"/>
    <xdr:sp macro="" textlink="">
      <xdr:nvSpPr>
        <xdr:cNvPr id="632" name="AutoShape 8" descr="Newcastle Falcons">
          <a:extLst>
            <a:ext uri="{FF2B5EF4-FFF2-40B4-BE49-F238E27FC236}">
              <a16:creationId xmlns:a16="http://schemas.microsoft.com/office/drawing/2014/main" id="{F40AE721-EE18-44A0-B3E1-6F77E2BC2EE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1897811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27</xdr:row>
      <xdr:rowOff>19050</xdr:rowOff>
    </xdr:from>
    <xdr:ext cx="298149" cy="500691"/>
    <xdr:sp macro="" textlink="">
      <xdr:nvSpPr>
        <xdr:cNvPr id="633" name="AutoShape 9" descr="Bath Rugby">
          <a:extLst>
            <a:ext uri="{FF2B5EF4-FFF2-40B4-BE49-F238E27FC236}">
              <a16:creationId xmlns:a16="http://schemas.microsoft.com/office/drawing/2014/main" id="{6A05088B-E5F1-455C-BE1C-CF1811906FB0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2106642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28</xdr:row>
      <xdr:rowOff>0</xdr:rowOff>
    </xdr:from>
    <xdr:ext cx="304800" cy="500692"/>
    <xdr:sp macro="" textlink="">
      <xdr:nvSpPr>
        <xdr:cNvPr id="634" name="AutoShape 10" descr="Wasps">
          <a:extLst>
            <a:ext uri="{FF2B5EF4-FFF2-40B4-BE49-F238E27FC236}">
              <a16:creationId xmlns:a16="http://schemas.microsoft.com/office/drawing/2014/main" id="{AC98A27F-D5CB-4C25-806C-5C9C9DD6B00D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2277374"/>
          <a:ext cx="304800" cy="50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28</xdr:row>
      <xdr:rowOff>0</xdr:rowOff>
    </xdr:from>
    <xdr:ext cx="304800" cy="500691"/>
    <xdr:sp macro="" textlink="">
      <xdr:nvSpPr>
        <xdr:cNvPr id="635" name="AutoShape 8" descr="Newcastle Falcons">
          <a:extLst>
            <a:ext uri="{FF2B5EF4-FFF2-40B4-BE49-F238E27FC236}">
              <a16:creationId xmlns:a16="http://schemas.microsoft.com/office/drawing/2014/main" id="{0A3E2274-10A5-4AB8-A4D6-73071D543EB1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2277374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29</xdr:row>
      <xdr:rowOff>19050</xdr:rowOff>
    </xdr:from>
    <xdr:ext cx="298149" cy="500691"/>
    <xdr:sp macro="" textlink="">
      <xdr:nvSpPr>
        <xdr:cNvPr id="636" name="AutoShape 9" descr="Bath Rugby">
          <a:extLst>
            <a:ext uri="{FF2B5EF4-FFF2-40B4-BE49-F238E27FC236}">
              <a16:creationId xmlns:a16="http://schemas.microsoft.com/office/drawing/2014/main" id="{F394E621-E8D7-4DC2-8A79-489552EF19B3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2486205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637" name="AutoShape 10" descr="Wasps">
          <a:extLst>
            <a:ext uri="{FF2B5EF4-FFF2-40B4-BE49-F238E27FC236}">
              <a16:creationId xmlns:a16="http://schemas.microsoft.com/office/drawing/2014/main" id="{1D55BFAA-9CD2-42FC-9985-207CD136A882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638" name="AutoShape 10" descr="Wasps">
          <a:extLst>
            <a:ext uri="{FF2B5EF4-FFF2-40B4-BE49-F238E27FC236}">
              <a16:creationId xmlns:a16="http://schemas.microsoft.com/office/drawing/2014/main" id="{B77EBA1A-D7B2-4AFC-9CFB-C03266F7F108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639" name="AutoShape 10" descr="Wasps">
          <a:extLst>
            <a:ext uri="{FF2B5EF4-FFF2-40B4-BE49-F238E27FC236}">
              <a16:creationId xmlns:a16="http://schemas.microsoft.com/office/drawing/2014/main" id="{A29BEC97-3C81-4DA8-988A-D00C30F4A394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640" name="AutoShape 10" descr="Wasps">
          <a:extLst>
            <a:ext uri="{FF2B5EF4-FFF2-40B4-BE49-F238E27FC236}">
              <a16:creationId xmlns:a16="http://schemas.microsoft.com/office/drawing/2014/main" id="{71446F77-895F-473E-80DD-C75EFBD8580E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41" name="AutoShape 10" descr="Wasps">
          <a:extLst>
            <a:ext uri="{FF2B5EF4-FFF2-40B4-BE49-F238E27FC236}">
              <a16:creationId xmlns:a16="http://schemas.microsoft.com/office/drawing/2014/main" id="{03DCBA82-4CC8-4A18-83AD-2A3D68402125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42" name="AutoShape 10" descr="Wasps">
          <a:extLst>
            <a:ext uri="{FF2B5EF4-FFF2-40B4-BE49-F238E27FC236}">
              <a16:creationId xmlns:a16="http://schemas.microsoft.com/office/drawing/2014/main" id="{5FB2D3E8-47C9-41BB-B428-D51DBE65969F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643" name="AutoShape 10" descr="Wasps">
          <a:extLst>
            <a:ext uri="{FF2B5EF4-FFF2-40B4-BE49-F238E27FC236}">
              <a16:creationId xmlns:a16="http://schemas.microsoft.com/office/drawing/2014/main" id="{394B8F91-33C9-4233-B6DA-062275CB4267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644" name="AutoShape 10" descr="Wasps">
          <a:extLst>
            <a:ext uri="{FF2B5EF4-FFF2-40B4-BE49-F238E27FC236}">
              <a16:creationId xmlns:a16="http://schemas.microsoft.com/office/drawing/2014/main" id="{AB3545B9-FADA-4323-9471-94FAE60079B9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645" name="AutoShape 10" descr="Wasps">
          <a:extLst>
            <a:ext uri="{FF2B5EF4-FFF2-40B4-BE49-F238E27FC236}">
              <a16:creationId xmlns:a16="http://schemas.microsoft.com/office/drawing/2014/main" id="{C272213A-AAEB-4E0F-9348-CC45364DA123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646" name="AutoShape 10" descr="Wasps">
          <a:extLst>
            <a:ext uri="{FF2B5EF4-FFF2-40B4-BE49-F238E27FC236}">
              <a16:creationId xmlns:a16="http://schemas.microsoft.com/office/drawing/2014/main" id="{D37E4947-D13D-470F-BC6D-95ED871491AD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302284"/>
    <xdr:sp macro="" textlink="">
      <xdr:nvSpPr>
        <xdr:cNvPr id="647" name="AutoShape 10" descr="Wasps">
          <a:extLst>
            <a:ext uri="{FF2B5EF4-FFF2-40B4-BE49-F238E27FC236}">
              <a16:creationId xmlns:a16="http://schemas.microsoft.com/office/drawing/2014/main" id="{C19ABB4F-F4EA-4C76-9F8A-5A2224088CDC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302284"/>
    <xdr:sp macro="" textlink="">
      <xdr:nvSpPr>
        <xdr:cNvPr id="648" name="AutoShape 10" descr="Wasps">
          <a:extLst>
            <a:ext uri="{FF2B5EF4-FFF2-40B4-BE49-F238E27FC236}">
              <a16:creationId xmlns:a16="http://schemas.microsoft.com/office/drawing/2014/main" id="{27A2D39C-826A-4A8C-8F01-794A26203BD8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2284"/>
    <xdr:sp macro="" textlink="">
      <xdr:nvSpPr>
        <xdr:cNvPr id="649" name="AutoShape 10" descr="Wasps">
          <a:extLst>
            <a:ext uri="{FF2B5EF4-FFF2-40B4-BE49-F238E27FC236}">
              <a16:creationId xmlns:a16="http://schemas.microsoft.com/office/drawing/2014/main" id="{20A09478-0435-47BF-9C0A-236DC6E4F61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2284"/>
    <xdr:sp macro="" textlink="">
      <xdr:nvSpPr>
        <xdr:cNvPr id="650" name="AutoShape 10" descr="Wasps">
          <a:extLst>
            <a:ext uri="{FF2B5EF4-FFF2-40B4-BE49-F238E27FC236}">
              <a16:creationId xmlns:a16="http://schemas.microsoft.com/office/drawing/2014/main" id="{0BA2DA5F-4E6B-45E2-BFCF-7F6B30E7AB3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02284"/>
    <xdr:sp macro="" textlink="">
      <xdr:nvSpPr>
        <xdr:cNvPr id="651" name="AutoShape 10" descr="Wasps">
          <a:extLst>
            <a:ext uri="{FF2B5EF4-FFF2-40B4-BE49-F238E27FC236}">
              <a16:creationId xmlns:a16="http://schemas.microsoft.com/office/drawing/2014/main" id="{53413CBF-39AD-48B4-870A-5DF5C034A5B0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02284"/>
    <xdr:sp macro="" textlink="">
      <xdr:nvSpPr>
        <xdr:cNvPr id="652" name="AutoShape 10" descr="Wasps">
          <a:extLst>
            <a:ext uri="{FF2B5EF4-FFF2-40B4-BE49-F238E27FC236}">
              <a16:creationId xmlns:a16="http://schemas.microsoft.com/office/drawing/2014/main" id="{D8A0D26B-D3F9-48AB-86FA-4BF07DD5324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0</xdr:rowOff>
    </xdr:from>
    <xdr:ext cx="304800" cy="302284"/>
    <xdr:sp macro="" textlink="">
      <xdr:nvSpPr>
        <xdr:cNvPr id="653" name="AutoShape 10" descr="Wasps">
          <a:extLst>
            <a:ext uri="{FF2B5EF4-FFF2-40B4-BE49-F238E27FC236}">
              <a16:creationId xmlns:a16="http://schemas.microsoft.com/office/drawing/2014/main" id="{0061F6DC-C222-464D-AB6F-C56385E90DA7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654" name="AutoShape 1" descr="Bristol Bears">
          <a:extLst>
            <a:ext uri="{FF2B5EF4-FFF2-40B4-BE49-F238E27FC236}">
              <a16:creationId xmlns:a16="http://schemas.microsoft.com/office/drawing/2014/main" id="{2B0F5ADB-565D-4124-AA12-E5B460DFC4F5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55" name="AutoShape 2" descr="Exeter Chiefs">
          <a:extLst>
            <a:ext uri="{FF2B5EF4-FFF2-40B4-BE49-F238E27FC236}">
              <a16:creationId xmlns:a16="http://schemas.microsoft.com/office/drawing/2014/main" id="{B87E64EA-9A4B-4DFF-823F-1D5C3C6562A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656" name="AutoShape 3" descr="Harlequins">
          <a:extLst>
            <a:ext uri="{FF2B5EF4-FFF2-40B4-BE49-F238E27FC236}">
              <a16:creationId xmlns:a16="http://schemas.microsoft.com/office/drawing/2014/main" id="{2ED16170-7C25-43A5-B3AF-A5AFC6F7B1B0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657" name="AutoShape 4" descr="Sale Sharks">
          <a:extLst>
            <a:ext uri="{FF2B5EF4-FFF2-40B4-BE49-F238E27FC236}">
              <a16:creationId xmlns:a16="http://schemas.microsoft.com/office/drawing/2014/main" id="{A911E2A2-036C-4A97-B58F-4CA6A25441FE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302284"/>
    <xdr:sp macro="" textlink="">
      <xdr:nvSpPr>
        <xdr:cNvPr id="658" name="AutoShape 5" descr="Northampton Saints">
          <a:extLst>
            <a:ext uri="{FF2B5EF4-FFF2-40B4-BE49-F238E27FC236}">
              <a16:creationId xmlns:a16="http://schemas.microsoft.com/office/drawing/2014/main" id="{C65EE8D8-EE41-45DE-A35B-B7D2D19CC1F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2284"/>
    <xdr:sp macro="" textlink="">
      <xdr:nvSpPr>
        <xdr:cNvPr id="659" name="AutoShape 6" descr="London Irish">
          <a:extLst>
            <a:ext uri="{FF2B5EF4-FFF2-40B4-BE49-F238E27FC236}">
              <a16:creationId xmlns:a16="http://schemas.microsoft.com/office/drawing/2014/main" id="{0AEB7416-7602-468C-8E76-B9416B550B7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02284"/>
    <xdr:sp macro="" textlink="">
      <xdr:nvSpPr>
        <xdr:cNvPr id="660" name="AutoShape 7" descr="Leicester Tigers">
          <a:extLst>
            <a:ext uri="{FF2B5EF4-FFF2-40B4-BE49-F238E27FC236}">
              <a16:creationId xmlns:a16="http://schemas.microsoft.com/office/drawing/2014/main" id="{CB2C14BE-B92D-42EA-A187-6FD52942749F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10910"/>
    <xdr:sp macro="" textlink="">
      <xdr:nvSpPr>
        <xdr:cNvPr id="661" name="AutoShape 6" descr="London Irish">
          <a:extLst>
            <a:ext uri="{FF2B5EF4-FFF2-40B4-BE49-F238E27FC236}">
              <a16:creationId xmlns:a16="http://schemas.microsoft.com/office/drawing/2014/main" id="{F98F1A52-E582-46C1-8282-C6C9ABE5BD1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554747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10911"/>
    <xdr:sp macro="" textlink="">
      <xdr:nvSpPr>
        <xdr:cNvPr id="662" name="AutoShape 7" descr="Leicester Tigers">
          <a:extLst>
            <a:ext uri="{FF2B5EF4-FFF2-40B4-BE49-F238E27FC236}">
              <a16:creationId xmlns:a16="http://schemas.microsoft.com/office/drawing/2014/main" id="{8A682C87-1D54-4616-82C9-062E4239A22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3003"/>
    <xdr:sp macro="" textlink="">
      <xdr:nvSpPr>
        <xdr:cNvPr id="663" name="AutoShape 1" descr="Bristol Bears">
          <a:extLst>
            <a:ext uri="{FF2B5EF4-FFF2-40B4-BE49-F238E27FC236}">
              <a16:creationId xmlns:a16="http://schemas.microsoft.com/office/drawing/2014/main" id="{9FF6AC20-FD8D-4D69-9D39-576F43FAF982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60584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3002"/>
    <xdr:sp macro="" textlink="">
      <xdr:nvSpPr>
        <xdr:cNvPr id="664" name="AutoShape 2" descr="Exeter Chiefs">
          <a:extLst>
            <a:ext uri="{FF2B5EF4-FFF2-40B4-BE49-F238E27FC236}">
              <a16:creationId xmlns:a16="http://schemas.microsoft.com/office/drawing/2014/main" id="{0247B967-F4B1-4D96-911B-B34704767E36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79562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3003"/>
    <xdr:sp macro="" textlink="">
      <xdr:nvSpPr>
        <xdr:cNvPr id="665" name="AutoShape 3" descr="Harlequins">
          <a:extLst>
            <a:ext uri="{FF2B5EF4-FFF2-40B4-BE49-F238E27FC236}">
              <a16:creationId xmlns:a16="http://schemas.microsoft.com/office/drawing/2014/main" id="{2ED32EE3-5F71-4A4C-8878-EE0E1CAC5260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98540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3003"/>
    <xdr:sp macro="" textlink="">
      <xdr:nvSpPr>
        <xdr:cNvPr id="666" name="AutoShape 4" descr="Sale Sharks">
          <a:extLst>
            <a:ext uri="{FF2B5EF4-FFF2-40B4-BE49-F238E27FC236}">
              <a16:creationId xmlns:a16="http://schemas.microsoft.com/office/drawing/2014/main" id="{58212143-F65D-41A4-AE2F-29E97BBCDDB5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17518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303003"/>
    <xdr:sp macro="" textlink="">
      <xdr:nvSpPr>
        <xdr:cNvPr id="667" name="AutoShape 5" descr="Northampton Saints">
          <a:extLst>
            <a:ext uri="{FF2B5EF4-FFF2-40B4-BE49-F238E27FC236}">
              <a16:creationId xmlns:a16="http://schemas.microsoft.com/office/drawing/2014/main" id="{4C83B8AE-A798-4036-8741-70A90950F4B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3649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3003"/>
    <xdr:sp macro="" textlink="">
      <xdr:nvSpPr>
        <xdr:cNvPr id="668" name="AutoShape 6" descr="London Irish">
          <a:extLst>
            <a:ext uri="{FF2B5EF4-FFF2-40B4-BE49-F238E27FC236}">
              <a16:creationId xmlns:a16="http://schemas.microsoft.com/office/drawing/2014/main" id="{C53A285C-7A9E-4443-9A2B-408B72C348F3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55474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03003"/>
    <xdr:sp macro="" textlink="">
      <xdr:nvSpPr>
        <xdr:cNvPr id="669" name="AutoShape 7" descr="Leicester Tigers">
          <a:extLst>
            <a:ext uri="{FF2B5EF4-FFF2-40B4-BE49-F238E27FC236}">
              <a16:creationId xmlns:a16="http://schemas.microsoft.com/office/drawing/2014/main" id="{1A23AC69-7F84-42D4-B79E-14635EDD42AE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0</xdr:rowOff>
    </xdr:from>
    <xdr:ext cx="304800" cy="303003"/>
    <xdr:sp macro="" textlink="">
      <xdr:nvSpPr>
        <xdr:cNvPr id="670" name="AutoShape 8" descr="Newcastle Falcons">
          <a:extLst>
            <a:ext uri="{FF2B5EF4-FFF2-40B4-BE49-F238E27FC236}">
              <a16:creationId xmlns:a16="http://schemas.microsoft.com/office/drawing/2014/main" id="{E0DAD64C-8F26-4702-8D01-23EE213494C7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93430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19050</xdr:rowOff>
    </xdr:from>
    <xdr:ext cx="295275" cy="303003"/>
    <xdr:sp macro="" textlink="">
      <xdr:nvSpPr>
        <xdr:cNvPr id="671" name="AutoShape 9" descr="Bath Rugby">
          <a:extLst>
            <a:ext uri="{FF2B5EF4-FFF2-40B4-BE49-F238E27FC236}">
              <a16:creationId xmlns:a16="http://schemas.microsoft.com/office/drawing/2014/main" id="{B5220408-5F06-49F8-9A1A-89D77BF1FE5C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953359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44</xdr:row>
      <xdr:rowOff>0</xdr:rowOff>
    </xdr:from>
    <xdr:ext cx="304800" cy="303002"/>
    <xdr:sp macro="" textlink="">
      <xdr:nvSpPr>
        <xdr:cNvPr id="672" name="AutoShape 10" descr="Wasps">
          <a:extLst>
            <a:ext uri="{FF2B5EF4-FFF2-40B4-BE49-F238E27FC236}">
              <a16:creationId xmlns:a16="http://schemas.microsoft.com/office/drawing/2014/main" id="{98596AA2-4BC6-42FC-ACD4-4EC50487F9DF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569343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73" name="AutoShape 2" descr="Exeter Chiefs">
          <a:extLst>
            <a:ext uri="{FF2B5EF4-FFF2-40B4-BE49-F238E27FC236}">
              <a16:creationId xmlns:a16="http://schemas.microsoft.com/office/drawing/2014/main" id="{E991CA6E-EAF8-432D-A89F-630FA039DB59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35</xdr:row>
      <xdr:rowOff>0</xdr:rowOff>
    </xdr:from>
    <xdr:ext cx="304800" cy="302284"/>
    <xdr:sp macro="" textlink="">
      <xdr:nvSpPr>
        <xdr:cNvPr id="674" name="AutoShape 3" descr="Harlequins">
          <a:extLst>
            <a:ext uri="{FF2B5EF4-FFF2-40B4-BE49-F238E27FC236}">
              <a16:creationId xmlns:a16="http://schemas.microsoft.com/office/drawing/2014/main" id="{4C25B22A-E787-4CA8-9659-7686629968C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675" name="AutoShape 4" descr="Sale Sharks">
          <a:extLst>
            <a:ext uri="{FF2B5EF4-FFF2-40B4-BE49-F238E27FC236}">
              <a16:creationId xmlns:a16="http://schemas.microsoft.com/office/drawing/2014/main" id="{19276F90-6560-4FBC-8EBA-E38D94AEEE61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302284"/>
    <xdr:sp macro="" textlink="">
      <xdr:nvSpPr>
        <xdr:cNvPr id="676" name="AutoShape 5" descr="Northampton Saints">
          <a:extLst>
            <a:ext uri="{FF2B5EF4-FFF2-40B4-BE49-F238E27FC236}">
              <a16:creationId xmlns:a16="http://schemas.microsoft.com/office/drawing/2014/main" id="{D0434607-61A3-466D-A6E3-24973BF8A101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02284"/>
    <xdr:sp macro="" textlink="">
      <xdr:nvSpPr>
        <xdr:cNvPr id="677" name="AutoShape 6" descr="London Irish">
          <a:extLst>
            <a:ext uri="{FF2B5EF4-FFF2-40B4-BE49-F238E27FC236}">
              <a16:creationId xmlns:a16="http://schemas.microsoft.com/office/drawing/2014/main" id="{CDAAFE2B-CCD4-4238-82F9-45017673732F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02284"/>
    <xdr:sp macro="" textlink="">
      <xdr:nvSpPr>
        <xdr:cNvPr id="678" name="AutoShape 7" descr="Leicester Tigers">
          <a:extLst>
            <a:ext uri="{FF2B5EF4-FFF2-40B4-BE49-F238E27FC236}">
              <a16:creationId xmlns:a16="http://schemas.microsoft.com/office/drawing/2014/main" id="{A341B343-503F-4797-A786-A5B10B90E72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0</xdr:rowOff>
    </xdr:from>
    <xdr:ext cx="304800" cy="302284"/>
    <xdr:sp macro="" textlink="">
      <xdr:nvSpPr>
        <xdr:cNvPr id="679" name="AutoShape 8" descr="Newcastle Falcons">
          <a:extLst>
            <a:ext uri="{FF2B5EF4-FFF2-40B4-BE49-F238E27FC236}">
              <a16:creationId xmlns:a16="http://schemas.microsoft.com/office/drawing/2014/main" id="{DC90DC16-EAAF-4A84-ACF8-04734A0483C7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9343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41</xdr:row>
      <xdr:rowOff>19050</xdr:rowOff>
    </xdr:from>
    <xdr:ext cx="298150" cy="302284"/>
    <xdr:sp macro="" textlink="">
      <xdr:nvSpPr>
        <xdr:cNvPr id="680" name="AutoShape 9" descr="Bath Rugby">
          <a:extLst>
            <a:ext uri="{FF2B5EF4-FFF2-40B4-BE49-F238E27FC236}">
              <a16:creationId xmlns:a16="http://schemas.microsoft.com/office/drawing/2014/main" id="{FCA96A30-1368-40B7-BEFB-89332349A295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514314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43</xdr:row>
      <xdr:rowOff>181156</xdr:rowOff>
    </xdr:from>
    <xdr:ext cx="304800" cy="302284"/>
    <xdr:sp macro="" textlink="">
      <xdr:nvSpPr>
        <xdr:cNvPr id="681" name="AutoShape 10" descr="Wasps">
          <a:extLst>
            <a:ext uri="{FF2B5EF4-FFF2-40B4-BE49-F238E27FC236}">
              <a16:creationId xmlns:a16="http://schemas.microsoft.com/office/drawing/2014/main" id="{776C4EC4-837C-4634-B8FB-A71D28E508DC}"/>
            </a:ext>
          </a:extLst>
        </xdr:cNvPr>
        <xdr:cNvSpPr>
          <a:spLocks noChangeAspect="1" noChangeArrowheads="1"/>
        </xdr:cNvSpPr>
      </xdr:nvSpPr>
      <xdr:spPr bwMode="auto">
        <a:xfrm>
          <a:off x="12879238" y="56848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38</xdr:row>
      <xdr:rowOff>0</xdr:rowOff>
    </xdr:from>
    <xdr:ext cx="304800" cy="310910"/>
    <xdr:sp macro="" textlink="">
      <xdr:nvSpPr>
        <xdr:cNvPr id="682" name="AutoShape 6" descr="London Irish">
          <a:extLst>
            <a:ext uri="{FF2B5EF4-FFF2-40B4-BE49-F238E27FC236}">
              <a16:creationId xmlns:a16="http://schemas.microsoft.com/office/drawing/2014/main" id="{0E6E6736-9471-47E4-9A59-B8D3B543B25D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554747"/>
          <a:ext cx="304800" cy="31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310911"/>
    <xdr:sp macro="" textlink="">
      <xdr:nvSpPr>
        <xdr:cNvPr id="683" name="AutoShape 7" descr="Leicester Tigers">
          <a:extLst>
            <a:ext uri="{FF2B5EF4-FFF2-40B4-BE49-F238E27FC236}">
              <a16:creationId xmlns:a16="http://schemas.microsoft.com/office/drawing/2014/main" id="{9E48E562-CBEE-4ED2-8CC4-185BA2C4557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31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43</xdr:row>
      <xdr:rowOff>19050</xdr:rowOff>
    </xdr:from>
    <xdr:ext cx="298150" cy="302284"/>
    <xdr:sp macro="" textlink="">
      <xdr:nvSpPr>
        <xdr:cNvPr id="684" name="AutoShape 9" descr="Bath Rugby">
          <a:extLst>
            <a:ext uri="{FF2B5EF4-FFF2-40B4-BE49-F238E27FC236}">
              <a16:creationId xmlns:a16="http://schemas.microsoft.com/office/drawing/2014/main" id="{00592800-D50C-49A9-856D-00A8ADDE9F63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5522703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303002"/>
    <xdr:sp macro="" textlink="">
      <xdr:nvSpPr>
        <xdr:cNvPr id="685" name="AutoShape 10" descr="Wasps">
          <a:extLst>
            <a:ext uri="{FF2B5EF4-FFF2-40B4-BE49-F238E27FC236}">
              <a16:creationId xmlns:a16="http://schemas.microsoft.com/office/drawing/2014/main" id="{2C7E1FFA-3E21-481F-A2E2-751C4BDBEBD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5313872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51759</xdr:colOff>
      <xdr:row>41</xdr:row>
      <xdr:rowOff>181156</xdr:rowOff>
    </xdr:from>
    <xdr:ext cx="304800" cy="302284"/>
    <xdr:sp macro="" textlink="">
      <xdr:nvSpPr>
        <xdr:cNvPr id="686" name="AutoShape 10" descr="Wasps">
          <a:extLst>
            <a:ext uri="{FF2B5EF4-FFF2-40B4-BE49-F238E27FC236}">
              <a16:creationId xmlns:a16="http://schemas.microsoft.com/office/drawing/2014/main" id="{DA90C90B-52C3-4229-A022-4D696FB9D64C}"/>
            </a:ext>
          </a:extLst>
        </xdr:cNvPr>
        <xdr:cNvSpPr>
          <a:spLocks noChangeAspect="1" noChangeArrowheads="1"/>
        </xdr:cNvSpPr>
      </xdr:nvSpPr>
      <xdr:spPr bwMode="auto">
        <a:xfrm>
          <a:off x="12879238" y="53052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41</xdr:row>
      <xdr:rowOff>19050</xdr:rowOff>
    </xdr:from>
    <xdr:ext cx="298150" cy="302284"/>
    <xdr:sp macro="" textlink="">
      <xdr:nvSpPr>
        <xdr:cNvPr id="687" name="AutoShape 9" descr="Bath Rugby">
          <a:extLst>
            <a:ext uri="{FF2B5EF4-FFF2-40B4-BE49-F238E27FC236}">
              <a16:creationId xmlns:a16="http://schemas.microsoft.com/office/drawing/2014/main" id="{C044596B-8464-4C79-847D-3CE12250ED20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514314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500693"/>
    <xdr:sp macro="" textlink="">
      <xdr:nvSpPr>
        <xdr:cNvPr id="688" name="AutoShape 4" descr="Sale Sharks">
          <a:extLst>
            <a:ext uri="{FF2B5EF4-FFF2-40B4-BE49-F238E27FC236}">
              <a16:creationId xmlns:a16="http://schemas.microsoft.com/office/drawing/2014/main" id="{5DAD4C7F-CE7C-4207-9C87-E3241A90683D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175185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37</xdr:row>
      <xdr:rowOff>0</xdr:rowOff>
    </xdr:from>
    <xdr:ext cx="304800" cy="500691"/>
    <xdr:sp macro="" textlink="">
      <xdr:nvSpPr>
        <xdr:cNvPr id="689" name="AutoShape 5" descr="Northampton Saints">
          <a:extLst>
            <a:ext uri="{FF2B5EF4-FFF2-40B4-BE49-F238E27FC236}">
              <a16:creationId xmlns:a16="http://schemas.microsoft.com/office/drawing/2014/main" id="{664DFDF6-B35E-4D6B-9031-13316678CC3B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364966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39</xdr:row>
      <xdr:rowOff>0</xdr:rowOff>
    </xdr:from>
    <xdr:ext cx="304800" cy="500693"/>
    <xdr:sp macro="" textlink="">
      <xdr:nvSpPr>
        <xdr:cNvPr id="690" name="AutoShape 7" descr="Leicester Tigers">
          <a:extLst>
            <a:ext uri="{FF2B5EF4-FFF2-40B4-BE49-F238E27FC236}">
              <a16:creationId xmlns:a16="http://schemas.microsoft.com/office/drawing/2014/main" id="{EDFDF13A-6FA5-4A71-94E5-264925A8A846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744528"/>
          <a:ext cx="304800" cy="50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0</xdr:rowOff>
    </xdr:from>
    <xdr:ext cx="304800" cy="500691"/>
    <xdr:sp macro="" textlink="">
      <xdr:nvSpPr>
        <xdr:cNvPr id="691" name="AutoShape 8" descr="Newcastle Falcons">
          <a:extLst>
            <a:ext uri="{FF2B5EF4-FFF2-40B4-BE49-F238E27FC236}">
              <a16:creationId xmlns:a16="http://schemas.microsoft.com/office/drawing/2014/main" id="{BB75EDE8-D13E-4363-A40C-09F0B9DF1CAA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4934309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41</xdr:row>
      <xdr:rowOff>19050</xdr:rowOff>
    </xdr:from>
    <xdr:ext cx="298149" cy="500691"/>
    <xdr:sp macro="" textlink="">
      <xdr:nvSpPr>
        <xdr:cNvPr id="692" name="AutoShape 9" descr="Bath Rugby">
          <a:extLst>
            <a:ext uri="{FF2B5EF4-FFF2-40B4-BE49-F238E27FC236}">
              <a16:creationId xmlns:a16="http://schemas.microsoft.com/office/drawing/2014/main" id="{98836506-968C-49EF-9D4C-24F1450882B7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5143141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500692"/>
    <xdr:sp macro="" textlink="">
      <xdr:nvSpPr>
        <xdr:cNvPr id="693" name="AutoShape 10" descr="Wasps">
          <a:extLst>
            <a:ext uri="{FF2B5EF4-FFF2-40B4-BE49-F238E27FC236}">
              <a16:creationId xmlns:a16="http://schemas.microsoft.com/office/drawing/2014/main" id="{105D962A-A892-43C4-959B-9405B537B4A8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5313872"/>
          <a:ext cx="304800" cy="500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42</xdr:row>
      <xdr:rowOff>0</xdr:rowOff>
    </xdr:from>
    <xdr:ext cx="304800" cy="500691"/>
    <xdr:sp macro="" textlink="">
      <xdr:nvSpPr>
        <xdr:cNvPr id="694" name="AutoShape 8" descr="Newcastle Falcons">
          <a:extLst>
            <a:ext uri="{FF2B5EF4-FFF2-40B4-BE49-F238E27FC236}">
              <a16:creationId xmlns:a16="http://schemas.microsoft.com/office/drawing/2014/main" id="{C41F656C-B80A-49FF-8587-A6F545F691BC}"/>
            </a:ext>
          </a:extLst>
        </xdr:cNvPr>
        <xdr:cNvSpPr>
          <a:spLocks noChangeAspect="1" noChangeArrowheads="1"/>
        </xdr:cNvSpPr>
      </xdr:nvSpPr>
      <xdr:spPr bwMode="auto">
        <a:xfrm>
          <a:off x="12827479" y="5313872"/>
          <a:ext cx="304800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43</xdr:row>
      <xdr:rowOff>19050</xdr:rowOff>
    </xdr:from>
    <xdr:ext cx="298149" cy="500691"/>
    <xdr:sp macro="" textlink="">
      <xdr:nvSpPr>
        <xdr:cNvPr id="695" name="AutoShape 9" descr="Bath Rugby">
          <a:extLst>
            <a:ext uri="{FF2B5EF4-FFF2-40B4-BE49-F238E27FC236}">
              <a16:creationId xmlns:a16="http://schemas.microsoft.com/office/drawing/2014/main" id="{7281EB2B-4DF9-4F6A-AD58-7D4480AA3A59}"/>
            </a:ext>
          </a:extLst>
        </xdr:cNvPr>
        <xdr:cNvSpPr>
          <a:spLocks noChangeAspect="1" noChangeArrowheads="1"/>
        </xdr:cNvSpPr>
      </xdr:nvSpPr>
      <xdr:spPr bwMode="auto">
        <a:xfrm>
          <a:off x="12824604" y="5522703"/>
          <a:ext cx="298149" cy="50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2</xdr:col>
      <xdr:colOff>117283</xdr:colOff>
      <xdr:row>33</xdr:row>
      <xdr:rowOff>104822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2507BE94-ED3F-4F56-8516-F1901D90B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4309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35</xdr:col>
      <xdr:colOff>17253</xdr:colOff>
      <xdr:row>1</xdr:row>
      <xdr:rowOff>8627</xdr:rowOff>
    </xdr:from>
    <xdr:to>
      <xdr:col>37</xdr:col>
      <xdr:colOff>220800</xdr:colOff>
      <xdr:row>8</xdr:row>
      <xdr:rowOff>113449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232844AF-7B69-46C0-B99D-069C04C7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2121" y="198408"/>
          <a:ext cx="1445751" cy="1433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2</xdr:col>
      <xdr:colOff>410581</xdr:colOff>
      <xdr:row>27</xdr:row>
      <xdr:rowOff>102904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B1A600-98ED-456A-98D5-2E528411F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58400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16</xdr:col>
      <xdr:colOff>612475</xdr:colOff>
      <xdr:row>0</xdr:row>
      <xdr:rowOff>0</xdr:rowOff>
    </xdr:from>
    <xdr:to>
      <xdr:col>19</xdr:col>
      <xdr:colOff>194920</xdr:colOff>
      <xdr:row>7</xdr:row>
      <xdr:rowOff>102904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59450E-FC9C-4BE2-9995-6A1AA377C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724" y="0"/>
          <a:ext cx="1445751" cy="14313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583109</xdr:colOff>
      <xdr:row>39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190C6-EA40-41D0-A28D-CB2FCBD51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2226"/>
          <a:ext cx="1445751" cy="1431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8626</xdr:rowOff>
    </xdr:from>
    <xdr:to>
      <xdr:col>2</xdr:col>
      <xdr:colOff>583109</xdr:colOff>
      <xdr:row>43</xdr:row>
      <xdr:rowOff>111530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8788F-E454-4CCE-8AE8-68854C5E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793751"/>
          <a:ext cx="1445751" cy="14313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REM/2025-26/PREM%2025-26%20Results%20%5eLLL0%20Tables.xlsx" TargetMode="External"/><Relationship Id="rId2" Type="http://schemas.openxmlformats.org/officeDocument/2006/relationships/externalLinkPath" Target="https://d.docs.live.net/97d62a7607d3ee9b/Hillsport%20Media/PREM/2025-26/PREM%2025-26%20Results%20%5eLLL0%20Tables.xlsx" TargetMode="External"/><Relationship Id="rId1" Type="http://schemas.openxmlformats.org/officeDocument/2006/relationships/externalLinkPath" Target="/97d62a7607d3ee9b/Hillsport%20Media/PREM/2025-26/PREM%2025-26%20Results%20%5eLLL0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"/>
      <sheetName val="Yr-By-Yr"/>
      <sheetName val="25-26 Sum"/>
      <sheetName val="Cards"/>
      <sheetName val="Form"/>
      <sheetName val="Stats"/>
      <sheetName val="Table"/>
      <sheetName val="Results"/>
      <sheetName val="Prm Cup Cards"/>
      <sheetName val="Prm Cup Stats"/>
      <sheetName val="Prm Cup Res &amp; Tabs"/>
      <sheetName val="BTH"/>
      <sheetName val="BRI"/>
      <sheetName val="EXE"/>
      <sheetName val="GLO"/>
      <sheetName val="HAR"/>
      <sheetName val="LEI"/>
      <sheetName val="NRB"/>
      <sheetName val="NOR"/>
      <sheetName val="SAL"/>
      <sheetName val="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9">
          <cell r="H49">
            <v>4</v>
          </cell>
          <cell r="J49">
            <v>31</v>
          </cell>
          <cell r="P49">
            <v>0</v>
          </cell>
          <cell r="R49">
            <v>15</v>
          </cell>
        </row>
      </sheetData>
      <sheetData sheetId="12">
        <row r="47">
          <cell r="H47">
            <v>2</v>
          </cell>
          <cell r="J47">
            <v>22</v>
          </cell>
          <cell r="P47">
            <v>5</v>
          </cell>
          <cell r="R47">
            <v>32</v>
          </cell>
        </row>
      </sheetData>
      <sheetData sheetId="13">
        <row r="49">
          <cell r="H49">
            <v>3</v>
          </cell>
          <cell r="J49">
            <v>34</v>
          </cell>
          <cell r="P49">
            <v>3</v>
          </cell>
          <cell r="R49">
            <v>22</v>
          </cell>
        </row>
      </sheetData>
      <sheetData sheetId="14">
        <row r="45">
          <cell r="H45">
            <v>3</v>
          </cell>
          <cell r="J45">
            <v>18</v>
          </cell>
          <cell r="P45">
            <v>3</v>
          </cell>
          <cell r="R45">
            <v>25</v>
          </cell>
        </row>
      </sheetData>
      <sheetData sheetId="15">
        <row r="47">
          <cell r="H47">
            <v>2</v>
          </cell>
          <cell r="J47">
            <v>22</v>
          </cell>
          <cell r="P47">
            <v>5</v>
          </cell>
          <cell r="R47">
            <v>31</v>
          </cell>
        </row>
      </sheetData>
      <sheetData sheetId="16">
        <row r="49">
          <cell r="H49">
            <v>5</v>
          </cell>
          <cell r="J49">
            <v>26</v>
          </cell>
          <cell r="P49">
            <v>2</v>
          </cell>
          <cell r="R49">
            <v>21</v>
          </cell>
        </row>
      </sheetData>
      <sheetData sheetId="17">
        <row r="47">
          <cell r="H47">
            <v>2</v>
          </cell>
          <cell r="J47">
            <v>15</v>
          </cell>
          <cell r="P47">
            <v>3</v>
          </cell>
          <cell r="R47">
            <v>21</v>
          </cell>
        </row>
      </sheetData>
      <sheetData sheetId="18">
        <row r="49">
          <cell r="H49">
            <v>4</v>
          </cell>
          <cell r="J49">
            <v>28</v>
          </cell>
          <cell r="P49">
            <v>5</v>
          </cell>
          <cell r="R49">
            <v>26</v>
          </cell>
        </row>
      </sheetData>
      <sheetData sheetId="19">
        <row r="47">
          <cell r="H47">
            <v>3</v>
          </cell>
          <cell r="J47">
            <v>18</v>
          </cell>
          <cell r="P47">
            <v>4</v>
          </cell>
          <cell r="R47">
            <v>29</v>
          </cell>
        </row>
      </sheetData>
      <sheetData sheetId="20">
        <row r="49">
          <cell r="H49">
            <v>6</v>
          </cell>
          <cell r="J49">
            <v>36</v>
          </cell>
          <cell r="P49">
            <v>4</v>
          </cell>
          <cell r="R49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2AC4-5D7B-4914-8AFA-668E28E7E64F}">
  <dimension ref="A1:P78"/>
  <sheetViews>
    <sheetView workbookViewId="0">
      <selection activeCell="S19" sqref="S19"/>
    </sheetView>
  </sheetViews>
  <sheetFormatPr defaultRowHeight="14.3" x14ac:dyDescent="0.25"/>
  <cols>
    <col min="1" max="1" width="12.375" bestFit="1" customWidth="1"/>
    <col min="10" max="11" width="9" customWidth="1"/>
    <col min="14" max="14" width="9" customWidth="1"/>
    <col min="15" max="16" width="12.25" bestFit="1" customWidth="1"/>
  </cols>
  <sheetData>
    <row r="1" spans="1:9" x14ac:dyDescent="0.25">
      <c r="A1" s="207" t="s">
        <v>139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5">
      <c r="A2" s="209"/>
      <c r="B2" s="210" t="s">
        <v>101</v>
      </c>
      <c r="C2" s="210" t="s">
        <v>102</v>
      </c>
      <c r="D2" s="210" t="s">
        <v>103</v>
      </c>
      <c r="E2" s="210" t="s">
        <v>107</v>
      </c>
      <c r="F2" s="210" t="s">
        <v>290</v>
      </c>
      <c r="G2" s="210" t="s">
        <v>104</v>
      </c>
      <c r="H2" s="210" t="s">
        <v>105</v>
      </c>
      <c r="I2" s="210" t="s">
        <v>106</v>
      </c>
    </row>
    <row r="3" spans="1:9" x14ac:dyDescent="0.25">
      <c r="A3" s="211" t="s">
        <v>37</v>
      </c>
      <c r="B3" s="212">
        <f>501+arg2019played</f>
        <v>513</v>
      </c>
      <c r="C3" s="212">
        <f>250+arg2019won</f>
        <v>255</v>
      </c>
      <c r="D3" s="212">
        <f>238+arg2019lost</f>
        <v>245</v>
      </c>
      <c r="E3" s="212">
        <f>13+arg2019drawn</f>
        <v>13</v>
      </c>
      <c r="F3" s="213">
        <f t="shared" ref="F3:F25" si="0">SUM(C3+E3*0.5)/B3</f>
        <v>0.50974658869395717</v>
      </c>
      <c r="G3" s="212">
        <f>13959+arg2019ptsscored</f>
        <v>14310</v>
      </c>
      <c r="H3" s="212">
        <f>10597+arg2019ptsconc</f>
        <v>10964</v>
      </c>
      <c r="I3" s="211">
        <f>1732+arg2019triesscored</f>
        <v>1772</v>
      </c>
    </row>
    <row r="4" spans="1:9" x14ac:dyDescent="0.25">
      <c r="A4" s="211" t="s">
        <v>29</v>
      </c>
      <c r="B4" s="212">
        <f>697+australiaalltests2019playedcorrect</f>
        <v>712</v>
      </c>
      <c r="C4" s="212">
        <f>347+australiaalltests2019won</f>
        <v>352</v>
      </c>
      <c r="D4" s="212">
        <f>328+australiaalltests2019lost</f>
        <v>338</v>
      </c>
      <c r="E4" s="212">
        <f>22+australiaalltests2019drawn</f>
        <v>22</v>
      </c>
      <c r="F4" s="213">
        <f t="shared" si="0"/>
        <v>0.5098314606741573</v>
      </c>
      <c r="G4" s="212">
        <f>14816+australiaalltests2019ptsscored</f>
        <v>15153</v>
      </c>
      <c r="H4" s="212">
        <f>12904+australiaalltests2019ptsagainst</f>
        <v>13315</v>
      </c>
      <c r="I4" s="212">
        <f>1835+australiaalltests2019triesscored</f>
        <v>1883</v>
      </c>
    </row>
    <row r="5" spans="1:9" x14ac:dyDescent="0.25">
      <c r="A5" s="211" t="s">
        <v>40</v>
      </c>
      <c r="B5" s="212">
        <f>298+can2019alltestsplayed</f>
        <v>307</v>
      </c>
      <c r="C5" s="212">
        <f>113+can2019alltestswon</f>
        <v>114</v>
      </c>
      <c r="D5" s="212">
        <f>179+can2019alltestslost</f>
        <v>187</v>
      </c>
      <c r="E5" s="212">
        <f>6+can2019alltestsdrawn</f>
        <v>6</v>
      </c>
      <c r="F5" s="213">
        <f t="shared" si="0"/>
        <v>0.38110749185667753</v>
      </c>
      <c r="G5" s="212">
        <f>6248+can2019alltestsptsscored</f>
        <v>6437</v>
      </c>
      <c r="H5" s="212">
        <f>7976+can2019alltestsptsagainst</f>
        <v>8302</v>
      </c>
      <c r="I5" s="212">
        <f>670+can2019allteststriesscored</f>
        <v>693</v>
      </c>
    </row>
    <row r="6" spans="1:9" x14ac:dyDescent="0.25">
      <c r="A6" s="211" t="s">
        <v>150</v>
      </c>
      <c r="B6" s="212">
        <f>205+chlyrplayed</f>
        <v>213</v>
      </c>
      <c r="C6" s="212">
        <f>81+chlyrwon</f>
        <v>86</v>
      </c>
      <c r="D6" s="212">
        <f>121+chlyrlost</f>
        <v>123</v>
      </c>
      <c r="E6" s="212">
        <f>3+chlyrdrawn</f>
        <v>4</v>
      </c>
      <c r="F6" s="213">
        <f t="shared" si="0"/>
        <v>0.41314553990610331</v>
      </c>
      <c r="G6" s="212">
        <f>4355+chlyrptsscored</f>
        <v>4584</v>
      </c>
      <c r="H6" s="212">
        <f>5394+chlyrptsconc</f>
        <v>5575</v>
      </c>
      <c r="I6" s="435" t="s">
        <v>157</v>
      </c>
    </row>
    <row r="7" spans="1:9" x14ac:dyDescent="0.25">
      <c r="A7" s="211" t="s">
        <v>30</v>
      </c>
      <c r="B7" s="212">
        <f>813+Eng2019alltestsplayed</f>
        <v>817</v>
      </c>
      <c r="C7" s="212">
        <f>456+Eng2019alltestswon</f>
        <v>457</v>
      </c>
      <c r="D7" s="212">
        <f>305+Eng2019alltestslost</f>
        <v>308</v>
      </c>
      <c r="E7" s="212">
        <f>52+Eng2019alltestsdrawn</f>
        <v>52</v>
      </c>
      <c r="F7" s="213">
        <f t="shared" si="0"/>
        <v>0.59118727050183595</v>
      </c>
      <c r="G7" s="212">
        <f>14949+Eng2019alltestsptsscored</f>
        <v>15056</v>
      </c>
      <c r="H7" s="212">
        <f>10888+Eng2019alltestsptsagainst</f>
        <v>10991</v>
      </c>
      <c r="I7" s="211">
        <f>1918+Eng2019allteststriesscored</f>
        <v>1932</v>
      </c>
    </row>
    <row r="8" spans="1:9" x14ac:dyDescent="0.25">
      <c r="A8" s="211" t="s">
        <v>31</v>
      </c>
      <c r="B8" s="212">
        <f>376+Fij2019alltestsplayed</f>
        <v>385</v>
      </c>
      <c r="C8" s="212">
        <f>185+Fij2019alltestswon</f>
        <v>191</v>
      </c>
      <c r="D8" s="212">
        <f>180+Fij2019alltestslost</f>
        <v>183</v>
      </c>
      <c r="E8" s="212">
        <f>11+Fij2019alltestsdrawn</f>
        <v>11</v>
      </c>
      <c r="F8" s="213">
        <f t="shared" si="0"/>
        <v>0.51038961038961039</v>
      </c>
      <c r="G8" s="212">
        <f>8246+Fij2019alltestsptsscored</f>
        <v>8530</v>
      </c>
      <c r="H8" s="212">
        <f>8000+Fij2019alltestsptsagainst</f>
        <v>8202</v>
      </c>
      <c r="I8" s="211">
        <f>1152+Fij2019allteststriesscored</f>
        <v>1191</v>
      </c>
    </row>
    <row r="9" spans="1:9" x14ac:dyDescent="0.25">
      <c r="A9" s="211" t="s">
        <v>34</v>
      </c>
      <c r="B9" s="212">
        <f>831+Fra2019alltestsplayed</f>
        <v>835</v>
      </c>
      <c r="C9" s="212">
        <f>460+Fra2019alltestswon</f>
        <v>463</v>
      </c>
      <c r="D9" s="212">
        <f>337+Fra2019alltestslost</f>
        <v>338</v>
      </c>
      <c r="E9" s="212">
        <f>34+Fra2019alltestsdrawn</f>
        <v>34</v>
      </c>
      <c r="F9" s="213">
        <f t="shared" si="0"/>
        <v>0.57485029940119758</v>
      </c>
      <c r="G9" s="212">
        <f>16141+Fra2019alltestsptsscored</f>
        <v>16304</v>
      </c>
      <c r="H9" s="212">
        <f>13136+Fra2019alltestsptsagainst</f>
        <v>13220</v>
      </c>
      <c r="I9" s="211">
        <f>2015+Fra2019allteststriesscored</f>
        <v>2039</v>
      </c>
    </row>
    <row r="10" spans="1:9" x14ac:dyDescent="0.25">
      <c r="A10" s="211" t="s">
        <v>38</v>
      </c>
      <c r="B10" s="212">
        <f>278+Geo2019alltestsplayed</f>
        <v>288</v>
      </c>
      <c r="C10" s="212">
        <f>172+Geo2019alltestswon</f>
        <v>179</v>
      </c>
      <c r="D10" s="212">
        <f>96+Geo2019alltestslost</f>
        <v>99</v>
      </c>
      <c r="E10" s="212">
        <f>10+Geo2019alltestsdrawn</f>
        <v>10</v>
      </c>
      <c r="F10" s="213">
        <f t="shared" si="0"/>
        <v>0.63888888888888884</v>
      </c>
      <c r="G10" s="212">
        <f>6686+Geo2019alltestsptsscored</f>
        <v>7106</v>
      </c>
      <c r="H10" s="212">
        <f>5061+Geo2019alltestsptsagainst</f>
        <v>5294</v>
      </c>
      <c r="I10" s="211">
        <f>825+Geo2019allteststriesscored</f>
        <v>888</v>
      </c>
    </row>
    <row r="11" spans="1:9" x14ac:dyDescent="0.25">
      <c r="A11" s="211" t="s">
        <v>39</v>
      </c>
      <c r="B11" s="212">
        <f>769+Ire2019alltestsplayed</f>
        <v>773</v>
      </c>
      <c r="C11" s="212">
        <f>369+Ire2019alltestswon</f>
        <v>372</v>
      </c>
      <c r="D11" s="212">
        <f>368+Ire2019alltestslost</f>
        <v>369</v>
      </c>
      <c r="E11" s="212">
        <f>32+Ire2019alltestsdrawn</f>
        <v>32</v>
      </c>
      <c r="F11" s="213">
        <f t="shared" si="0"/>
        <v>0.50194049159120313</v>
      </c>
      <c r="G11" s="212">
        <f>12777+Ire2019alltestsptsscored</f>
        <v>12880</v>
      </c>
      <c r="H11" s="212">
        <f>11084+Ire2019alltestsptscon</f>
        <v>11171</v>
      </c>
      <c r="I11" s="211">
        <f>1595+Ire2019allteststriesscored</f>
        <v>1609</v>
      </c>
    </row>
    <row r="12" spans="1:9" x14ac:dyDescent="0.25">
      <c r="A12" s="211" t="s">
        <v>33</v>
      </c>
      <c r="B12" s="212">
        <f>568+ita2019alltestsplayed</f>
        <v>572</v>
      </c>
      <c r="C12" s="212">
        <f>206+ita2019alltestswon</f>
        <v>208</v>
      </c>
      <c r="D12" s="212">
        <f>347+ita2019alltestslost</f>
        <v>349</v>
      </c>
      <c r="E12" s="212">
        <f>15+ita2019alltestsdrawn</f>
        <v>15</v>
      </c>
      <c r="F12" s="213">
        <f t="shared" si="0"/>
        <v>0.37674825174825177</v>
      </c>
      <c r="G12" s="212">
        <f>10027+ita2019alltestsptsscored</f>
        <v>10089</v>
      </c>
      <c r="H12" s="212">
        <f>13734+ita2019alltestsptscon</f>
        <v>13820</v>
      </c>
      <c r="I12" s="212">
        <f>1122+ita2019allteststriesscored</f>
        <v>1128</v>
      </c>
    </row>
    <row r="13" spans="1:9" x14ac:dyDescent="0.25">
      <c r="A13" s="211" t="s">
        <v>36</v>
      </c>
      <c r="B13" s="212">
        <f>388+jpn2019alltestsplayed</f>
        <v>399</v>
      </c>
      <c r="C13" s="212">
        <f>167+jpn2019alltestswon</f>
        <v>172</v>
      </c>
      <c r="D13" s="212">
        <f>211+jpn2019alltestslost</f>
        <v>217</v>
      </c>
      <c r="E13" s="212">
        <f>10+jpn2019alltestsdrawn</f>
        <v>10</v>
      </c>
      <c r="F13" s="213">
        <f t="shared" si="0"/>
        <v>0.44360902255639095</v>
      </c>
      <c r="G13" s="212">
        <f>10819+jpn2019alltestsptsscored</f>
        <v>11138</v>
      </c>
      <c r="H13" s="212">
        <f>10957+jpn2019alltestsptsagainst</f>
        <v>11268</v>
      </c>
      <c r="I13" s="212">
        <f>1467+jpn2019allteststriesscored</f>
        <v>1506</v>
      </c>
    </row>
    <row r="14" spans="1:9" x14ac:dyDescent="0.25">
      <c r="A14" s="211" t="s">
        <v>93</v>
      </c>
      <c r="B14" s="212">
        <f>176+Nam2019alltestsplayed</f>
        <v>184</v>
      </c>
      <c r="C14" s="212">
        <f>99++Nam2019alltestswon</f>
        <v>102</v>
      </c>
      <c r="D14" s="212">
        <f>75+Nam2019alltestslost</f>
        <v>80</v>
      </c>
      <c r="E14" s="212">
        <f>2+Nam2019alltestsdrawn</f>
        <v>2</v>
      </c>
      <c r="F14" s="213">
        <f t="shared" si="0"/>
        <v>0.55978260869565222</v>
      </c>
      <c r="G14" s="212">
        <f>5409+Nam2019alltestsptsscored</f>
        <v>5668</v>
      </c>
      <c r="H14" s="212">
        <f>4697+Nam2019alltestsptscon</f>
        <v>4932</v>
      </c>
      <c r="I14" s="211">
        <f>725+Nam2019allteststriesscored</f>
        <v>760</v>
      </c>
    </row>
    <row r="15" spans="1:9" x14ac:dyDescent="0.25">
      <c r="A15" s="211" t="s">
        <v>98</v>
      </c>
      <c r="B15" s="212">
        <f>651+Nzl2019alltestsplayed</f>
        <v>664</v>
      </c>
      <c r="C15" s="212">
        <f>499+Nzl2019alltestswon</f>
        <v>509</v>
      </c>
      <c r="D15" s="212">
        <f>129+Nzl2019alltestslost</f>
        <v>132</v>
      </c>
      <c r="E15" s="212">
        <f>23+drawn</f>
        <v>23</v>
      </c>
      <c r="F15" s="213">
        <f t="shared" si="0"/>
        <v>0.78388554216867468</v>
      </c>
      <c r="G15" s="212">
        <f>18626+Nzl2019alltestsptsscored</f>
        <v>19010</v>
      </c>
      <c r="H15" s="212">
        <f>8974+Nzl2019alltestsptscon</f>
        <v>9277</v>
      </c>
      <c r="I15" s="211">
        <f>2450+Nzl2019allteststriesscored</f>
        <v>2502</v>
      </c>
    </row>
    <row r="16" spans="1:9" x14ac:dyDescent="0.25">
      <c r="A16" s="211" t="s">
        <v>96</v>
      </c>
      <c r="B16" s="212">
        <f>323+poralltestsplayed</f>
        <v>332</v>
      </c>
      <c r="C16" s="212">
        <f>138+poralltestswon</f>
        <v>143</v>
      </c>
      <c r="D16" s="212">
        <f>169+poralltestslost</f>
        <v>173</v>
      </c>
      <c r="E16" s="212">
        <f>16+poralltestsdrawn</f>
        <v>16</v>
      </c>
      <c r="F16" s="213">
        <f t="shared" si="0"/>
        <v>0.45481927710843373</v>
      </c>
      <c r="G16" s="212">
        <f>6346+poralltestsptsscored</f>
        <v>6620</v>
      </c>
      <c r="H16" s="212">
        <f>7178+poralltestsptsconc</f>
        <v>7462</v>
      </c>
      <c r="I16" s="211">
        <f>720+porallteststriesscored</f>
        <v>758</v>
      </c>
    </row>
    <row r="17" spans="1:15" x14ac:dyDescent="0.25">
      <c r="A17" s="211" t="s">
        <v>94</v>
      </c>
      <c r="B17" s="212">
        <f>498+romaniaalltestsplayed</f>
        <v>508</v>
      </c>
      <c r="C17" s="212">
        <f>279+romaniaalltestswon</f>
        <v>283</v>
      </c>
      <c r="D17" s="212">
        <f>207+romaniaalltestslost</f>
        <v>213</v>
      </c>
      <c r="E17" s="212">
        <f>12+romaniaalltestsdrawn</f>
        <v>12</v>
      </c>
      <c r="F17" s="213">
        <f t="shared" si="0"/>
        <v>0.56889763779527558</v>
      </c>
      <c r="G17" s="212">
        <f>11177+romaniaalltestsptsscored</f>
        <v>11382</v>
      </c>
      <c r="H17" s="212">
        <f>9507+romaniaalltestsptsagainst</f>
        <v>9803</v>
      </c>
      <c r="I17" s="211">
        <f>1004+romaniaallteststriesscored</f>
        <v>1026</v>
      </c>
    </row>
    <row r="18" spans="1:15" x14ac:dyDescent="0.25">
      <c r="A18" s="211" t="s">
        <v>92</v>
      </c>
      <c r="B18" s="212">
        <f>264+Sam2019alltestsplayed</f>
        <v>273</v>
      </c>
      <c r="C18" s="212">
        <f>117+Sam2019alltestswon</f>
        <v>119</v>
      </c>
      <c r="D18" s="212">
        <f>138+Sam2019alltestslost</f>
        <v>143</v>
      </c>
      <c r="E18" s="212">
        <f>9+Sam2019alltestsdrawn</f>
        <v>11</v>
      </c>
      <c r="F18" s="213">
        <f t="shared" si="0"/>
        <v>0.45604395604395603</v>
      </c>
      <c r="G18" s="212">
        <f>5457+Sam2019alltestsptsscored</f>
        <v>5644</v>
      </c>
      <c r="H18" s="212">
        <f>5913+Sam2019alltestsptscon</f>
        <v>6136</v>
      </c>
      <c r="I18" s="212">
        <f>588+Sam2019allteststriescored</f>
        <v>614</v>
      </c>
    </row>
    <row r="19" spans="1:15" x14ac:dyDescent="0.25">
      <c r="A19" s="211" t="s">
        <v>35</v>
      </c>
      <c r="B19" s="212">
        <f>767+Sco2019alltestsplayed</f>
        <v>771</v>
      </c>
      <c r="C19" s="212">
        <f>341+Sco2019alltestswon</f>
        <v>344</v>
      </c>
      <c r="D19" s="212">
        <f>393+Sco2019alltestslost</f>
        <v>394</v>
      </c>
      <c r="E19" s="212">
        <f>33+Sco2019alltestsdrawn</f>
        <v>33</v>
      </c>
      <c r="F19" s="213">
        <f t="shared" si="0"/>
        <v>0.46757457846952011</v>
      </c>
      <c r="G19" s="212">
        <f>11853+Sco2019alltestsptsscored</f>
        <v>11975</v>
      </c>
      <c r="H19" s="212">
        <f>11904+Sco2019alltestsptsagainst</f>
        <v>12005</v>
      </c>
      <c r="I19" s="211">
        <f>1528+Sco2019allteststriesscored</f>
        <v>1545</v>
      </c>
    </row>
    <row r="20" spans="1:15" x14ac:dyDescent="0.25">
      <c r="A20" s="211" t="s">
        <v>97</v>
      </c>
      <c r="B20" s="212">
        <f>555+Rsa2019alltestsplayed</f>
        <v>569</v>
      </c>
      <c r="C20" s="212">
        <f>353+Rsa2019alltestswon</f>
        <v>365</v>
      </c>
      <c r="D20" s="212">
        <f>178+Rsa2019alltestslost</f>
        <v>180</v>
      </c>
      <c r="E20" s="212">
        <f>24+Rsa2019alltestsdrawn</f>
        <v>24</v>
      </c>
      <c r="F20" s="213">
        <f t="shared" si="0"/>
        <v>0.6625659050966608</v>
      </c>
      <c r="G20" s="212">
        <f>13373+Rsa2019alltestsptsscored</f>
        <v>13945</v>
      </c>
      <c r="H20" s="212">
        <f>9046+Rsa2019alltestsptscon</f>
        <v>9282</v>
      </c>
      <c r="I20" s="211">
        <f>1607+Rsa2019allteststriesscored</f>
        <v>1688</v>
      </c>
    </row>
    <row r="21" spans="1:15" x14ac:dyDescent="0.25">
      <c r="A21" s="211" t="s">
        <v>95</v>
      </c>
      <c r="B21" s="212">
        <f>432+spainalltestsyearplayed</f>
        <v>440</v>
      </c>
      <c r="C21" s="212">
        <f>178+spainalltestsyearwon</f>
        <v>183</v>
      </c>
      <c r="D21" s="212">
        <f>239+spainalltestsyearlost</f>
        <v>242</v>
      </c>
      <c r="E21" s="212">
        <f>15+spainalltestsyeardrawn</f>
        <v>15</v>
      </c>
      <c r="F21" s="213">
        <f t="shared" si="0"/>
        <v>0.43295454545454548</v>
      </c>
      <c r="G21" s="212">
        <f>8153+spainalltestsyearptsscored</f>
        <v>8439</v>
      </c>
      <c r="H21" s="212">
        <f>9885+spainalltestsyearptsagainst</f>
        <v>10145</v>
      </c>
      <c r="I21" s="708" t="s">
        <v>157</v>
      </c>
    </row>
    <row r="22" spans="1:15" x14ac:dyDescent="0.25">
      <c r="A22" s="211" t="s">
        <v>91</v>
      </c>
      <c r="B22" s="212">
        <f>314+Ton2019alltestsplayed</f>
        <v>319</v>
      </c>
      <c r="C22" s="212">
        <f>117+Ton2019alltestswon</f>
        <v>119</v>
      </c>
      <c r="D22" s="212">
        <f>190+Ton2019alltestslost</f>
        <v>193</v>
      </c>
      <c r="E22" s="212">
        <f>7+Ton2019alltestsdrawn</f>
        <v>7</v>
      </c>
      <c r="F22" s="213">
        <v>0.57515657620041749</v>
      </c>
      <c r="G22" s="212">
        <f>5807+Ton2019alltestsptsscored</f>
        <v>5906</v>
      </c>
      <c r="H22" s="212">
        <f>7565+Ton2019alltestsptscon</f>
        <v>7755</v>
      </c>
      <c r="I22" s="211">
        <f>703+Ton2019allteststriesscored</f>
        <v>716</v>
      </c>
    </row>
    <row r="23" spans="1:15" x14ac:dyDescent="0.25">
      <c r="A23" s="211" t="s">
        <v>126</v>
      </c>
      <c r="B23" s="212">
        <f>283+USA2019alltestsplayed</f>
        <v>285</v>
      </c>
      <c r="C23" s="212">
        <f>105+USA2019alltestswon</f>
        <v>106</v>
      </c>
      <c r="D23" s="212">
        <f>173+USA2019alltestslost</f>
        <v>174</v>
      </c>
      <c r="E23" s="212">
        <f>5+USA2019alltestsdrawn</f>
        <v>5</v>
      </c>
      <c r="F23" s="213">
        <f t="shared" si="0"/>
        <v>0.38070175438596493</v>
      </c>
      <c r="G23" s="212">
        <f>6055+USA2019alltestsptsscored</f>
        <v>6111</v>
      </c>
      <c r="H23" s="212">
        <f>7693+USA2019alltestsptscon</f>
        <v>7754</v>
      </c>
      <c r="I23" s="212">
        <f>724+USA2019allteststriesscored</f>
        <v>729</v>
      </c>
    </row>
    <row r="24" spans="1:15" x14ac:dyDescent="0.25">
      <c r="A24" s="211" t="s">
        <v>79</v>
      </c>
      <c r="B24" s="212">
        <f>311+Uru2019alltestsplayedcorrect</f>
        <v>319</v>
      </c>
      <c r="C24" s="212">
        <f>145+Uru2019alltestswon</f>
        <v>151</v>
      </c>
      <c r="D24" s="212">
        <f>162+Uru2019alltestslost</f>
        <v>164</v>
      </c>
      <c r="E24" s="212">
        <f>4+Uru2019alltestsdrawn</f>
        <v>4</v>
      </c>
      <c r="F24" s="213">
        <f t="shared" si="0"/>
        <v>0.47962382445141066</v>
      </c>
      <c r="G24" s="212">
        <f>6958+Uru2019alltestsptsscored</f>
        <v>7264</v>
      </c>
      <c r="H24" s="212">
        <f>8053+Uru2019alltestsptscon</f>
        <v>8189</v>
      </c>
      <c r="I24" s="211">
        <f>846+Uru2019allteststriesscored</f>
        <v>890</v>
      </c>
    </row>
    <row r="25" spans="1:15" x14ac:dyDescent="0.25">
      <c r="A25" s="211" t="s">
        <v>32</v>
      </c>
      <c r="B25" s="212">
        <f>802+Wal2019alltestsplayed</f>
        <v>806</v>
      </c>
      <c r="C25" s="212">
        <f>406+Wal2019alltestswon</f>
        <v>406</v>
      </c>
      <c r="D25" s="212">
        <f>365+Wal2019alltestslostcorrect</f>
        <v>369</v>
      </c>
      <c r="E25" s="212">
        <f>30+Wal2019alltestsdrawn</f>
        <v>30</v>
      </c>
      <c r="F25" s="213">
        <f t="shared" si="0"/>
        <v>0.52233250620347393</v>
      </c>
      <c r="G25" s="212">
        <f>14170+Wal2019alltestsptsscored</f>
        <v>14229</v>
      </c>
      <c r="H25" s="212">
        <f>13013+Wal2019alltestsptscon</f>
        <v>13168</v>
      </c>
      <c r="I25" s="212">
        <f>1772+Wal2019allteststriesscored</f>
        <v>1779</v>
      </c>
    </row>
    <row r="26" spans="1:15" x14ac:dyDescent="0.25">
      <c r="A26" s="207" t="s">
        <v>1066</v>
      </c>
      <c r="B26" s="208"/>
      <c r="C26" s="208"/>
      <c r="D26" s="208"/>
      <c r="E26" s="208"/>
      <c r="F26" s="208"/>
      <c r="G26" s="208"/>
      <c r="H26" s="208"/>
      <c r="I26" s="208"/>
    </row>
    <row r="28" spans="1:15" x14ac:dyDescent="0.25">
      <c r="A28" s="225" t="s">
        <v>140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51"/>
      <c r="M28" s="451"/>
      <c r="N28" s="451"/>
    </row>
    <row r="29" spans="1:15" x14ac:dyDescent="0.25">
      <c r="A29" s="445"/>
      <c r="B29" s="446" t="s">
        <v>101</v>
      </c>
      <c r="C29" s="446" t="s">
        <v>102</v>
      </c>
      <c r="D29" s="446" t="s">
        <v>103</v>
      </c>
      <c r="E29" s="446" t="s">
        <v>107</v>
      </c>
      <c r="F29" s="446" t="s">
        <v>290</v>
      </c>
      <c r="G29" s="446" t="s">
        <v>104</v>
      </c>
      <c r="H29" s="446" t="s">
        <v>105</v>
      </c>
      <c r="I29" s="446" t="s">
        <v>106</v>
      </c>
      <c r="J29" s="446" t="s">
        <v>152</v>
      </c>
      <c r="K29" s="446" t="s">
        <v>197</v>
      </c>
      <c r="L29" s="446" t="s">
        <v>198</v>
      </c>
      <c r="M29" s="446" t="s">
        <v>199</v>
      </c>
      <c r="N29" s="446" t="s">
        <v>200</v>
      </c>
    </row>
    <row r="30" spans="1:15" x14ac:dyDescent="0.25">
      <c r="A30" s="444" t="s">
        <v>37</v>
      </c>
      <c r="B30" s="447">
        <v>48</v>
      </c>
      <c r="C30" s="447">
        <v>25</v>
      </c>
      <c r="D30" s="447">
        <v>23</v>
      </c>
      <c r="E30" s="447">
        <v>0</v>
      </c>
      <c r="F30" s="448">
        <v>0.52083333333333337</v>
      </c>
      <c r="G30" s="447">
        <v>1283</v>
      </c>
      <c r="H30" s="447">
        <v>995</v>
      </c>
      <c r="I30" s="444">
        <v>134</v>
      </c>
      <c r="J30" s="444">
        <v>100</v>
      </c>
      <c r="K30" s="444">
        <v>11</v>
      </c>
      <c r="L30" s="444">
        <v>12</v>
      </c>
      <c r="M30" s="444">
        <v>2</v>
      </c>
      <c r="N30" s="444">
        <v>10</v>
      </c>
    </row>
    <row r="31" spans="1:15" x14ac:dyDescent="0.25">
      <c r="A31" s="444" t="s">
        <v>29</v>
      </c>
      <c r="B31" s="447">
        <v>57</v>
      </c>
      <c r="C31" s="447">
        <v>44</v>
      </c>
      <c r="D31" s="447">
        <v>13</v>
      </c>
      <c r="E31" s="447">
        <v>0</v>
      </c>
      <c r="F31" s="448">
        <v>0.77192982456140347</v>
      </c>
      <c r="G31" s="447">
        <v>1887</v>
      </c>
      <c r="H31" s="447">
        <v>845</v>
      </c>
      <c r="I31" s="447">
        <v>241</v>
      </c>
      <c r="J31" s="447">
        <v>65</v>
      </c>
      <c r="K31" s="447">
        <v>8</v>
      </c>
      <c r="L31" s="447">
        <v>12</v>
      </c>
      <c r="M31" s="447">
        <v>1</v>
      </c>
      <c r="N31" s="444">
        <v>10</v>
      </c>
    </row>
    <row r="32" spans="1:15" x14ac:dyDescent="0.25">
      <c r="A32" s="444" t="s">
        <v>40</v>
      </c>
      <c r="B32" s="447">
        <v>32</v>
      </c>
      <c r="C32" s="447">
        <v>7</v>
      </c>
      <c r="D32" s="447">
        <v>23</v>
      </c>
      <c r="E32" s="447">
        <v>2</v>
      </c>
      <c r="F32" s="448">
        <v>0.25</v>
      </c>
      <c r="G32" s="447">
        <v>541</v>
      </c>
      <c r="H32" s="447">
        <v>1015</v>
      </c>
      <c r="I32" s="447">
        <v>58</v>
      </c>
      <c r="J32" s="447">
        <v>134</v>
      </c>
      <c r="K32" s="447">
        <v>8</v>
      </c>
      <c r="L32" s="447">
        <v>5</v>
      </c>
      <c r="M32" s="447">
        <v>4</v>
      </c>
      <c r="N32" s="444">
        <v>9</v>
      </c>
      <c r="O32" s="476"/>
    </row>
    <row r="33" spans="1:14" x14ac:dyDescent="0.25">
      <c r="A33" s="444" t="s">
        <v>150</v>
      </c>
      <c r="B33" s="447">
        <v>4</v>
      </c>
      <c r="C33" s="447">
        <v>0</v>
      </c>
      <c r="D33" s="447">
        <v>4</v>
      </c>
      <c r="E33" s="447">
        <v>0</v>
      </c>
      <c r="F33" s="448">
        <v>0</v>
      </c>
      <c r="G33" s="447">
        <v>27</v>
      </c>
      <c r="H33" s="447">
        <v>215</v>
      </c>
      <c r="I33" s="447">
        <v>4</v>
      </c>
      <c r="J33" s="447">
        <v>30</v>
      </c>
      <c r="K33" s="447">
        <v>0</v>
      </c>
      <c r="L33" s="447">
        <v>5</v>
      </c>
      <c r="M33" s="447">
        <v>0</v>
      </c>
      <c r="N33" s="444">
        <v>1</v>
      </c>
    </row>
    <row r="34" spans="1:14" x14ac:dyDescent="0.25">
      <c r="A34" s="444" t="s">
        <v>30</v>
      </c>
      <c r="B34" s="447">
        <v>57</v>
      </c>
      <c r="C34" s="447">
        <v>42</v>
      </c>
      <c r="D34" s="447">
        <v>15</v>
      </c>
      <c r="E34" s="447">
        <v>0</v>
      </c>
      <c r="F34" s="448">
        <v>0.73684210526315785</v>
      </c>
      <c r="G34" s="447">
        <v>1790</v>
      </c>
      <c r="H34" s="447">
        <v>885</v>
      </c>
      <c r="I34" s="444">
        <v>190</v>
      </c>
      <c r="J34" s="444">
        <v>76</v>
      </c>
      <c r="K34" s="444">
        <v>26</v>
      </c>
      <c r="L34" s="444">
        <v>5</v>
      </c>
      <c r="M34" s="444">
        <v>1</v>
      </c>
      <c r="N34" s="444">
        <v>10</v>
      </c>
    </row>
    <row r="35" spans="1:14" x14ac:dyDescent="0.25">
      <c r="A35" s="444" t="s">
        <v>31</v>
      </c>
      <c r="B35" s="447">
        <v>37</v>
      </c>
      <c r="C35" s="447">
        <v>13</v>
      </c>
      <c r="D35" s="447">
        <v>24</v>
      </c>
      <c r="E35" s="447">
        <v>0</v>
      </c>
      <c r="F35" s="448">
        <v>0.35135135135135137</v>
      </c>
      <c r="G35" s="447">
        <v>844</v>
      </c>
      <c r="H35" s="447">
        <v>1087</v>
      </c>
      <c r="I35" s="444">
        <v>98</v>
      </c>
      <c r="J35" s="444">
        <v>127</v>
      </c>
      <c r="K35" s="444">
        <v>6</v>
      </c>
      <c r="L35" s="444">
        <v>17</v>
      </c>
      <c r="M35" s="444">
        <v>1</v>
      </c>
      <c r="N35" s="444">
        <v>9</v>
      </c>
    </row>
    <row r="36" spans="1:14" x14ac:dyDescent="0.25">
      <c r="A36" s="444" t="s">
        <v>34</v>
      </c>
      <c r="B36" s="447">
        <v>57</v>
      </c>
      <c r="C36" s="447">
        <v>40</v>
      </c>
      <c r="D36" s="447">
        <v>16</v>
      </c>
      <c r="E36" s="447">
        <v>1</v>
      </c>
      <c r="F36" s="448">
        <v>0.71052631578947367</v>
      </c>
      <c r="G36" s="447">
        <v>1826</v>
      </c>
      <c r="H36" s="447">
        <v>1027</v>
      </c>
      <c r="I36" s="444">
        <v>213</v>
      </c>
      <c r="J36" s="444">
        <v>100</v>
      </c>
      <c r="K36" s="444">
        <v>11</v>
      </c>
      <c r="L36" s="444">
        <v>10</v>
      </c>
      <c r="M36" s="444">
        <v>1</v>
      </c>
      <c r="N36" s="444">
        <v>10</v>
      </c>
    </row>
    <row r="37" spans="1:14" x14ac:dyDescent="0.25">
      <c r="A37" s="444" t="s">
        <v>38</v>
      </c>
      <c r="B37" s="447">
        <v>24</v>
      </c>
      <c r="C37" s="447">
        <v>5</v>
      </c>
      <c r="D37" s="447">
        <v>18</v>
      </c>
      <c r="E37" s="447">
        <v>1</v>
      </c>
      <c r="F37" s="448">
        <v>0.22916666666666666</v>
      </c>
      <c r="G37" s="447">
        <v>326</v>
      </c>
      <c r="H37" s="447">
        <v>759</v>
      </c>
      <c r="I37" s="444">
        <v>30</v>
      </c>
      <c r="J37" s="444">
        <v>100</v>
      </c>
      <c r="K37" s="444">
        <v>1</v>
      </c>
      <c r="L37" s="444">
        <v>10</v>
      </c>
      <c r="M37" s="444">
        <v>0</v>
      </c>
      <c r="N37" s="444">
        <v>6</v>
      </c>
    </row>
    <row r="38" spans="1:14" x14ac:dyDescent="0.25">
      <c r="A38" s="444" t="s">
        <v>39</v>
      </c>
      <c r="B38" s="447">
        <v>45</v>
      </c>
      <c r="C38" s="447">
        <v>28</v>
      </c>
      <c r="D38" s="447">
        <v>17</v>
      </c>
      <c r="E38" s="447">
        <v>0</v>
      </c>
      <c r="F38" s="448">
        <v>0.62222222222222223</v>
      </c>
      <c r="G38" s="447">
        <v>1322</v>
      </c>
      <c r="H38" s="447">
        <v>809</v>
      </c>
      <c r="I38" s="444">
        <v>164</v>
      </c>
      <c r="J38" s="444">
        <v>78</v>
      </c>
      <c r="K38" s="444">
        <v>9</v>
      </c>
      <c r="L38" s="444">
        <v>8</v>
      </c>
      <c r="M38" s="444">
        <v>1</v>
      </c>
      <c r="N38" s="444">
        <v>10</v>
      </c>
    </row>
    <row r="39" spans="1:14" x14ac:dyDescent="0.25">
      <c r="A39" s="444" t="s">
        <v>33</v>
      </c>
      <c r="B39" s="447">
        <v>35</v>
      </c>
      <c r="C39" s="447">
        <v>15</v>
      </c>
      <c r="D39" s="447">
        <v>20</v>
      </c>
      <c r="E39" s="447">
        <v>0</v>
      </c>
      <c r="F39" s="448">
        <v>0.42857142857142855</v>
      </c>
      <c r="G39" s="447">
        <v>741</v>
      </c>
      <c r="H39" s="447">
        <v>1158</v>
      </c>
      <c r="I39" s="447">
        <v>83</v>
      </c>
      <c r="J39" s="447">
        <v>147</v>
      </c>
      <c r="K39" s="447">
        <v>3</v>
      </c>
      <c r="L39" s="447">
        <v>11</v>
      </c>
      <c r="M39" s="447">
        <v>1</v>
      </c>
      <c r="N39" s="444">
        <v>10</v>
      </c>
    </row>
    <row r="40" spans="1:14" x14ac:dyDescent="0.25">
      <c r="A40" s="444" t="s">
        <v>123</v>
      </c>
      <c r="B40" s="447">
        <v>3</v>
      </c>
      <c r="C40" s="447">
        <v>0</v>
      </c>
      <c r="D40" s="447">
        <v>3</v>
      </c>
      <c r="E40" s="447">
        <v>0</v>
      </c>
      <c r="F40" s="448">
        <v>0</v>
      </c>
      <c r="G40" s="447">
        <v>29</v>
      </c>
      <c r="H40" s="447">
        <v>172</v>
      </c>
      <c r="I40" s="447">
        <v>3</v>
      </c>
      <c r="J40" s="447">
        <v>25</v>
      </c>
      <c r="K40" s="447">
        <v>0</v>
      </c>
      <c r="L40" s="447">
        <v>0</v>
      </c>
      <c r="M40" s="447">
        <v>0</v>
      </c>
      <c r="N40" s="444">
        <v>1</v>
      </c>
    </row>
    <row r="41" spans="1:14" x14ac:dyDescent="0.25">
      <c r="A41" s="444" t="s">
        <v>36</v>
      </c>
      <c r="B41" s="447">
        <v>37</v>
      </c>
      <c r="C41" s="447">
        <v>10</v>
      </c>
      <c r="D41" s="447">
        <v>25</v>
      </c>
      <c r="E41" s="447">
        <v>2</v>
      </c>
      <c r="F41" s="448">
        <v>0.29729729729729731</v>
      </c>
      <c r="G41" s="447">
        <v>753</v>
      </c>
      <c r="H41" s="447">
        <v>1454</v>
      </c>
      <c r="I41" s="447">
        <v>85</v>
      </c>
      <c r="J41" s="447">
        <v>197</v>
      </c>
      <c r="K41" s="447">
        <v>4</v>
      </c>
      <c r="L41" s="447">
        <v>5</v>
      </c>
      <c r="M41" s="447">
        <v>0</v>
      </c>
      <c r="N41" s="444">
        <v>10</v>
      </c>
    </row>
    <row r="42" spans="1:14" x14ac:dyDescent="0.25">
      <c r="A42" s="444" t="s">
        <v>93</v>
      </c>
      <c r="B42" s="447">
        <v>26</v>
      </c>
      <c r="C42" s="447">
        <v>0</v>
      </c>
      <c r="D42" s="447">
        <v>26</v>
      </c>
      <c r="E42" s="447">
        <v>0</v>
      </c>
      <c r="F42" s="448">
        <v>0</v>
      </c>
      <c r="G42" s="447">
        <v>285</v>
      </c>
      <c r="H42" s="447">
        <v>1578</v>
      </c>
      <c r="I42" s="444">
        <v>30</v>
      </c>
      <c r="J42" s="444">
        <v>226</v>
      </c>
      <c r="K42" s="444">
        <v>4</v>
      </c>
      <c r="L42" s="444">
        <v>15</v>
      </c>
      <c r="M42" s="444">
        <v>3</v>
      </c>
      <c r="N42" s="444">
        <v>7</v>
      </c>
    </row>
    <row r="43" spans="1:14" x14ac:dyDescent="0.25">
      <c r="A43" s="444" t="s">
        <v>98</v>
      </c>
      <c r="B43" s="447">
        <v>63</v>
      </c>
      <c r="C43" s="447">
        <v>54</v>
      </c>
      <c r="D43" s="447">
        <v>9</v>
      </c>
      <c r="E43" s="447">
        <v>0</v>
      </c>
      <c r="F43" s="448">
        <v>0.8571428571428571</v>
      </c>
      <c r="G43" s="447">
        <v>2888</v>
      </c>
      <c r="H43" s="447">
        <v>842</v>
      </c>
      <c r="I43" s="444">
        <v>396</v>
      </c>
      <c r="J43" s="444">
        <v>72</v>
      </c>
      <c r="K43" s="444">
        <v>10</v>
      </c>
      <c r="L43" s="444">
        <v>17</v>
      </c>
      <c r="M43" s="444">
        <v>2</v>
      </c>
      <c r="N43" s="444">
        <v>10</v>
      </c>
    </row>
    <row r="44" spans="1:14" x14ac:dyDescent="0.25">
      <c r="A44" s="444" t="s">
        <v>96</v>
      </c>
      <c r="B44" s="447">
        <v>8</v>
      </c>
      <c r="C44" s="447">
        <v>1</v>
      </c>
      <c r="D44" s="447">
        <v>6</v>
      </c>
      <c r="E44" s="447">
        <v>1</v>
      </c>
      <c r="F44" s="448">
        <v>0.1875</v>
      </c>
      <c r="G44" s="447">
        <v>102</v>
      </c>
      <c r="H44" s="447">
        <v>312</v>
      </c>
      <c r="I44" s="444">
        <v>12</v>
      </c>
      <c r="J44" s="444">
        <v>42</v>
      </c>
      <c r="K44" s="444">
        <v>1</v>
      </c>
      <c r="L44" s="444">
        <v>3</v>
      </c>
      <c r="M44" s="444">
        <v>1</v>
      </c>
      <c r="N44" s="444">
        <v>2</v>
      </c>
    </row>
    <row r="45" spans="1:14" x14ac:dyDescent="0.25">
      <c r="A45" s="444" t="s">
        <v>94</v>
      </c>
      <c r="B45" s="447">
        <v>32</v>
      </c>
      <c r="C45" s="447">
        <v>6</v>
      </c>
      <c r="D45" s="447">
        <v>26</v>
      </c>
      <c r="E45" s="447">
        <v>0</v>
      </c>
      <c r="F45" s="448">
        <v>0.1875</v>
      </c>
      <c r="G45" s="447">
        <v>397</v>
      </c>
      <c r="H45" s="447">
        <v>1355</v>
      </c>
      <c r="I45" s="444">
        <v>44</v>
      </c>
      <c r="J45" s="444">
        <v>184</v>
      </c>
      <c r="K45" s="444">
        <v>1</v>
      </c>
      <c r="L45" s="444">
        <v>12</v>
      </c>
      <c r="M45" s="444">
        <v>0</v>
      </c>
      <c r="N45" s="444">
        <v>9</v>
      </c>
    </row>
    <row r="46" spans="1:14" x14ac:dyDescent="0.25">
      <c r="A46" s="444" t="s">
        <v>78</v>
      </c>
      <c r="B46" s="447">
        <v>8</v>
      </c>
      <c r="C46" s="447">
        <v>0</v>
      </c>
      <c r="D46" s="447">
        <v>8</v>
      </c>
      <c r="E46" s="447">
        <v>0</v>
      </c>
      <c r="F46" s="448">
        <v>0</v>
      </c>
      <c r="G46" s="447">
        <v>76</v>
      </c>
      <c r="H46" s="447">
        <v>356</v>
      </c>
      <c r="I46" s="447">
        <v>9</v>
      </c>
      <c r="J46" s="447">
        <v>53</v>
      </c>
      <c r="K46" s="447">
        <v>1</v>
      </c>
      <c r="L46" s="447">
        <v>4</v>
      </c>
      <c r="M46" s="447">
        <v>0</v>
      </c>
      <c r="N46" s="444">
        <v>2</v>
      </c>
    </row>
    <row r="47" spans="1:14" x14ac:dyDescent="0.25">
      <c r="A47" s="444" t="s">
        <v>92</v>
      </c>
      <c r="B47" s="447">
        <v>36</v>
      </c>
      <c r="C47" s="447">
        <v>14</v>
      </c>
      <c r="D47" s="447">
        <v>22</v>
      </c>
      <c r="E47" s="447">
        <v>0</v>
      </c>
      <c r="F47" s="448">
        <v>0.3888888888888889</v>
      </c>
      <c r="G47" s="447">
        <v>804</v>
      </c>
      <c r="H47" s="447">
        <v>935</v>
      </c>
      <c r="I47" s="447">
        <v>94</v>
      </c>
      <c r="J47" s="447">
        <v>96</v>
      </c>
      <c r="K47" s="447">
        <v>2</v>
      </c>
      <c r="L47" s="447">
        <v>17</v>
      </c>
      <c r="M47" s="447">
        <v>4</v>
      </c>
      <c r="N47" s="444">
        <v>9</v>
      </c>
    </row>
    <row r="48" spans="1:14" x14ac:dyDescent="0.25">
      <c r="A48" s="444" t="s">
        <v>35</v>
      </c>
      <c r="B48" s="447">
        <v>46</v>
      </c>
      <c r="C48" s="447">
        <v>26</v>
      </c>
      <c r="D48" s="447">
        <v>19</v>
      </c>
      <c r="E48" s="447">
        <v>1</v>
      </c>
      <c r="F48" s="448">
        <v>0.57608695652173914</v>
      </c>
      <c r="G48" s="447">
        <v>1407</v>
      </c>
      <c r="H48" s="447">
        <v>874</v>
      </c>
      <c r="I48" s="444">
        <v>167</v>
      </c>
      <c r="J48" s="444">
        <v>89</v>
      </c>
      <c r="K48" s="444">
        <v>11</v>
      </c>
      <c r="L48" s="444">
        <v>6</v>
      </c>
      <c r="M48" s="444">
        <v>0</v>
      </c>
      <c r="N48" s="444">
        <v>10</v>
      </c>
    </row>
    <row r="49" spans="1:16" x14ac:dyDescent="0.25">
      <c r="A49" s="444" t="s">
        <v>97</v>
      </c>
      <c r="B49" s="447">
        <v>49</v>
      </c>
      <c r="C49" s="447">
        <v>41</v>
      </c>
      <c r="D49" s="447">
        <v>8</v>
      </c>
      <c r="E49" s="447">
        <v>0</v>
      </c>
      <c r="F49" s="448">
        <v>0.83673469387755106</v>
      </c>
      <c r="G49" s="447">
        <v>1720</v>
      </c>
      <c r="H49" s="447">
        <v>641</v>
      </c>
      <c r="I49" s="444">
        <v>201</v>
      </c>
      <c r="J49" s="444">
        <v>45</v>
      </c>
      <c r="K49" s="444">
        <v>16</v>
      </c>
      <c r="L49" s="444">
        <v>12</v>
      </c>
      <c r="M49" s="444">
        <v>2</v>
      </c>
      <c r="N49" s="444">
        <v>8</v>
      </c>
    </row>
    <row r="50" spans="1:16" x14ac:dyDescent="0.25">
      <c r="A50" s="444" t="s">
        <v>95</v>
      </c>
      <c r="B50" s="447">
        <v>3</v>
      </c>
      <c r="C50" s="447">
        <v>0</v>
      </c>
      <c r="D50" s="447">
        <v>3</v>
      </c>
      <c r="E50" s="447">
        <v>0</v>
      </c>
      <c r="F50" s="448">
        <v>0</v>
      </c>
      <c r="G50" s="447">
        <v>18</v>
      </c>
      <c r="H50" s="447">
        <v>122</v>
      </c>
      <c r="I50" s="444">
        <v>0</v>
      </c>
      <c r="J50" s="444">
        <v>18</v>
      </c>
      <c r="K50" s="444">
        <v>0</v>
      </c>
      <c r="L50" s="444">
        <v>0</v>
      </c>
      <c r="M50" s="444">
        <v>0</v>
      </c>
      <c r="N50" s="444">
        <v>1</v>
      </c>
    </row>
    <row r="51" spans="1:16" x14ac:dyDescent="0.25">
      <c r="A51" s="444" t="s">
        <v>91</v>
      </c>
      <c r="B51" s="447">
        <v>33</v>
      </c>
      <c r="C51" s="447">
        <v>9</v>
      </c>
      <c r="D51" s="447">
        <v>24</v>
      </c>
      <c r="E51" s="447">
        <v>0</v>
      </c>
      <c r="F51" s="448">
        <v>0.27272727272727271</v>
      </c>
      <c r="G51" s="447">
        <v>568</v>
      </c>
      <c r="H51" s="447">
        <v>1143</v>
      </c>
      <c r="I51" s="444">
        <v>66</v>
      </c>
      <c r="J51" s="444">
        <v>141</v>
      </c>
      <c r="K51" s="444">
        <v>1</v>
      </c>
      <c r="L51" s="444">
        <v>13</v>
      </c>
      <c r="M51" s="444">
        <v>4</v>
      </c>
      <c r="N51" s="444">
        <v>9</v>
      </c>
    </row>
    <row r="52" spans="1:16" x14ac:dyDescent="0.25">
      <c r="A52" s="444" t="s">
        <v>126</v>
      </c>
      <c r="B52" s="447">
        <v>29</v>
      </c>
      <c r="C52" s="447">
        <v>3</v>
      </c>
      <c r="D52" s="447">
        <v>26</v>
      </c>
      <c r="E52" s="447">
        <v>0</v>
      </c>
      <c r="F52" s="448">
        <v>0.10344827586206896</v>
      </c>
      <c r="G52" s="447">
        <v>402</v>
      </c>
      <c r="H52" s="447">
        <v>1048</v>
      </c>
      <c r="I52" s="447">
        <v>44</v>
      </c>
      <c r="J52" s="447">
        <v>142</v>
      </c>
      <c r="K52" s="447">
        <v>1</v>
      </c>
      <c r="L52" s="447">
        <v>7</v>
      </c>
      <c r="M52" s="447">
        <v>1</v>
      </c>
      <c r="N52" s="444">
        <v>8</v>
      </c>
      <c r="O52" s="475"/>
    </row>
    <row r="53" spans="1:16" x14ac:dyDescent="0.25">
      <c r="A53" s="444" t="s">
        <v>79</v>
      </c>
      <c r="B53" s="447">
        <v>19</v>
      </c>
      <c r="C53" s="447">
        <v>4</v>
      </c>
      <c r="D53" s="447">
        <v>15</v>
      </c>
      <c r="E53" s="447">
        <v>0</v>
      </c>
      <c r="F53" s="448">
        <v>0.21052631578947367</v>
      </c>
      <c r="G53" s="447">
        <v>253</v>
      </c>
      <c r="H53" s="447">
        <v>882</v>
      </c>
      <c r="I53" s="444">
        <v>27</v>
      </c>
      <c r="J53" s="444">
        <v>129</v>
      </c>
      <c r="K53" s="444">
        <v>1</v>
      </c>
      <c r="L53" s="444">
        <v>5</v>
      </c>
      <c r="M53" s="444">
        <v>2</v>
      </c>
      <c r="N53" s="444">
        <v>5</v>
      </c>
    </row>
    <row r="54" spans="1:16" x14ac:dyDescent="0.25">
      <c r="A54" s="444" t="s">
        <v>32</v>
      </c>
      <c r="B54" s="447">
        <v>49</v>
      </c>
      <c r="C54" s="447">
        <v>30</v>
      </c>
      <c r="D54" s="447">
        <v>19</v>
      </c>
      <c r="E54" s="447">
        <v>0</v>
      </c>
      <c r="F54" s="448">
        <v>0.61224489795918369</v>
      </c>
      <c r="G54" s="447">
        <v>1398</v>
      </c>
      <c r="H54" s="447">
        <v>953</v>
      </c>
      <c r="I54" s="447">
        <v>168</v>
      </c>
      <c r="J54" s="447">
        <v>104</v>
      </c>
      <c r="K54" s="447">
        <v>10</v>
      </c>
      <c r="L54" s="447">
        <v>9</v>
      </c>
      <c r="M54" s="447">
        <v>2</v>
      </c>
      <c r="N54" s="444">
        <v>10</v>
      </c>
    </row>
    <row r="55" spans="1:16" x14ac:dyDescent="0.25">
      <c r="A55" s="444" t="s">
        <v>124</v>
      </c>
      <c r="B55" s="447">
        <v>6</v>
      </c>
      <c r="C55" s="447">
        <v>0</v>
      </c>
      <c r="D55" s="447">
        <v>6</v>
      </c>
      <c r="E55" s="447">
        <v>0</v>
      </c>
      <c r="F55" s="448">
        <v>0</v>
      </c>
      <c r="G55" s="447">
        <v>84</v>
      </c>
      <c r="H55" s="447">
        <v>309</v>
      </c>
      <c r="I55" s="447">
        <v>11</v>
      </c>
      <c r="J55" s="447">
        <v>52</v>
      </c>
      <c r="K55" s="447">
        <v>0</v>
      </c>
      <c r="L55" s="447">
        <v>0</v>
      </c>
      <c r="M55" s="447">
        <v>0</v>
      </c>
      <c r="N55" s="444">
        <v>2</v>
      </c>
    </row>
    <row r="56" spans="1:16" x14ac:dyDescent="0.25">
      <c r="A56" s="225" t="s">
        <v>57</v>
      </c>
      <c r="B56" s="449">
        <f>SUM(B30:B55)/2</f>
        <v>421.5</v>
      </c>
      <c r="C56" s="449">
        <f>SUM(C30:C55)/2</f>
        <v>208.5</v>
      </c>
      <c r="D56" s="449">
        <f>SUM(D30:D55)/2</f>
        <v>209</v>
      </c>
      <c r="E56" s="449">
        <f>SUM(E30:E55)/2</f>
        <v>4</v>
      </c>
      <c r="F56" s="450" t="s">
        <v>80</v>
      </c>
      <c r="G56" s="225">
        <f>SUM(G30:G55)</f>
        <v>21771</v>
      </c>
      <c r="H56" s="225">
        <f>SUM(H30:H55)</f>
        <v>21771</v>
      </c>
      <c r="I56" s="225">
        <f>SUM(I30:I55)</f>
        <v>2572</v>
      </c>
      <c r="J56" s="225">
        <f t="shared" ref="J56:M56" si="1">SUM(J30:J55)</f>
        <v>2572</v>
      </c>
      <c r="K56" s="225">
        <f t="shared" si="1"/>
        <v>146</v>
      </c>
      <c r="L56" s="225">
        <f t="shared" si="1"/>
        <v>220</v>
      </c>
      <c r="M56" s="225">
        <f t="shared" si="1"/>
        <v>33</v>
      </c>
      <c r="N56" s="449">
        <f>SUM(N30:N55)/18.5</f>
        <v>10.162162162162161</v>
      </c>
    </row>
    <row r="57" spans="1:16" x14ac:dyDescent="0.25">
      <c r="A57" s="225" t="s">
        <v>203</v>
      </c>
      <c r="B57" s="458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</row>
    <row r="59" spans="1:16" x14ac:dyDescent="0.25">
      <c r="A59" s="239" t="s">
        <v>158</v>
      </c>
      <c r="B59" s="240"/>
      <c r="C59" s="240"/>
      <c r="D59" s="240"/>
      <c r="E59" s="240"/>
      <c r="F59" s="240"/>
      <c r="G59" s="240"/>
      <c r="H59" s="240"/>
      <c r="I59" s="240"/>
      <c r="J59" s="376"/>
      <c r="K59" s="380" t="s">
        <v>159</v>
      </c>
      <c r="L59" s="380" t="s">
        <v>160</v>
      </c>
      <c r="M59" s="376"/>
      <c r="N59" s="376"/>
      <c r="O59" s="376"/>
      <c r="P59" s="376"/>
    </row>
    <row r="60" spans="1:16" x14ac:dyDescent="0.25">
      <c r="A60" s="241"/>
      <c r="B60" s="242" t="s">
        <v>101</v>
      </c>
      <c r="C60" s="242" t="s">
        <v>102</v>
      </c>
      <c r="D60" s="242" t="s">
        <v>103</v>
      </c>
      <c r="E60" s="242" t="s">
        <v>107</v>
      </c>
      <c r="F60" s="242" t="s">
        <v>290</v>
      </c>
      <c r="G60" s="242" t="s">
        <v>104</v>
      </c>
      <c r="H60" s="242" t="s">
        <v>105</v>
      </c>
      <c r="I60" s="242" t="s">
        <v>106</v>
      </c>
      <c r="J60" s="242"/>
      <c r="K60" s="242" t="s">
        <v>153</v>
      </c>
      <c r="L60" s="242" t="s">
        <v>153</v>
      </c>
      <c r="M60" s="242" t="s">
        <v>154</v>
      </c>
      <c r="N60" s="242" t="s">
        <v>155</v>
      </c>
      <c r="O60" s="242" t="s">
        <v>156</v>
      </c>
      <c r="P60" s="242" t="s">
        <v>125</v>
      </c>
    </row>
    <row r="61" spans="1:16" x14ac:dyDescent="0.25">
      <c r="A61" s="240" t="s">
        <v>30</v>
      </c>
      <c r="B61" s="243">
        <f>508+Englandplayed</f>
        <v>512</v>
      </c>
      <c r="C61" s="243">
        <f>278+Englandwon</f>
        <v>279</v>
      </c>
      <c r="D61" s="243">
        <f>190+Englandlost</f>
        <v>193</v>
      </c>
      <c r="E61" s="243">
        <f>40+Englanddrawn</f>
        <v>40</v>
      </c>
      <c r="F61" s="244">
        <f t="shared" ref="F61:F65" si="2">SUM(C61+E61*0.5)/B61</f>
        <v>0.583984375</v>
      </c>
      <c r="G61" s="243">
        <f>7590+Englandptsscored</f>
        <v>7697</v>
      </c>
      <c r="H61" s="243">
        <f>5765+Englandptsagainst</f>
        <v>5868</v>
      </c>
      <c r="I61" s="240">
        <f>1036+Englandtriesscored</f>
        <v>1050</v>
      </c>
      <c r="J61" s="240"/>
      <c r="K61" s="240">
        <v>29</v>
      </c>
      <c r="L61" s="240">
        <v>10</v>
      </c>
      <c r="M61" s="240">
        <v>13</v>
      </c>
      <c r="N61" s="240">
        <v>26</v>
      </c>
      <c r="O61" s="240">
        <v>17</v>
      </c>
      <c r="P61" s="240">
        <v>130</v>
      </c>
    </row>
    <row r="62" spans="1:16" x14ac:dyDescent="0.25">
      <c r="A62" s="240" t="s">
        <v>34</v>
      </c>
      <c r="B62" s="243">
        <f>409+Franceplayed</f>
        <v>413</v>
      </c>
      <c r="C62" s="243">
        <f>217+Francewon</f>
        <v>220</v>
      </c>
      <c r="D62" s="243">
        <f>172+Francelost</f>
        <v>173</v>
      </c>
      <c r="E62" s="243">
        <f>20+Francedrawn</f>
        <v>20</v>
      </c>
      <c r="F62" s="244">
        <f t="shared" si="2"/>
        <v>0.55690072639225185</v>
      </c>
      <c r="G62" s="243">
        <f>6652+Franceptsscored</f>
        <v>6815</v>
      </c>
      <c r="H62" s="243">
        <f>5722+Franceptsagainst</f>
        <v>5806</v>
      </c>
      <c r="I62" s="240">
        <f>829+Francetriesscored</f>
        <v>853</v>
      </c>
      <c r="J62" s="240"/>
      <c r="K62" s="240">
        <v>19</v>
      </c>
      <c r="L62" s="240">
        <v>8</v>
      </c>
      <c r="M62" s="240">
        <v>10</v>
      </c>
      <c r="N62" s="379" t="s">
        <v>157</v>
      </c>
      <c r="O62" s="240">
        <v>13</v>
      </c>
      <c r="P62" s="240">
        <v>97</v>
      </c>
    </row>
    <row r="63" spans="1:16" x14ac:dyDescent="0.25">
      <c r="A63" s="240" t="s">
        <v>39</v>
      </c>
      <c r="B63" s="243">
        <f>507+Irelandplayed</f>
        <v>511</v>
      </c>
      <c r="C63" s="243">
        <f>231+Irelandwon</f>
        <v>234</v>
      </c>
      <c r="D63" s="243">
        <f>250+Irelandlost</f>
        <v>251</v>
      </c>
      <c r="E63" s="243">
        <f>26+Irelanddrawn</f>
        <v>26</v>
      </c>
      <c r="F63" s="244">
        <f t="shared" si="2"/>
        <v>0.48336594911937375</v>
      </c>
      <c r="G63" s="243">
        <f>6494+Irelandptsscored</f>
        <v>6597</v>
      </c>
      <c r="H63" s="243">
        <f>6449+Irelandptsagainst</f>
        <v>6536</v>
      </c>
      <c r="I63" s="240">
        <f>845+Irelandtriesscored</f>
        <v>859</v>
      </c>
      <c r="J63" s="240"/>
      <c r="K63" s="240">
        <v>15</v>
      </c>
      <c r="L63" s="240">
        <v>8</v>
      </c>
      <c r="M63" s="240">
        <v>4</v>
      </c>
      <c r="N63" s="240">
        <v>14</v>
      </c>
      <c r="O63" s="240">
        <v>25</v>
      </c>
      <c r="P63" s="240">
        <v>132</v>
      </c>
    </row>
    <row r="64" spans="1:16" x14ac:dyDescent="0.25">
      <c r="A64" s="240" t="s">
        <v>33</v>
      </c>
      <c r="B64" s="243">
        <f>130+Italyplayed</f>
        <v>134</v>
      </c>
      <c r="C64" s="243">
        <f>16+Italywon</f>
        <v>18</v>
      </c>
      <c r="D64" s="243">
        <f>112+Italylost</f>
        <v>114</v>
      </c>
      <c r="E64" s="243">
        <f>2+Italydrawn</f>
        <v>2</v>
      </c>
      <c r="F64" s="244">
        <f t="shared" si="2"/>
        <v>0.1417910447761194</v>
      </c>
      <c r="G64" s="243">
        <f>1906+Italyptsscored</f>
        <v>1968</v>
      </c>
      <c r="H64" s="243">
        <f>4424+Italyptsagainst</f>
        <v>4510</v>
      </c>
      <c r="I64" s="243">
        <f>178+Italytriesscored</f>
        <v>184</v>
      </c>
      <c r="J64" s="243"/>
      <c r="K64" s="240">
        <v>0</v>
      </c>
      <c r="L64" s="240">
        <v>0</v>
      </c>
      <c r="M64" s="240">
        <v>0</v>
      </c>
      <c r="N64" s="379" t="s">
        <v>157</v>
      </c>
      <c r="O64" s="240">
        <v>18</v>
      </c>
      <c r="P64" s="240">
        <v>27</v>
      </c>
    </row>
    <row r="65" spans="1:16" x14ac:dyDescent="0.25">
      <c r="A65" s="240" t="s">
        <v>35</v>
      </c>
      <c r="B65" s="243">
        <f>508+Scotlandplayed</f>
        <v>512</v>
      </c>
      <c r="C65" s="243">
        <f>211+Scotlandwon</f>
        <v>214</v>
      </c>
      <c r="D65" s="243">
        <f>273+Scotlandlost</f>
        <v>274</v>
      </c>
      <c r="E65" s="243">
        <f>24+Scotlanddrawn</f>
        <v>24</v>
      </c>
      <c r="F65" s="244">
        <f t="shared" si="2"/>
        <v>0.44140625</v>
      </c>
      <c r="G65" s="243">
        <f>5991+Scotlandptsscored</f>
        <v>6113</v>
      </c>
      <c r="H65" s="243">
        <f>6955+Scotlandptsagainst</f>
        <v>7056</v>
      </c>
      <c r="I65" s="240">
        <f>807+Scotlandtriesscored</f>
        <v>824</v>
      </c>
      <c r="J65" s="240"/>
      <c r="K65" s="240">
        <v>14</v>
      </c>
      <c r="L65" s="240">
        <v>8</v>
      </c>
      <c r="M65" s="240">
        <v>3</v>
      </c>
      <c r="N65" s="240">
        <v>10</v>
      </c>
      <c r="O65" s="240">
        <v>24</v>
      </c>
      <c r="P65" s="240">
        <v>132</v>
      </c>
    </row>
    <row r="66" spans="1:16" x14ac:dyDescent="0.25">
      <c r="A66" s="240" t="s">
        <v>32</v>
      </c>
      <c r="B66" s="243">
        <f>506+Walesplayed</f>
        <v>510</v>
      </c>
      <c r="C66" s="243">
        <f>262+Waleswon</f>
        <v>262</v>
      </c>
      <c r="D66" s="243">
        <f>218+Waleslost</f>
        <v>222</v>
      </c>
      <c r="E66" s="243">
        <f>26+Walesdrawn</f>
        <v>26</v>
      </c>
      <c r="F66" s="244">
        <f t="shared" ref="F66" si="3">SUM(C66+E66*0.5)/B66</f>
        <v>0.53921568627450978</v>
      </c>
      <c r="G66" s="243">
        <f>7117+Walesptsscored</f>
        <v>7176</v>
      </c>
      <c r="H66" s="243">
        <f>6435+Walesptsagainst</f>
        <v>6590</v>
      </c>
      <c r="I66" s="243">
        <f>969+Walestriesscored</f>
        <v>976</v>
      </c>
      <c r="J66" s="243"/>
      <c r="K66" s="240">
        <v>28</v>
      </c>
      <c r="L66" s="240">
        <v>11</v>
      </c>
      <c r="M66" s="240">
        <v>12</v>
      </c>
      <c r="N66" s="240">
        <v>22</v>
      </c>
      <c r="O66" s="240">
        <v>19</v>
      </c>
      <c r="P66" s="240">
        <v>132</v>
      </c>
    </row>
    <row r="67" spans="1:16" x14ac:dyDescent="0.25">
      <c r="A67" s="239" t="s">
        <v>1066</v>
      </c>
      <c r="B67" s="240">
        <f>+SUM(B61:B66)/2</f>
        <v>1296</v>
      </c>
      <c r="C67" s="240"/>
      <c r="D67" s="240"/>
      <c r="E67" s="240"/>
      <c r="F67" s="240"/>
      <c r="G67" s="240"/>
      <c r="H67" s="240"/>
      <c r="I67" s="240"/>
      <c r="J67" s="376"/>
      <c r="K67" s="376"/>
      <c r="L67" s="376"/>
      <c r="M67" s="376"/>
      <c r="N67" s="376"/>
      <c r="O67" s="376"/>
      <c r="P67" s="376"/>
    </row>
    <row r="69" spans="1:16" x14ac:dyDescent="0.25">
      <c r="A69" s="897" t="s">
        <v>134</v>
      </c>
      <c r="B69" s="898"/>
      <c r="C69" s="898"/>
      <c r="D69" s="898"/>
      <c r="E69" s="898"/>
      <c r="F69" s="898"/>
      <c r="G69" s="898"/>
      <c r="H69" s="898"/>
      <c r="I69" s="898"/>
      <c r="J69" s="898"/>
      <c r="K69" s="898"/>
      <c r="L69" s="898"/>
      <c r="M69" s="898"/>
      <c r="N69" s="898"/>
      <c r="O69" s="898"/>
    </row>
    <row r="70" spans="1:16" x14ac:dyDescent="0.25">
      <c r="A70" s="899"/>
      <c r="B70" s="900" t="s">
        <v>101</v>
      </c>
      <c r="C70" s="900" t="s">
        <v>102</v>
      </c>
      <c r="D70" s="900" t="s">
        <v>103</v>
      </c>
      <c r="E70" s="900" t="s">
        <v>107</v>
      </c>
      <c r="F70" s="900" t="s">
        <v>290</v>
      </c>
      <c r="G70" s="900" t="s">
        <v>104</v>
      </c>
      <c r="H70" s="900" t="s">
        <v>105</v>
      </c>
      <c r="I70" s="900" t="s">
        <v>106</v>
      </c>
      <c r="J70" s="900" t="s">
        <v>152</v>
      </c>
      <c r="K70" s="900" t="s">
        <v>153</v>
      </c>
      <c r="L70" s="900" t="s">
        <v>154</v>
      </c>
      <c r="M70" s="900" t="s">
        <v>155</v>
      </c>
      <c r="N70" s="900" t="s">
        <v>156</v>
      </c>
      <c r="O70" s="900" t="s">
        <v>125</v>
      </c>
    </row>
    <row r="71" spans="1:16" x14ac:dyDescent="0.25">
      <c r="A71" s="898" t="s">
        <v>30</v>
      </c>
      <c r="B71" s="901">
        <f>130+Englandplayed</f>
        <v>134</v>
      </c>
      <c r="C71" s="901">
        <f>86+Englandwon</f>
        <v>87</v>
      </c>
      <c r="D71" s="901">
        <f>42+Englandlost</f>
        <v>45</v>
      </c>
      <c r="E71" s="901">
        <f>2+Englanddrawn</f>
        <v>2</v>
      </c>
      <c r="F71" s="902">
        <f t="shared" ref="F71:F76" si="4">SUM(C71+E71*0.5)/B71</f>
        <v>0.65671641791044777</v>
      </c>
      <c r="G71" s="901">
        <f>3513+Englandptsscored</f>
        <v>3620</v>
      </c>
      <c r="H71" s="901">
        <f>2258+Englandptsagainst</f>
        <v>2361</v>
      </c>
      <c r="I71" s="898">
        <f>384+Englandtriesscored</f>
        <v>398</v>
      </c>
      <c r="J71" s="898">
        <f>206+eng6ntriesconc</f>
        <v>218</v>
      </c>
      <c r="K71" s="898">
        <v>7</v>
      </c>
      <c r="L71" s="898">
        <v>2</v>
      </c>
      <c r="M71" s="898">
        <v>4</v>
      </c>
      <c r="N71" s="898">
        <v>0</v>
      </c>
      <c r="O71" s="898">
        <v>27</v>
      </c>
    </row>
    <row r="72" spans="1:16" x14ac:dyDescent="0.25">
      <c r="A72" s="898" t="s">
        <v>34</v>
      </c>
      <c r="B72" s="901">
        <f>130+Franceplayed</f>
        <v>134</v>
      </c>
      <c r="C72" s="901">
        <f>84+Francewon</f>
        <v>87</v>
      </c>
      <c r="D72" s="901">
        <f>43+Francelost</f>
        <v>44</v>
      </c>
      <c r="E72" s="901">
        <f>3+Francedrawn</f>
        <v>3</v>
      </c>
      <c r="F72" s="902">
        <f t="shared" si="4"/>
        <v>0.66044776119402981</v>
      </c>
      <c r="G72" s="901">
        <f>3331+Franceptsscored</f>
        <v>3494</v>
      </c>
      <c r="H72" s="901">
        <f>2459+Franceptsagainst</f>
        <v>2543</v>
      </c>
      <c r="I72" s="898">
        <f>344+Francetriesscored</f>
        <v>368</v>
      </c>
      <c r="J72" s="898">
        <f>230+fra6ntriesconc</f>
        <v>242</v>
      </c>
      <c r="K72" s="898">
        <v>7</v>
      </c>
      <c r="L72" s="898">
        <v>4</v>
      </c>
      <c r="M72" s="903" t="s">
        <v>157</v>
      </c>
      <c r="N72" s="898">
        <v>1</v>
      </c>
      <c r="O72" s="898">
        <v>27</v>
      </c>
    </row>
    <row r="73" spans="1:16" x14ac:dyDescent="0.25">
      <c r="A73" s="898" t="s">
        <v>39</v>
      </c>
      <c r="B73" s="901">
        <f>130+Irelandplayed</f>
        <v>134</v>
      </c>
      <c r="C73" s="901">
        <f>89+Irelandwon</f>
        <v>92</v>
      </c>
      <c r="D73" s="901">
        <f>38+Irelandlost</f>
        <v>39</v>
      </c>
      <c r="E73" s="901">
        <f>3+Irelanddrawn</f>
        <v>3</v>
      </c>
      <c r="F73" s="902">
        <f t="shared" si="4"/>
        <v>0.69776119402985071</v>
      </c>
      <c r="G73" s="901">
        <f>3333+Irelandptsscored</f>
        <v>3436</v>
      </c>
      <c r="H73" s="901">
        <f>2297+Irelandptsagainst</f>
        <v>2384</v>
      </c>
      <c r="I73" s="898">
        <f>368+Irelandtriesscored</f>
        <v>382</v>
      </c>
      <c r="J73" s="898">
        <f>211+ire6ntriesconc</f>
        <v>222</v>
      </c>
      <c r="K73" s="898">
        <v>6</v>
      </c>
      <c r="L73" s="898">
        <v>3</v>
      </c>
      <c r="M73" s="898">
        <v>8</v>
      </c>
      <c r="N73" s="898">
        <v>0</v>
      </c>
      <c r="O73" s="898">
        <v>27</v>
      </c>
    </row>
    <row r="74" spans="1:16" x14ac:dyDescent="0.25">
      <c r="A74" s="898" t="s">
        <v>33</v>
      </c>
      <c r="B74" s="901">
        <f>130+Italyplayed</f>
        <v>134</v>
      </c>
      <c r="C74" s="901">
        <f>16+Italywon</f>
        <v>18</v>
      </c>
      <c r="D74" s="901">
        <f>112+Italylost</f>
        <v>114</v>
      </c>
      <c r="E74" s="901">
        <f>2+Italydrawn</f>
        <v>2</v>
      </c>
      <c r="F74" s="902">
        <f t="shared" si="4"/>
        <v>0.1417910447761194</v>
      </c>
      <c r="G74" s="901">
        <f>1906+Italyptsscored</f>
        <v>1968</v>
      </c>
      <c r="H74" s="901">
        <f>4424+Italyptsagainst</f>
        <v>4510</v>
      </c>
      <c r="I74" s="901">
        <f>178+Italytriesscored</f>
        <v>184</v>
      </c>
      <c r="J74" s="901">
        <f>542+Italytriesagainst</f>
        <v>554</v>
      </c>
      <c r="K74" s="898">
        <v>0</v>
      </c>
      <c r="L74" s="898">
        <v>0</v>
      </c>
      <c r="M74" s="903" t="s">
        <v>157</v>
      </c>
      <c r="N74" s="898">
        <v>19</v>
      </c>
      <c r="O74" s="898">
        <v>27</v>
      </c>
    </row>
    <row r="75" spans="1:16" x14ac:dyDescent="0.25">
      <c r="A75" s="898" t="s">
        <v>35</v>
      </c>
      <c r="B75" s="901">
        <f>130+Scotlandplayed</f>
        <v>134</v>
      </c>
      <c r="C75" s="901">
        <f>43+Scotlandwon</f>
        <v>46</v>
      </c>
      <c r="D75" s="901">
        <f>84+Scotlandlost</f>
        <v>85</v>
      </c>
      <c r="E75" s="901">
        <f>3+Scotlanddrawn</f>
        <v>3</v>
      </c>
      <c r="F75" s="902">
        <f t="shared" si="4"/>
        <v>0.35447761194029853</v>
      </c>
      <c r="G75" s="901">
        <f>2361+Scotlandptsscored</f>
        <v>2483</v>
      </c>
      <c r="H75" s="901">
        <f>3101+Scotlandptsagainst</f>
        <v>3202</v>
      </c>
      <c r="I75" s="898">
        <f>222+Scotlandtriesscored</f>
        <v>239</v>
      </c>
      <c r="J75" s="898">
        <f>323+sco6ntriesconc</f>
        <v>335</v>
      </c>
      <c r="K75" s="898">
        <v>0</v>
      </c>
      <c r="L75" s="898">
        <v>0</v>
      </c>
      <c r="M75" s="898">
        <v>0</v>
      </c>
      <c r="N75" s="898">
        <v>4</v>
      </c>
      <c r="O75" s="898">
        <v>27</v>
      </c>
    </row>
    <row r="76" spans="1:16" x14ac:dyDescent="0.25">
      <c r="A76" s="898" t="s">
        <v>32</v>
      </c>
      <c r="B76" s="901">
        <f>130+Walesplayed</f>
        <v>134</v>
      </c>
      <c r="C76" s="901">
        <f>64+Waleswon</f>
        <v>64</v>
      </c>
      <c r="D76" s="901">
        <f>63+Waleslost</f>
        <v>67</v>
      </c>
      <c r="E76" s="901">
        <f>3+Walesdrawn</f>
        <v>3</v>
      </c>
      <c r="F76" s="902">
        <f t="shared" si="4"/>
        <v>0.48880597014925375</v>
      </c>
      <c r="G76" s="901">
        <f>2980+Walesptsscored</f>
        <v>3039</v>
      </c>
      <c r="H76" s="901">
        <f>2835+Walesptsagainst</f>
        <v>2990</v>
      </c>
      <c r="I76" s="901">
        <f>289+Walestriesscored</f>
        <v>296</v>
      </c>
      <c r="J76" s="901">
        <f>273+wal6ntriesconc</f>
        <v>296</v>
      </c>
      <c r="K76" s="898">
        <v>6</v>
      </c>
      <c r="L76" s="898">
        <v>4</v>
      </c>
      <c r="M76" s="898">
        <v>5</v>
      </c>
      <c r="N76" s="898">
        <v>2</v>
      </c>
      <c r="O76" s="898">
        <v>27</v>
      </c>
    </row>
    <row r="77" spans="1:16" x14ac:dyDescent="0.25">
      <c r="A77" s="897" t="s">
        <v>1066</v>
      </c>
      <c r="B77" s="898">
        <f>+SUM(B71:B76)/2</f>
        <v>402</v>
      </c>
      <c r="C77" s="898"/>
      <c r="D77" s="898"/>
      <c r="E77" s="898"/>
      <c r="F77" s="898"/>
      <c r="G77" s="898"/>
      <c r="H77" s="898"/>
      <c r="I77" s="898"/>
      <c r="J77" s="898"/>
      <c r="K77" s="898"/>
      <c r="L77" s="898"/>
      <c r="M77" s="898"/>
      <c r="N77" s="898"/>
      <c r="O77" s="898"/>
    </row>
    <row r="78" spans="1:16" ht="16.3" x14ac:dyDescent="0.3">
      <c r="A78" s="792" t="s">
        <v>28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26"/>
  <sheetViews>
    <sheetView zoomScale="90" zoomScaleNormal="90" workbookViewId="0">
      <pane ySplit="2" topLeftCell="A3" activePane="bottomLeft" state="frozen"/>
      <selection activeCell="D8" sqref="A8:AO21"/>
      <selection pane="bottomLeft" activeCell="U26" sqref="U26"/>
    </sheetView>
  </sheetViews>
  <sheetFormatPr defaultRowHeight="14.3" x14ac:dyDescent="0.25"/>
  <cols>
    <col min="1" max="1" width="7.375" customWidth="1"/>
    <col min="2" max="2" width="4.875" bestFit="1" customWidth="1"/>
    <col min="3" max="3" width="12.375" customWidth="1"/>
    <col min="4" max="4" width="4.875" customWidth="1"/>
    <col min="5" max="5" width="3.625" customWidth="1"/>
    <col min="6" max="6" width="4" bestFit="1" customWidth="1"/>
    <col min="7" max="18" width="3.625" customWidth="1"/>
    <col min="19" max="20" width="6.375" customWidth="1"/>
    <col min="21" max="21" width="22.875" bestFit="1" customWidth="1"/>
    <col min="22" max="23" width="30.125" bestFit="1" customWidth="1"/>
    <col min="24" max="24" width="22.875" bestFit="1" customWidth="1"/>
    <col min="25" max="25" width="25.125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120" t="s">
        <v>401</v>
      </c>
      <c r="B1" s="1121"/>
      <c r="C1" s="1121"/>
      <c r="D1" s="105"/>
      <c r="E1" s="1122" t="s">
        <v>24</v>
      </c>
      <c r="F1" s="1123"/>
      <c r="G1" s="1124"/>
      <c r="H1" s="1122" t="s">
        <v>23</v>
      </c>
      <c r="I1" s="1124"/>
      <c r="J1" s="1117" t="s">
        <v>6</v>
      </c>
      <c r="K1" s="1118"/>
      <c r="L1" s="1118"/>
      <c r="M1" s="1119"/>
      <c r="N1" s="1117" t="s">
        <v>7</v>
      </c>
      <c r="O1" s="1119"/>
      <c r="P1" s="1117" t="s">
        <v>25</v>
      </c>
      <c r="Q1" s="1118"/>
      <c r="R1" s="1119"/>
      <c r="S1" s="236" t="s">
        <v>8</v>
      </c>
      <c r="T1" s="236" t="s">
        <v>9</v>
      </c>
      <c r="U1" s="781" t="s">
        <v>10</v>
      </c>
      <c r="V1" s="236" t="s">
        <v>11</v>
      </c>
      <c r="W1" s="781" t="s">
        <v>211</v>
      </c>
      <c r="X1" s="795" t="s">
        <v>26</v>
      </c>
      <c r="Y1" s="796" t="s">
        <v>27</v>
      </c>
      <c r="Z1" s="1114" t="s">
        <v>20</v>
      </c>
      <c r="AA1" s="1115"/>
      <c r="AB1" s="1115"/>
      <c r="AC1" s="1116"/>
      <c r="AD1" s="1114" t="s">
        <v>61</v>
      </c>
      <c r="AE1" s="1115"/>
      <c r="AF1" s="1115"/>
      <c r="AG1" s="1116"/>
      <c r="AH1" s="1114" t="s">
        <v>62</v>
      </c>
      <c r="AI1" s="1115"/>
      <c r="AJ1" s="1115"/>
      <c r="AK1" s="1116"/>
      <c r="AL1" s="1114" t="s">
        <v>63</v>
      </c>
      <c r="AM1" s="1115"/>
      <c r="AN1" s="1115"/>
      <c r="AO1" s="1116"/>
      <c r="AQ1" s="227" t="s">
        <v>112</v>
      </c>
      <c r="AR1" s="14"/>
      <c r="AT1" s="227" t="s">
        <v>112</v>
      </c>
    </row>
    <row r="2" spans="1:47" ht="14.95" customHeight="1" thickBot="1" x14ac:dyDescent="0.3">
      <c r="A2" s="7" t="s">
        <v>19</v>
      </c>
      <c r="B2" s="8" t="s">
        <v>18</v>
      </c>
      <c r="C2" s="9" t="s">
        <v>17</v>
      </c>
      <c r="D2" s="9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4"/>
      <c r="X2" s="26"/>
      <c r="Y2" s="5"/>
      <c r="Z2" s="6" t="s">
        <v>0</v>
      </c>
      <c r="AA2" s="6" t="s">
        <v>1</v>
      </c>
      <c r="AB2" s="6" t="s">
        <v>2</v>
      </c>
      <c r="AC2" s="6" t="s">
        <v>3</v>
      </c>
      <c r="AD2" s="6" t="s">
        <v>0</v>
      </c>
      <c r="AE2" s="6" t="s">
        <v>1</v>
      </c>
      <c r="AF2" s="6" t="s">
        <v>2</v>
      </c>
      <c r="AG2" s="6" t="s">
        <v>3</v>
      </c>
      <c r="AH2" s="6" t="s">
        <v>0</v>
      </c>
      <c r="AI2" s="6" t="s">
        <v>1</v>
      </c>
      <c r="AJ2" s="6" t="s">
        <v>2</v>
      </c>
      <c r="AK2" s="6" t="s">
        <v>3</v>
      </c>
      <c r="AL2" s="6" t="s">
        <v>0</v>
      </c>
      <c r="AM2" s="6" t="s">
        <v>1</v>
      </c>
      <c r="AN2" s="6" t="s">
        <v>2</v>
      </c>
      <c r="AO2" s="6" t="s">
        <v>3</v>
      </c>
      <c r="AQ2" s="205" t="s">
        <v>81</v>
      </c>
      <c r="AR2" s="138"/>
      <c r="AT2" s="206" t="s">
        <v>99</v>
      </c>
      <c r="AU2" s="138" t="s">
        <v>58</v>
      </c>
    </row>
    <row r="3" spans="1:47" ht="14.95" customHeight="1" thickBot="1" x14ac:dyDescent="0.35">
      <c r="A3" s="363" t="s">
        <v>232</v>
      </c>
      <c r="B3" s="344" t="s">
        <v>45</v>
      </c>
      <c r="C3" s="290" t="s">
        <v>171</v>
      </c>
      <c r="D3" s="290" t="s">
        <v>466</v>
      </c>
      <c r="E3" s="291" t="s">
        <v>3</v>
      </c>
      <c r="F3" s="291">
        <v>18</v>
      </c>
      <c r="G3" s="291">
        <v>25</v>
      </c>
      <c r="H3" s="692" t="s">
        <v>80</v>
      </c>
      <c r="I3" s="692" t="s">
        <v>80</v>
      </c>
      <c r="J3" s="692">
        <v>3</v>
      </c>
      <c r="K3" s="692">
        <v>0</v>
      </c>
      <c r="L3" s="692">
        <v>0</v>
      </c>
      <c r="M3" s="692">
        <v>1</v>
      </c>
      <c r="N3" s="692">
        <v>0</v>
      </c>
      <c r="O3" s="692">
        <v>0</v>
      </c>
      <c r="P3" s="692" t="s">
        <v>80</v>
      </c>
      <c r="Q3" s="692" t="s">
        <v>80</v>
      </c>
      <c r="R3" s="692">
        <v>3</v>
      </c>
      <c r="S3" s="865" t="s">
        <v>157</v>
      </c>
      <c r="T3" s="710" t="s">
        <v>467</v>
      </c>
      <c r="U3" s="294" t="s">
        <v>468</v>
      </c>
      <c r="V3" s="292" t="s">
        <v>469</v>
      </c>
      <c r="W3" s="292" t="s">
        <v>157</v>
      </c>
      <c r="X3" s="295" t="s">
        <v>438</v>
      </c>
      <c r="Y3" s="296" t="s">
        <v>470</v>
      </c>
      <c r="Z3" s="295">
        <v>1</v>
      </c>
      <c r="AA3" s="295">
        <v>0</v>
      </c>
      <c r="AB3" s="295">
        <v>0</v>
      </c>
      <c r="AC3" s="307">
        <v>1</v>
      </c>
      <c r="AD3" s="295">
        <v>1</v>
      </c>
      <c r="AE3" s="295">
        <v>0</v>
      </c>
      <c r="AF3" s="295">
        <v>0</v>
      </c>
      <c r="AG3" s="307">
        <v>1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Canadaalltestshistplayed</f>
        <v>307</v>
      </c>
      <c r="AT3" s="214" t="s">
        <v>101</v>
      </c>
      <c r="AU3" s="215">
        <f>CanadaRWChistplayed</f>
        <v>32</v>
      </c>
    </row>
    <row r="4" spans="1:47" ht="14.95" customHeight="1" thickBot="1" x14ac:dyDescent="0.3">
      <c r="A4" s="363" t="s">
        <v>498</v>
      </c>
      <c r="B4" s="305" t="s">
        <v>45</v>
      </c>
      <c r="C4" s="290" t="s">
        <v>95</v>
      </c>
      <c r="D4" s="290" t="s">
        <v>466</v>
      </c>
      <c r="E4" s="291" t="s">
        <v>3</v>
      </c>
      <c r="F4" s="291">
        <v>23</v>
      </c>
      <c r="G4" s="291">
        <v>24</v>
      </c>
      <c r="H4" s="692" t="s">
        <v>80</v>
      </c>
      <c r="I4" s="692" t="s">
        <v>80</v>
      </c>
      <c r="J4" s="692">
        <v>2</v>
      </c>
      <c r="K4" s="692">
        <v>2</v>
      </c>
      <c r="L4" s="692">
        <v>0</v>
      </c>
      <c r="M4" s="692">
        <v>3</v>
      </c>
      <c r="N4" s="692">
        <v>2</v>
      </c>
      <c r="O4" s="692">
        <v>0</v>
      </c>
      <c r="P4" s="692" t="s">
        <v>80</v>
      </c>
      <c r="Q4" s="692" t="s">
        <v>80</v>
      </c>
      <c r="R4" s="692">
        <v>1</v>
      </c>
      <c r="S4" s="716">
        <v>3845</v>
      </c>
      <c r="T4" s="297" t="s">
        <v>499</v>
      </c>
      <c r="U4" s="295" t="s">
        <v>438</v>
      </c>
      <c r="V4" s="295" t="s">
        <v>469</v>
      </c>
      <c r="W4" s="295" t="s">
        <v>157</v>
      </c>
      <c r="X4" s="294" t="s">
        <v>468</v>
      </c>
      <c r="Y4" s="296" t="s">
        <v>470</v>
      </c>
      <c r="Z4" s="295">
        <v>1</v>
      </c>
      <c r="AA4" s="295">
        <v>0</v>
      </c>
      <c r="AB4" s="295">
        <v>0</v>
      </c>
      <c r="AC4" s="307">
        <v>1</v>
      </c>
      <c r="AD4" s="295">
        <v>1</v>
      </c>
      <c r="AE4" s="295">
        <v>0</v>
      </c>
      <c r="AF4" s="295">
        <v>0</v>
      </c>
      <c r="AG4" s="307">
        <v>1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Canadaalltestshistwon</f>
        <v>114</v>
      </c>
      <c r="AT4" s="216" t="s">
        <v>102</v>
      </c>
      <c r="AU4" s="217">
        <f>CanadaRWChistwon</f>
        <v>7</v>
      </c>
    </row>
    <row r="5" spans="1:47" ht="14.95" customHeight="1" thickBot="1" x14ac:dyDescent="0.3">
      <c r="A5" s="363" t="s">
        <v>243</v>
      </c>
      <c r="B5" s="305" t="s">
        <v>257</v>
      </c>
      <c r="C5" s="508" t="s">
        <v>60</v>
      </c>
      <c r="D5" s="290" t="s">
        <v>569</v>
      </c>
      <c r="E5" s="291" t="s">
        <v>1</v>
      </c>
      <c r="F5" s="291">
        <v>34</v>
      </c>
      <c r="G5" s="291">
        <v>20</v>
      </c>
      <c r="H5" s="692">
        <v>1</v>
      </c>
      <c r="I5" s="692">
        <v>0</v>
      </c>
      <c r="J5" s="692">
        <v>5</v>
      </c>
      <c r="K5" s="692">
        <v>3</v>
      </c>
      <c r="L5" s="692">
        <v>0</v>
      </c>
      <c r="M5" s="692">
        <v>1</v>
      </c>
      <c r="N5" s="692">
        <v>0</v>
      </c>
      <c r="O5" s="692">
        <v>0</v>
      </c>
      <c r="P5" s="692">
        <v>0</v>
      </c>
      <c r="Q5" s="692">
        <v>0</v>
      </c>
      <c r="R5" s="692">
        <v>2</v>
      </c>
      <c r="S5" s="295">
        <v>11587</v>
      </c>
      <c r="T5" s="730" t="s">
        <v>570</v>
      </c>
      <c r="U5" s="295" t="s">
        <v>163</v>
      </c>
      <c r="V5" s="295" t="s">
        <v>181</v>
      </c>
      <c r="W5" s="295" t="s">
        <v>157</v>
      </c>
      <c r="X5" s="295" t="s">
        <v>421</v>
      </c>
      <c r="Y5" s="295" t="s">
        <v>456</v>
      </c>
      <c r="Z5" s="295">
        <v>1</v>
      </c>
      <c r="AA5" s="307">
        <v>1</v>
      </c>
      <c r="AB5" s="307">
        <v>0</v>
      </c>
      <c r="AC5" s="307">
        <v>0</v>
      </c>
      <c r="AD5" s="307">
        <v>1</v>
      </c>
      <c r="AE5" s="307">
        <v>1</v>
      </c>
      <c r="AF5" s="307">
        <v>0</v>
      </c>
      <c r="AG5" s="307">
        <v>0</v>
      </c>
      <c r="AH5" s="307">
        <v>0</v>
      </c>
      <c r="AI5" s="307">
        <v>0</v>
      </c>
      <c r="AJ5" s="307">
        <v>0</v>
      </c>
      <c r="AK5" s="307">
        <v>0</v>
      </c>
      <c r="AL5" s="307">
        <v>0</v>
      </c>
      <c r="AM5" s="307">
        <v>0</v>
      </c>
      <c r="AN5" s="307">
        <v>0</v>
      </c>
      <c r="AO5" s="307">
        <v>0</v>
      </c>
      <c r="AQ5" s="216" t="s">
        <v>107</v>
      </c>
      <c r="AR5" s="217">
        <f>Canadaalltestshistdrawn</f>
        <v>6</v>
      </c>
      <c r="AT5" s="216" t="s">
        <v>107</v>
      </c>
      <c r="AU5" s="217">
        <f>CanadaRWChistdrawn</f>
        <v>2</v>
      </c>
    </row>
    <row r="6" spans="1:47" ht="14.95" customHeight="1" thickBot="1" x14ac:dyDescent="0.3">
      <c r="A6" s="384" t="s">
        <v>249</v>
      </c>
      <c r="B6" s="283" t="s">
        <v>257</v>
      </c>
      <c r="C6" s="312" t="s">
        <v>36</v>
      </c>
      <c r="D6" s="270" t="s">
        <v>592</v>
      </c>
      <c r="E6" s="271" t="s">
        <v>3</v>
      </c>
      <c r="F6" s="271">
        <v>15</v>
      </c>
      <c r="G6" s="271">
        <v>57</v>
      </c>
      <c r="H6" s="691">
        <v>0</v>
      </c>
      <c r="I6" s="691">
        <v>0</v>
      </c>
      <c r="J6" s="691">
        <v>2</v>
      </c>
      <c r="K6" s="691">
        <v>1</v>
      </c>
      <c r="L6" s="691">
        <v>0</v>
      </c>
      <c r="M6" s="691">
        <v>1</v>
      </c>
      <c r="N6" s="691">
        <v>0</v>
      </c>
      <c r="O6" s="691">
        <v>0</v>
      </c>
      <c r="P6" s="691">
        <v>1</v>
      </c>
      <c r="Q6" s="691">
        <v>0</v>
      </c>
      <c r="R6" s="691">
        <v>8</v>
      </c>
      <c r="S6" s="277">
        <v>11187</v>
      </c>
      <c r="T6" s="281" t="s">
        <v>591</v>
      </c>
      <c r="U6" s="279" t="s">
        <v>164</v>
      </c>
      <c r="V6" s="277" t="s">
        <v>234</v>
      </c>
      <c r="W6" s="277" t="s">
        <v>157</v>
      </c>
      <c r="X6" s="277" t="s">
        <v>170</v>
      </c>
      <c r="Y6" s="273" t="s">
        <v>237</v>
      </c>
      <c r="Z6" s="273">
        <v>1</v>
      </c>
      <c r="AA6" s="287">
        <v>0</v>
      </c>
      <c r="AB6" s="287">
        <v>0</v>
      </c>
      <c r="AC6" s="287">
        <v>1</v>
      </c>
      <c r="AD6" s="287">
        <v>0</v>
      </c>
      <c r="AE6" s="287">
        <v>0</v>
      </c>
      <c r="AF6" s="287">
        <v>0</v>
      </c>
      <c r="AG6" s="287">
        <v>0</v>
      </c>
      <c r="AH6" s="287">
        <v>1</v>
      </c>
      <c r="AI6" s="287">
        <v>0</v>
      </c>
      <c r="AJ6" s="287">
        <v>0</v>
      </c>
      <c r="AK6" s="287">
        <v>1</v>
      </c>
      <c r="AL6" s="287">
        <v>0</v>
      </c>
      <c r="AM6" s="287">
        <v>0</v>
      </c>
      <c r="AN6" s="287">
        <v>0</v>
      </c>
      <c r="AO6" s="287">
        <v>0</v>
      </c>
      <c r="AQ6" s="216" t="s">
        <v>103</v>
      </c>
      <c r="AR6" s="217">
        <f>Canadaalltestshistlost</f>
        <v>187</v>
      </c>
      <c r="AT6" s="216" t="s">
        <v>103</v>
      </c>
      <c r="AU6" s="217">
        <f>CanadaRWChistlost</f>
        <v>23</v>
      </c>
    </row>
    <row r="7" spans="1:47" ht="14.95" customHeight="1" thickBot="1" x14ac:dyDescent="0.3">
      <c r="A7" s="399" t="s">
        <v>179</v>
      </c>
      <c r="B7" s="341" t="s">
        <v>226</v>
      </c>
      <c r="C7" s="374" t="s">
        <v>31</v>
      </c>
      <c r="D7" s="319" t="s">
        <v>642</v>
      </c>
      <c r="E7" s="314" t="s">
        <v>3</v>
      </c>
      <c r="F7" s="314">
        <v>10</v>
      </c>
      <c r="G7" s="314">
        <v>63</v>
      </c>
      <c r="H7" s="699" t="s">
        <v>80</v>
      </c>
      <c r="I7" s="699" t="s">
        <v>80</v>
      </c>
      <c r="J7" s="699">
        <v>1</v>
      </c>
      <c r="K7" s="699">
        <v>1</v>
      </c>
      <c r="L7" s="699">
        <v>0</v>
      </c>
      <c r="M7" s="699">
        <v>1</v>
      </c>
      <c r="N7" s="699">
        <v>0</v>
      </c>
      <c r="O7" s="699">
        <v>0</v>
      </c>
      <c r="P7" s="699" t="s">
        <v>80</v>
      </c>
      <c r="Q7" s="699" t="s">
        <v>80</v>
      </c>
      <c r="R7" s="699">
        <v>9</v>
      </c>
      <c r="S7" s="320">
        <v>6452</v>
      </c>
      <c r="T7" s="372" t="s">
        <v>662</v>
      </c>
      <c r="U7" s="321" t="s">
        <v>182</v>
      </c>
      <c r="V7" s="320" t="s">
        <v>215</v>
      </c>
      <c r="W7" s="320" t="s">
        <v>256</v>
      </c>
      <c r="X7" s="317" t="s">
        <v>186</v>
      </c>
      <c r="Y7" s="322" t="s">
        <v>661</v>
      </c>
      <c r="Z7" s="317">
        <v>1</v>
      </c>
      <c r="AA7" s="725">
        <v>0</v>
      </c>
      <c r="AB7" s="725">
        <v>0</v>
      </c>
      <c r="AC7" s="725">
        <v>1</v>
      </c>
      <c r="AD7" s="725">
        <v>0</v>
      </c>
      <c r="AE7" s="725">
        <v>0</v>
      </c>
      <c r="AF7" s="725">
        <v>0</v>
      </c>
      <c r="AG7" s="725">
        <v>0</v>
      </c>
      <c r="AH7" s="725">
        <v>0</v>
      </c>
      <c r="AI7" s="725">
        <v>0</v>
      </c>
      <c r="AJ7" s="725">
        <v>0</v>
      </c>
      <c r="AK7" s="725">
        <v>0</v>
      </c>
      <c r="AL7" s="725">
        <v>1</v>
      </c>
      <c r="AM7" s="725">
        <v>0</v>
      </c>
      <c r="AN7" s="725">
        <v>0</v>
      </c>
      <c r="AO7" s="725">
        <v>1</v>
      </c>
      <c r="AQ7" s="216" t="s">
        <v>108</v>
      </c>
      <c r="AR7" s="217">
        <f>Canadaalltestshistptsscored</f>
        <v>6437</v>
      </c>
      <c r="AT7" s="216" t="s">
        <v>108</v>
      </c>
      <c r="AU7" s="217">
        <f>CanadaRWChistptsscored</f>
        <v>541</v>
      </c>
    </row>
    <row r="8" spans="1:47" ht="14.95" customHeight="1" thickBot="1" x14ac:dyDescent="0.3">
      <c r="A8" s="399" t="s">
        <v>666</v>
      </c>
      <c r="B8" s="341" t="s">
        <v>260</v>
      </c>
      <c r="C8" s="374" t="s">
        <v>91</v>
      </c>
      <c r="D8" s="319" t="s">
        <v>667</v>
      </c>
      <c r="E8" s="314" t="s">
        <v>3</v>
      </c>
      <c r="F8" s="314">
        <v>24</v>
      </c>
      <c r="G8" s="314">
        <v>35</v>
      </c>
      <c r="H8" s="699" t="s">
        <v>80</v>
      </c>
      <c r="I8" s="699" t="s">
        <v>80</v>
      </c>
      <c r="J8" s="699">
        <v>3</v>
      </c>
      <c r="K8" s="699">
        <v>3</v>
      </c>
      <c r="L8" s="699">
        <v>0</v>
      </c>
      <c r="M8" s="699">
        <v>1</v>
      </c>
      <c r="N8" s="699">
        <v>1</v>
      </c>
      <c r="O8" s="699">
        <v>0</v>
      </c>
      <c r="P8" s="699" t="s">
        <v>80</v>
      </c>
      <c r="Q8" s="699" t="s">
        <v>80</v>
      </c>
      <c r="R8" s="699">
        <v>5</v>
      </c>
      <c r="S8" s="320">
        <v>8000</v>
      </c>
      <c r="T8" s="372" t="s">
        <v>670</v>
      </c>
      <c r="U8" s="321" t="s">
        <v>182</v>
      </c>
      <c r="V8" s="320" t="s">
        <v>235</v>
      </c>
      <c r="W8" s="320" t="s">
        <v>215</v>
      </c>
      <c r="X8" s="320" t="s">
        <v>661</v>
      </c>
      <c r="Y8" s="320" t="s">
        <v>470</v>
      </c>
      <c r="Z8" s="317">
        <v>1</v>
      </c>
      <c r="AA8" s="725">
        <v>0</v>
      </c>
      <c r="AB8" s="725">
        <v>0</v>
      </c>
      <c r="AC8" s="725">
        <v>1</v>
      </c>
      <c r="AD8" s="725">
        <v>0</v>
      </c>
      <c r="AE8" s="725">
        <v>0</v>
      </c>
      <c r="AF8" s="725">
        <v>0</v>
      </c>
      <c r="AG8" s="725">
        <v>0</v>
      </c>
      <c r="AH8" s="725">
        <v>0</v>
      </c>
      <c r="AI8" s="725">
        <v>0</v>
      </c>
      <c r="AJ8" s="725">
        <v>0</v>
      </c>
      <c r="AK8" s="725">
        <v>0</v>
      </c>
      <c r="AL8" s="725">
        <v>1</v>
      </c>
      <c r="AM8" s="725">
        <v>0</v>
      </c>
      <c r="AN8" s="725">
        <v>0</v>
      </c>
      <c r="AO8" s="725">
        <v>1</v>
      </c>
      <c r="AQ8" s="216" t="s">
        <v>109</v>
      </c>
      <c r="AR8" s="217">
        <f>Canadaalltestshistptsagainst</f>
        <v>8302</v>
      </c>
      <c r="AT8" s="216" t="s">
        <v>109</v>
      </c>
      <c r="AU8" s="217">
        <f>CanadaRWChistptsagainst</f>
        <v>1015</v>
      </c>
    </row>
    <row r="9" spans="1:47" ht="14.95" customHeight="1" thickBot="1" x14ac:dyDescent="0.3">
      <c r="A9" s="284" t="s">
        <v>263</v>
      </c>
      <c r="B9" s="283" t="s">
        <v>45</v>
      </c>
      <c r="C9" s="312" t="s">
        <v>94</v>
      </c>
      <c r="D9" s="283" t="s">
        <v>174</v>
      </c>
      <c r="E9" s="271" t="s">
        <v>3</v>
      </c>
      <c r="F9" s="271">
        <v>21</v>
      </c>
      <c r="G9" s="271">
        <v>31</v>
      </c>
      <c r="H9" s="691" t="s">
        <v>80</v>
      </c>
      <c r="I9" s="691" t="s">
        <v>80</v>
      </c>
      <c r="J9" s="691">
        <v>3</v>
      </c>
      <c r="K9" s="691">
        <v>3</v>
      </c>
      <c r="L9" s="691">
        <v>0</v>
      </c>
      <c r="M9" s="691">
        <v>0</v>
      </c>
      <c r="N9" s="691">
        <v>2</v>
      </c>
      <c r="O9" s="691">
        <v>0</v>
      </c>
      <c r="P9" s="691" t="s">
        <v>80</v>
      </c>
      <c r="Q9" s="691" t="s">
        <v>80</v>
      </c>
      <c r="R9" s="691">
        <v>3</v>
      </c>
      <c r="S9" s="273">
        <v>2500</v>
      </c>
      <c r="T9" s="286" t="s">
        <v>511</v>
      </c>
      <c r="U9" s="273" t="s">
        <v>781</v>
      </c>
      <c r="V9" s="273" t="s">
        <v>782</v>
      </c>
      <c r="W9" s="273" t="s">
        <v>157</v>
      </c>
      <c r="X9" s="273" t="s">
        <v>280</v>
      </c>
      <c r="Y9" s="273" t="s">
        <v>783</v>
      </c>
      <c r="Z9" s="273">
        <v>1</v>
      </c>
      <c r="AA9" s="287">
        <v>0</v>
      </c>
      <c r="AB9" s="287">
        <v>0</v>
      </c>
      <c r="AC9" s="287">
        <v>1</v>
      </c>
      <c r="AD9" s="287">
        <v>0</v>
      </c>
      <c r="AE9" s="287">
        <v>0</v>
      </c>
      <c r="AF9" s="287">
        <v>0</v>
      </c>
      <c r="AG9" s="287">
        <v>0</v>
      </c>
      <c r="AH9" s="287">
        <v>1</v>
      </c>
      <c r="AI9" s="287">
        <v>0</v>
      </c>
      <c r="AJ9" s="287">
        <v>0</v>
      </c>
      <c r="AK9" s="287">
        <v>1</v>
      </c>
      <c r="AL9" s="287">
        <v>0</v>
      </c>
      <c r="AM9" s="287">
        <v>0</v>
      </c>
      <c r="AN9" s="287">
        <v>0</v>
      </c>
      <c r="AO9" s="287">
        <v>0</v>
      </c>
      <c r="AQ9" s="216" t="s">
        <v>100</v>
      </c>
      <c r="AR9" s="217">
        <f>Canadaalltestshisttriesscored</f>
        <v>693</v>
      </c>
      <c r="AT9" s="216" t="s">
        <v>100</v>
      </c>
      <c r="AU9" s="217">
        <f>CanadaRWChisttriesscored</f>
        <v>58</v>
      </c>
    </row>
    <row r="10" spans="1:47" ht="14.95" customHeight="1" thickBot="1" x14ac:dyDescent="0.3">
      <c r="A10" s="284" t="s">
        <v>264</v>
      </c>
      <c r="B10" s="283" t="s">
        <v>45</v>
      </c>
      <c r="C10" s="283" t="s">
        <v>38</v>
      </c>
      <c r="D10" s="283" t="s">
        <v>719</v>
      </c>
      <c r="E10" s="285" t="s">
        <v>3</v>
      </c>
      <c r="F10" s="285">
        <v>17</v>
      </c>
      <c r="G10" s="271">
        <v>38</v>
      </c>
      <c r="H10" s="691" t="s">
        <v>80</v>
      </c>
      <c r="I10" s="691" t="s">
        <v>80</v>
      </c>
      <c r="J10" s="691">
        <v>2</v>
      </c>
      <c r="K10" s="691">
        <v>2</v>
      </c>
      <c r="L10" s="691">
        <v>0</v>
      </c>
      <c r="M10" s="691">
        <v>1</v>
      </c>
      <c r="N10" s="691">
        <v>1</v>
      </c>
      <c r="O10" s="691">
        <v>0</v>
      </c>
      <c r="P10" s="691" t="s">
        <v>80</v>
      </c>
      <c r="Q10" s="691" t="s">
        <v>80</v>
      </c>
      <c r="R10" s="691">
        <v>6</v>
      </c>
      <c r="S10" s="273">
        <v>15482</v>
      </c>
      <c r="T10" s="286" t="s">
        <v>788</v>
      </c>
      <c r="U10" s="273" t="s">
        <v>164</v>
      </c>
      <c r="V10" s="273" t="s">
        <v>782</v>
      </c>
      <c r="W10" s="273" t="s">
        <v>157</v>
      </c>
      <c r="X10" s="273" t="s">
        <v>252</v>
      </c>
      <c r="Y10" s="273" t="s">
        <v>791</v>
      </c>
      <c r="Z10" s="287">
        <v>1</v>
      </c>
      <c r="AA10" s="287">
        <v>0</v>
      </c>
      <c r="AB10" s="287">
        <v>0</v>
      </c>
      <c r="AC10" s="287">
        <v>1</v>
      </c>
      <c r="AD10" s="287">
        <v>0</v>
      </c>
      <c r="AE10" s="287">
        <v>0</v>
      </c>
      <c r="AF10" s="287">
        <v>0</v>
      </c>
      <c r="AG10" s="287">
        <v>0</v>
      </c>
      <c r="AH10" s="287">
        <v>1</v>
      </c>
      <c r="AI10" s="287">
        <v>0</v>
      </c>
      <c r="AJ10" s="287">
        <v>0</v>
      </c>
      <c r="AK10" s="287">
        <v>1</v>
      </c>
      <c r="AL10" s="287">
        <v>0</v>
      </c>
      <c r="AM10" s="287">
        <v>0</v>
      </c>
      <c r="AN10" s="287">
        <v>0</v>
      </c>
      <c r="AO10" s="287">
        <v>0</v>
      </c>
      <c r="AQ10" s="1112" t="s">
        <v>143</v>
      </c>
      <c r="AR10" s="1113"/>
      <c r="AS10" s="1113"/>
      <c r="AT10" s="1113"/>
      <c r="AU10" s="1113"/>
    </row>
    <row r="11" spans="1:47" ht="14.95" thickBot="1" x14ac:dyDescent="0.3">
      <c r="A11" s="284" t="s">
        <v>266</v>
      </c>
      <c r="B11" s="283" t="s">
        <v>45</v>
      </c>
      <c r="C11" s="283" t="s">
        <v>96</v>
      </c>
      <c r="D11" s="283" t="s">
        <v>734</v>
      </c>
      <c r="E11" s="230" t="s">
        <v>3</v>
      </c>
      <c r="F11" s="230">
        <v>27</v>
      </c>
      <c r="G11" s="271">
        <v>33</v>
      </c>
      <c r="H11" s="691" t="s">
        <v>80</v>
      </c>
      <c r="I11" s="691" t="s">
        <v>80</v>
      </c>
      <c r="J11" s="691">
        <v>2</v>
      </c>
      <c r="K11" s="691">
        <v>1</v>
      </c>
      <c r="L11" s="691">
        <v>0</v>
      </c>
      <c r="M11" s="691">
        <v>5</v>
      </c>
      <c r="N11" s="691">
        <v>0</v>
      </c>
      <c r="O11" s="691">
        <v>0</v>
      </c>
      <c r="P11" s="691" t="s">
        <v>80</v>
      </c>
      <c r="Q11" s="691" t="s">
        <v>80</v>
      </c>
      <c r="R11" s="691">
        <v>3</v>
      </c>
      <c r="S11" s="718" t="s">
        <v>157</v>
      </c>
      <c r="T11" s="624" t="s">
        <v>485</v>
      </c>
      <c r="U11" s="273" t="s">
        <v>216</v>
      </c>
      <c r="V11" s="273" t="s">
        <v>185</v>
      </c>
      <c r="W11" s="273" t="s">
        <v>157</v>
      </c>
      <c r="X11" s="273" t="s">
        <v>278</v>
      </c>
      <c r="Y11" s="273" t="s">
        <v>791</v>
      </c>
      <c r="Z11" s="287">
        <v>1</v>
      </c>
      <c r="AA11" s="287">
        <v>0</v>
      </c>
      <c r="AB11" s="287">
        <v>0</v>
      </c>
      <c r="AC11" s="287">
        <v>1</v>
      </c>
      <c r="AD11" s="287">
        <v>0</v>
      </c>
      <c r="AE11" s="287">
        <v>0</v>
      </c>
      <c r="AF11" s="287">
        <v>0</v>
      </c>
      <c r="AG11" s="287">
        <v>0</v>
      </c>
      <c r="AH11" s="287">
        <v>1</v>
      </c>
      <c r="AI11" s="287">
        <v>0</v>
      </c>
      <c r="AJ11" s="287">
        <v>0</v>
      </c>
      <c r="AK11" s="287">
        <v>1</v>
      </c>
      <c r="AL11" s="287">
        <v>0</v>
      </c>
      <c r="AM11" s="287">
        <v>0</v>
      </c>
      <c r="AN11" s="287">
        <v>0</v>
      </c>
      <c r="AO11" s="287">
        <v>0</v>
      </c>
    </row>
    <row r="12" spans="1:47" ht="14.95" thickBot="1" x14ac:dyDescent="0.3">
      <c r="A12" s="335"/>
      <c r="B12" s="125"/>
      <c r="C12" s="1125" t="s">
        <v>238</v>
      </c>
      <c r="D12" s="1126"/>
      <c r="E12" s="1127"/>
      <c r="F12" s="527">
        <f>SUM(F3:F4)</f>
        <v>41</v>
      </c>
      <c r="G12" s="527">
        <f>SUM(G3:G4)</f>
        <v>49</v>
      </c>
      <c r="H12" s="527" t="s">
        <v>80</v>
      </c>
      <c r="I12" s="527" t="s">
        <v>80</v>
      </c>
      <c r="J12" s="527">
        <f t="shared" ref="J12:O12" si="0">SUM(J3:J4)</f>
        <v>5</v>
      </c>
      <c r="K12" s="527">
        <f t="shared" si="0"/>
        <v>2</v>
      </c>
      <c r="L12" s="527">
        <f t="shared" si="0"/>
        <v>0</v>
      </c>
      <c r="M12" s="527">
        <f t="shared" si="0"/>
        <v>4</v>
      </c>
      <c r="N12" s="527">
        <f t="shared" si="0"/>
        <v>2</v>
      </c>
      <c r="O12" s="527">
        <f t="shared" si="0"/>
        <v>0</v>
      </c>
      <c r="P12" s="527" t="s">
        <v>80</v>
      </c>
      <c r="Q12" s="527" t="s">
        <v>80</v>
      </c>
      <c r="R12" s="527">
        <f>SUM(R3:R4)</f>
        <v>4</v>
      </c>
      <c r="S12" s="181"/>
      <c r="T12" s="181"/>
      <c r="U12" s="181"/>
      <c r="V12" s="181"/>
      <c r="W12" s="181"/>
      <c r="X12" s="182"/>
      <c r="Y12" s="248" t="s">
        <v>238</v>
      </c>
      <c r="Z12" s="527">
        <f t="shared" ref="Z12:AO12" si="1">SUM(Z3:Z4)</f>
        <v>2</v>
      </c>
      <c r="AA12" s="527">
        <f t="shared" si="1"/>
        <v>0</v>
      </c>
      <c r="AB12" s="527">
        <f t="shared" si="1"/>
        <v>0</v>
      </c>
      <c r="AC12" s="527">
        <f t="shared" si="1"/>
        <v>2</v>
      </c>
      <c r="AD12" s="528">
        <f t="shared" si="1"/>
        <v>2</v>
      </c>
      <c r="AE12" s="528">
        <f t="shared" si="1"/>
        <v>0</v>
      </c>
      <c r="AF12" s="528">
        <f t="shared" si="1"/>
        <v>0</v>
      </c>
      <c r="AG12" s="528">
        <f t="shared" si="1"/>
        <v>2</v>
      </c>
      <c r="AH12" s="529">
        <f t="shared" si="1"/>
        <v>0</v>
      </c>
      <c r="AI12" s="529">
        <f t="shared" si="1"/>
        <v>0</v>
      </c>
      <c r="AJ12" s="529">
        <f t="shared" si="1"/>
        <v>0</v>
      </c>
      <c r="AK12" s="529">
        <f t="shared" si="1"/>
        <v>0</v>
      </c>
      <c r="AL12" s="527">
        <f t="shared" si="1"/>
        <v>0</v>
      </c>
      <c r="AM12" s="527">
        <f t="shared" si="1"/>
        <v>0</v>
      </c>
      <c r="AN12" s="527">
        <f t="shared" si="1"/>
        <v>0</v>
      </c>
      <c r="AO12" s="527">
        <f t="shared" si="1"/>
        <v>0</v>
      </c>
    </row>
    <row r="13" spans="1:47" ht="14.95" thickBot="1" x14ac:dyDescent="0.3">
      <c r="A13" s="335"/>
      <c r="B13" s="125"/>
      <c r="C13" s="1128" t="s">
        <v>244</v>
      </c>
      <c r="D13" s="1129"/>
      <c r="E13" s="1130"/>
      <c r="F13" s="547">
        <f>SUM(F5:F8)</f>
        <v>83</v>
      </c>
      <c r="G13" s="547">
        <f t="shared" ref="G13:R13" si="2">SUM(G5:G8)</f>
        <v>175</v>
      </c>
      <c r="H13" s="547">
        <f t="shared" si="2"/>
        <v>1</v>
      </c>
      <c r="I13" s="547">
        <f t="shared" si="2"/>
        <v>0</v>
      </c>
      <c r="J13" s="547">
        <f t="shared" si="2"/>
        <v>11</v>
      </c>
      <c r="K13" s="547">
        <f t="shared" si="2"/>
        <v>8</v>
      </c>
      <c r="L13" s="547">
        <f t="shared" si="2"/>
        <v>0</v>
      </c>
      <c r="M13" s="547">
        <f t="shared" si="2"/>
        <v>4</v>
      </c>
      <c r="N13" s="547">
        <f t="shared" si="2"/>
        <v>1</v>
      </c>
      <c r="O13" s="547">
        <f t="shared" si="2"/>
        <v>0</v>
      </c>
      <c r="P13" s="547">
        <f t="shared" si="2"/>
        <v>1</v>
      </c>
      <c r="Q13" s="547">
        <f t="shared" si="2"/>
        <v>0</v>
      </c>
      <c r="R13" s="547">
        <f t="shared" si="2"/>
        <v>24</v>
      </c>
      <c r="S13" s="564"/>
      <c r="T13" s="564"/>
      <c r="U13" s="564"/>
      <c r="V13" s="564"/>
      <c r="W13" s="564"/>
      <c r="X13" s="175"/>
      <c r="Y13" s="249" t="s">
        <v>244</v>
      </c>
      <c r="Z13" s="547">
        <f t="shared" ref="Z13:AO13" si="3">SUM(Z5:Z8)</f>
        <v>4</v>
      </c>
      <c r="AA13" s="547">
        <f t="shared" si="3"/>
        <v>1</v>
      </c>
      <c r="AB13" s="547">
        <f t="shared" si="3"/>
        <v>0</v>
      </c>
      <c r="AC13" s="547">
        <f t="shared" si="3"/>
        <v>3</v>
      </c>
      <c r="AD13" s="549">
        <f t="shared" si="3"/>
        <v>1</v>
      </c>
      <c r="AE13" s="549">
        <f t="shared" si="3"/>
        <v>1</v>
      </c>
      <c r="AF13" s="549">
        <f t="shared" si="3"/>
        <v>0</v>
      </c>
      <c r="AG13" s="549">
        <f t="shared" si="3"/>
        <v>0</v>
      </c>
      <c r="AH13" s="550">
        <f t="shared" si="3"/>
        <v>1</v>
      </c>
      <c r="AI13" s="550">
        <f t="shared" si="3"/>
        <v>0</v>
      </c>
      <c r="AJ13" s="550">
        <f t="shared" si="3"/>
        <v>0</v>
      </c>
      <c r="AK13" s="550">
        <f t="shared" si="3"/>
        <v>1</v>
      </c>
      <c r="AL13" s="547">
        <f t="shared" si="3"/>
        <v>2</v>
      </c>
      <c r="AM13" s="547">
        <f t="shared" si="3"/>
        <v>0</v>
      </c>
      <c r="AN13" s="547">
        <f t="shared" si="3"/>
        <v>0</v>
      </c>
      <c r="AO13" s="547">
        <f t="shared" si="3"/>
        <v>2</v>
      </c>
    </row>
    <row r="14" spans="1:47" ht="14.95" thickBot="1" x14ac:dyDescent="0.3">
      <c r="A14" s="335"/>
      <c r="B14" s="125"/>
      <c r="C14" s="1078" t="s">
        <v>267</v>
      </c>
      <c r="D14" s="1110"/>
      <c r="E14" s="1111"/>
      <c r="F14" s="329">
        <f>SUM(F9:F11)</f>
        <v>65</v>
      </c>
      <c r="G14" s="329">
        <f>SUM(G9:G11)</f>
        <v>102</v>
      </c>
      <c r="H14" s="329" t="s">
        <v>80</v>
      </c>
      <c r="I14" s="329" t="s">
        <v>80</v>
      </c>
      <c r="J14" s="329">
        <f t="shared" ref="J14:O14" si="4">SUM(J9:J11)</f>
        <v>7</v>
      </c>
      <c r="K14" s="329">
        <f t="shared" si="4"/>
        <v>6</v>
      </c>
      <c r="L14" s="329">
        <f t="shared" si="4"/>
        <v>0</v>
      </c>
      <c r="M14" s="329">
        <f t="shared" si="4"/>
        <v>6</v>
      </c>
      <c r="N14" s="329">
        <f t="shared" si="4"/>
        <v>3</v>
      </c>
      <c r="O14" s="329">
        <f t="shared" si="4"/>
        <v>0</v>
      </c>
      <c r="P14" s="329" t="s">
        <v>80</v>
      </c>
      <c r="Q14" s="329" t="s">
        <v>80</v>
      </c>
      <c r="R14" s="329">
        <f>SUM(R9:R11)</f>
        <v>12</v>
      </c>
      <c r="S14" s="326"/>
      <c r="T14" s="326"/>
      <c r="U14" s="326"/>
      <c r="V14" s="326"/>
      <c r="W14" s="326"/>
      <c r="X14" s="327"/>
      <c r="Y14" s="334" t="s">
        <v>267</v>
      </c>
      <c r="Z14" s="329">
        <f t="shared" ref="Z14:AO14" si="5">SUM(Z9:Z11)</f>
        <v>3</v>
      </c>
      <c r="AA14" s="329">
        <f t="shared" si="5"/>
        <v>0</v>
      </c>
      <c r="AB14" s="329">
        <f t="shared" si="5"/>
        <v>0</v>
      </c>
      <c r="AC14" s="329">
        <f t="shared" si="5"/>
        <v>3</v>
      </c>
      <c r="AD14" s="330">
        <f t="shared" si="5"/>
        <v>0</v>
      </c>
      <c r="AE14" s="330">
        <f t="shared" si="5"/>
        <v>0</v>
      </c>
      <c r="AF14" s="330">
        <f t="shared" si="5"/>
        <v>0</v>
      </c>
      <c r="AG14" s="330">
        <f t="shared" si="5"/>
        <v>0</v>
      </c>
      <c r="AH14" s="331">
        <f t="shared" si="5"/>
        <v>3</v>
      </c>
      <c r="AI14" s="331">
        <f t="shared" si="5"/>
        <v>0</v>
      </c>
      <c r="AJ14" s="331">
        <f t="shared" si="5"/>
        <v>0</v>
      </c>
      <c r="AK14" s="331">
        <f t="shared" si="5"/>
        <v>3</v>
      </c>
      <c r="AL14" s="329">
        <f t="shared" si="5"/>
        <v>0</v>
      </c>
      <c r="AM14" s="329">
        <f t="shared" si="5"/>
        <v>0</v>
      </c>
      <c r="AN14" s="329">
        <f t="shared" si="5"/>
        <v>0</v>
      </c>
      <c r="AO14" s="329">
        <f t="shared" si="5"/>
        <v>0</v>
      </c>
    </row>
    <row r="15" spans="1:47" ht="14.95" customHeight="1" thickBot="1" x14ac:dyDescent="0.3">
      <c r="A15" s="179"/>
      <c r="B15" s="180"/>
      <c r="C15" s="1087" t="s">
        <v>81</v>
      </c>
      <c r="D15" s="1088"/>
      <c r="E15" s="1089"/>
      <c r="F15" s="231">
        <f>SUM(F3:F11)</f>
        <v>189</v>
      </c>
      <c r="G15" s="231">
        <f t="shared" ref="G15:R15" si="6">SUM(G3:G11)</f>
        <v>326</v>
      </c>
      <c r="H15" s="231">
        <f t="shared" si="6"/>
        <v>1</v>
      </c>
      <c r="I15" s="231">
        <f t="shared" si="6"/>
        <v>0</v>
      </c>
      <c r="J15" s="231">
        <f t="shared" si="6"/>
        <v>23</v>
      </c>
      <c r="K15" s="231">
        <f t="shared" si="6"/>
        <v>16</v>
      </c>
      <c r="L15" s="231">
        <f t="shared" si="6"/>
        <v>0</v>
      </c>
      <c r="M15" s="231">
        <f t="shared" si="6"/>
        <v>14</v>
      </c>
      <c r="N15" s="231">
        <f t="shared" si="6"/>
        <v>6</v>
      </c>
      <c r="O15" s="231">
        <f t="shared" si="6"/>
        <v>0</v>
      </c>
      <c r="P15" s="231">
        <f t="shared" si="6"/>
        <v>1</v>
      </c>
      <c r="Q15" s="231">
        <f t="shared" si="6"/>
        <v>0</v>
      </c>
      <c r="R15" s="231">
        <f t="shared" si="6"/>
        <v>40</v>
      </c>
      <c r="S15" s="228"/>
      <c r="T15" s="228"/>
      <c r="U15" s="228"/>
      <c r="V15" s="228"/>
      <c r="W15" s="228"/>
      <c r="X15" s="13"/>
      <c r="Y15" s="246" t="s">
        <v>81</v>
      </c>
      <c r="Z15" s="231">
        <f t="shared" ref="Z15:AO15" si="7">SUM(Z3:Z11)</f>
        <v>9</v>
      </c>
      <c r="AA15" s="231">
        <f t="shared" si="7"/>
        <v>1</v>
      </c>
      <c r="AB15" s="231">
        <f t="shared" si="7"/>
        <v>0</v>
      </c>
      <c r="AC15" s="231">
        <f t="shared" si="7"/>
        <v>8</v>
      </c>
      <c r="AD15" s="229">
        <f t="shared" si="7"/>
        <v>3</v>
      </c>
      <c r="AE15" s="229">
        <f t="shared" si="7"/>
        <v>1</v>
      </c>
      <c r="AF15" s="229">
        <f t="shared" si="7"/>
        <v>0</v>
      </c>
      <c r="AG15" s="229">
        <f t="shared" si="7"/>
        <v>2</v>
      </c>
      <c r="AH15" s="230">
        <f t="shared" si="7"/>
        <v>4</v>
      </c>
      <c r="AI15" s="230">
        <f t="shared" si="7"/>
        <v>0</v>
      </c>
      <c r="AJ15" s="230">
        <f t="shared" si="7"/>
        <v>0</v>
      </c>
      <c r="AK15" s="230">
        <f t="shared" si="7"/>
        <v>4</v>
      </c>
      <c r="AL15" s="231">
        <f t="shared" si="7"/>
        <v>2</v>
      </c>
      <c r="AM15" s="231">
        <f t="shared" si="7"/>
        <v>0</v>
      </c>
      <c r="AN15" s="231">
        <f t="shared" si="7"/>
        <v>0</v>
      </c>
      <c r="AO15" s="231">
        <f t="shared" si="7"/>
        <v>2</v>
      </c>
    </row>
    <row r="16" spans="1:47" ht="14.95" customHeight="1" x14ac:dyDescent="0.25">
      <c r="A16" s="1108" t="s">
        <v>594</v>
      </c>
      <c r="B16" s="1063"/>
      <c r="C16" s="1063"/>
      <c r="D16" s="1063"/>
      <c r="E16" s="1063"/>
      <c r="F16" s="1063"/>
      <c r="G16" s="1063"/>
      <c r="H16" s="1063"/>
      <c r="I16" s="1063"/>
      <c r="J16" s="1063"/>
      <c r="K16" s="1063"/>
      <c r="L16" s="1063"/>
      <c r="M16" s="1063"/>
      <c r="N16" s="1063"/>
      <c r="O16" s="1063"/>
      <c r="P16" s="1063"/>
      <c r="Q16" s="1063"/>
      <c r="R16" s="1063"/>
      <c r="S16" s="1063"/>
      <c r="T16" s="1063"/>
      <c r="U16" s="1063"/>
      <c r="V16" s="1063"/>
      <c r="W16" s="1063"/>
      <c r="X16" s="1063"/>
      <c r="Y16" s="1063"/>
      <c r="Z16" s="1063"/>
      <c r="AA16" s="1063"/>
      <c r="AB16" s="1063"/>
      <c r="AC16" s="1063"/>
      <c r="AD16" s="1063"/>
      <c r="AE16" s="1063"/>
      <c r="AF16" s="1063"/>
      <c r="AG16" s="1063"/>
      <c r="AH16" s="1063"/>
      <c r="AI16" s="1063"/>
      <c r="AJ16" s="1063"/>
      <c r="AK16" s="1063"/>
      <c r="AL16" s="1063"/>
      <c r="AM16" s="1063"/>
      <c r="AN16" s="1063"/>
      <c r="AO16" s="1063"/>
    </row>
    <row r="17" spans="1:18" ht="14.95" customHeight="1" x14ac:dyDescent="0.25">
      <c r="A17" t="s">
        <v>663</v>
      </c>
    </row>
    <row r="18" spans="1:18" x14ac:dyDescent="0.25">
      <c r="A18" s="1108" t="s">
        <v>721</v>
      </c>
      <c r="B18" s="1109"/>
      <c r="C18" s="1109"/>
      <c r="D18" s="1109"/>
      <c r="E18" s="1109"/>
      <c r="F18" s="1109"/>
      <c r="G18" s="1109"/>
      <c r="H18" s="1109"/>
      <c r="I18" s="1109"/>
      <c r="J18" s="1109"/>
      <c r="K18" s="1109"/>
      <c r="L18" s="1109"/>
      <c r="M18" s="1109"/>
      <c r="N18" s="1109"/>
      <c r="O18" s="1109"/>
      <c r="P18" s="1109"/>
      <c r="Q18" s="1109"/>
      <c r="R18" s="1109"/>
    </row>
    <row r="19" spans="1:18" x14ac:dyDescent="0.25">
      <c r="A19" s="1108" t="s">
        <v>736</v>
      </c>
      <c r="B19" s="1063"/>
      <c r="C19" s="1063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</row>
    <row r="20" spans="1:18" x14ac:dyDescent="0.25">
      <c r="A20" s="1108" t="s">
        <v>568</v>
      </c>
      <c r="B20" s="1063"/>
      <c r="C20" s="1063"/>
      <c r="D20" s="1063"/>
      <c r="E20" s="1063"/>
      <c r="F20" s="1063"/>
      <c r="G20" s="1063"/>
      <c r="H20" s="1063"/>
      <c r="I20" s="1063"/>
      <c r="J20" s="1063"/>
      <c r="K20" s="1063"/>
      <c r="L20" s="1063"/>
      <c r="M20" s="1063"/>
      <c r="N20" s="1063"/>
      <c r="O20" s="1063"/>
      <c r="P20" s="1063"/>
      <c r="Q20" s="1063"/>
      <c r="R20" s="1063"/>
    </row>
    <row r="21" spans="1:18" x14ac:dyDescent="0.25">
      <c r="A21" s="1108" t="s">
        <v>671</v>
      </c>
      <c r="B21" s="1063"/>
      <c r="C21" s="1063"/>
      <c r="D21" s="1063"/>
      <c r="E21" s="1063"/>
      <c r="F21" s="1063"/>
      <c r="G21" s="1063"/>
      <c r="H21" s="1063"/>
      <c r="I21" s="1063"/>
      <c r="J21" s="1063"/>
      <c r="K21" s="1063"/>
      <c r="L21" s="1063"/>
      <c r="M21" s="1063"/>
      <c r="N21" s="1063"/>
      <c r="O21" s="1063"/>
      <c r="P21" s="1063"/>
      <c r="Q21" s="1063"/>
      <c r="R21" s="1063"/>
    </row>
    <row r="22" spans="1:18" x14ac:dyDescent="0.25">
      <c r="A22" s="343" t="s">
        <v>279</v>
      </c>
    </row>
    <row r="23" spans="1:18" x14ac:dyDescent="0.25">
      <c r="A23" s="376"/>
      <c r="B23" t="s">
        <v>44</v>
      </c>
    </row>
    <row r="24" spans="1:18" x14ac:dyDescent="0.25">
      <c r="A24" s="377"/>
      <c r="B24" t="s">
        <v>42</v>
      </c>
    </row>
    <row r="25" spans="1:18" x14ac:dyDescent="0.25">
      <c r="A25" s="378"/>
      <c r="B25" t="s">
        <v>43</v>
      </c>
    </row>
    <row r="26" spans="1:18" ht="16.3" x14ac:dyDescent="0.3">
      <c r="A26" s="792" t="s">
        <v>28</v>
      </c>
    </row>
  </sheetData>
  <mergeCells count="20">
    <mergeCell ref="Z1:AC1"/>
    <mergeCell ref="AD1:AG1"/>
    <mergeCell ref="AH1:AK1"/>
    <mergeCell ref="AL1:AO1"/>
    <mergeCell ref="C15:E15"/>
    <mergeCell ref="P1:R1"/>
    <mergeCell ref="A1:C1"/>
    <mergeCell ref="E1:G1"/>
    <mergeCell ref="H1:I1"/>
    <mergeCell ref="J1:M1"/>
    <mergeCell ref="N1:O1"/>
    <mergeCell ref="C12:E12"/>
    <mergeCell ref="C13:E13"/>
    <mergeCell ref="A18:R18"/>
    <mergeCell ref="C14:E14"/>
    <mergeCell ref="AQ10:AU10"/>
    <mergeCell ref="A16:AO16"/>
    <mergeCell ref="A21:R21"/>
    <mergeCell ref="A20:R20"/>
    <mergeCell ref="A19:R19"/>
  </mergeCells>
  <pageMargins left="0.7" right="0.7" top="0.75" bottom="0.75" header="0.3" footer="0.3"/>
  <pageSetup paperSize="9" orientation="portrait" r:id="rId1"/>
  <ignoredErrors>
    <ignoredError sqref="F12:AO12 S13:Y13 C13:R13 Z13:AO13 S14:Y14 P14:Q14 H14:I14 F14:G14 J14:O14 R14 Z14:AO14" formulaRange="1"/>
    <ignoredError sqref="T6:T8 T10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507B-80A2-4BD3-A441-FA3199D9253D}">
  <dimension ref="A1:AU25"/>
  <sheetViews>
    <sheetView zoomScale="90" zoomScaleNormal="90" workbookViewId="0">
      <selection activeCell="U19" sqref="U19"/>
    </sheetView>
  </sheetViews>
  <sheetFormatPr defaultRowHeight="14.3" x14ac:dyDescent="0.25"/>
  <cols>
    <col min="1" max="1" width="7.375" customWidth="1"/>
    <col min="2" max="2" width="5.125" customWidth="1"/>
    <col min="3" max="3" width="11.375" bestFit="1" customWidth="1"/>
    <col min="4" max="4" width="4.375" bestFit="1" customWidth="1"/>
    <col min="5" max="14" width="3.625" customWidth="1"/>
    <col min="15" max="15" width="3.875" customWidth="1"/>
    <col min="16" max="18" width="3.625" customWidth="1"/>
    <col min="19" max="20" width="6.375" customWidth="1"/>
    <col min="21" max="21" width="21.25" bestFit="1" customWidth="1"/>
    <col min="22" max="22" width="28.375" bestFit="1" customWidth="1"/>
    <col min="23" max="23" width="20.25" bestFit="1" customWidth="1"/>
    <col min="24" max="24" width="21.25" bestFit="1" customWidth="1"/>
    <col min="25" max="25" width="22.375" bestFit="1" customWidth="1"/>
    <col min="26" max="41" width="3.625" customWidth="1"/>
    <col min="42" max="42" width="1.625" customWidth="1"/>
    <col min="43" max="43" width="12.375" bestFit="1" customWidth="1"/>
    <col min="46" max="46" width="12.375" bestFit="1" customWidth="1"/>
  </cols>
  <sheetData>
    <row r="1" spans="1:47" ht="14.95" customHeight="1" thickBot="1" x14ac:dyDescent="0.3">
      <c r="A1" s="1137" t="s">
        <v>402</v>
      </c>
      <c r="B1" s="1138"/>
      <c r="C1" s="1138"/>
      <c r="D1" s="418"/>
      <c r="E1" s="1139" t="s">
        <v>24</v>
      </c>
      <c r="F1" s="1140"/>
      <c r="G1" s="1141"/>
      <c r="H1" s="1139" t="s">
        <v>23</v>
      </c>
      <c r="I1" s="1141"/>
      <c r="J1" s="1142" t="s">
        <v>6</v>
      </c>
      <c r="K1" s="1143"/>
      <c r="L1" s="1143"/>
      <c r="M1" s="1144"/>
      <c r="N1" s="1142" t="s">
        <v>7</v>
      </c>
      <c r="O1" s="1144"/>
      <c r="P1" s="1142" t="s">
        <v>25</v>
      </c>
      <c r="Q1" s="1143"/>
      <c r="R1" s="1144"/>
      <c r="S1" s="419" t="s">
        <v>8</v>
      </c>
      <c r="T1" s="419" t="s">
        <v>9</v>
      </c>
      <c r="U1" s="788" t="s">
        <v>10</v>
      </c>
      <c r="V1" s="805" t="s">
        <v>11</v>
      </c>
      <c r="W1" s="788" t="s">
        <v>211</v>
      </c>
      <c r="X1" s="806" t="s">
        <v>26</v>
      </c>
      <c r="Y1" s="807" t="s">
        <v>27</v>
      </c>
      <c r="Z1" s="1134" t="s">
        <v>20</v>
      </c>
      <c r="AA1" s="1135"/>
      <c r="AB1" s="1135"/>
      <c r="AC1" s="1136"/>
      <c r="AD1" s="1134" t="s">
        <v>61</v>
      </c>
      <c r="AE1" s="1135"/>
      <c r="AF1" s="1135"/>
      <c r="AG1" s="1136"/>
      <c r="AH1" s="1134" t="s">
        <v>62</v>
      </c>
      <c r="AI1" s="1135"/>
      <c r="AJ1" s="1135"/>
      <c r="AK1" s="1136"/>
      <c r="AL1" s="1134" t="s">
        <v>63</v>
      </c>
      <c r="AM1" s="1135"/>
      <c r="AN1" s="1135"/>
      <c r="AO1" s="1136"/>
      <c r="AQ1" s="595" t="s">
        <v>193</v>
      </c>
      <c r="AR1" s="218"/>
      <c r="AS1" s="218"/>
      <c r="AT1" s="595" t="s">
        <v>193</v>
      </c>
    </row>
    <row r="2" spans="1:47" ht="14.95" customHeight="1" thickBot="1" x14ac:dyDescent="0.3">
      <c r="A2" s="420" t="s">
        <v>19</v>
      </c>
      <c r="B2" s="421" t="s">
        <v>18</v>
      </c>
      <c r="C2" s="422" t="s">
        <v>17</v>
      </c>
      <c r="D2" s="423" t="s">
        <v>41</v>
      </c>
      <c r="E2" s="423" t="s">
        <v>16</v>
      </c>
      <c r="F2" s="423" t="s">
        <v>4</v>
      </c>
      <c r="G2" s="423" t="s">
        <v>5</v>
      </c>
      <c r="H2" s="424" t="s">
        <v>12</v>
      </c>
      <c r="I2" s="424" t="s">
        <v>3</v>
      </c>
      <c r="J2" s="424" t="s">
        <v>12</v>
      </c>
      <c r="K2" s="424" t="s">
        <v>13</v>
      </c>
      <c r="L2" s="424" t="s">
        <v>2</v>
      </c>
      <c r="M2" s="424" t="s">
        <v>14</v>
      </c>
      <c r="N2" s="424" t="s">
        <v>15</v>
      </c>
      <c r="O2" s="424" t="s">
        <v>16</v>
      </c>
      <c r="P2" s="424" t="s">
        <v>21</v>
      </c>
      <c r="Q2" s="424" t="s">
        <v>22</v>
      </c>
      <c r="R2" s="424" t="s">
        <v>12</v>
      </c>
      <c r="S2" s="425"/>
      <c r="T2" s="426"/>
      <c r="U2" s="427"/>
      <c r="V2" s="425"/>
      <c r="W2" s="425"/>
      <c r="X2" s="428"/>
      <c r="Y2" s="429"/>
      <c r="Z2" s="430" t="s">
        <v>0</v>
      </c>
      <c r="AA2" s="430" t="s">
        <v>1</v>
      </c>
      <c r="AB2" s="430" t="s">
        <v>2</v>
      </c>
      <c r="AC2" s="430" t="s">
        <v>3</v>
      </c>
      <c r="AD2" s="430" t="s">
        <v>0</v>
      </c>
      <c r="AE2" s="430" t="s">
        <v>1</v>
      </c>
      <c r="AF2" s="430" t="s">
        <v>2</v>
      </c>
      <c r="AG2" s="430" t="s">
        <v>3</v>
      </c>
      <c r="AH2" s="430" t="s">
        <v>0</v>
      </c>
      <c r="AI2" s="430" t="s">
        <v>1</v>
      </c>
      <c r="AJ2" s="430" t="s">
        <v>2</v>
      </c>
      <c r="AK2" s="430" t="s">
        <v>3</v>
      </c>
      <c r="AL2" s="430" t="s">
        <v>0</v>
      </c>
      <c r="AM2" s="430" t="s">
        <v>1</v>
      </c>
      <c r="AN2" s="430" t="s">
        <v>2</v>
      </c>
      <c r="AO2" s="430" t="s">
        <v>3</v>
      </c>
      <c r="AQ2" s="205" t="s">
        <v>81</v>
      </c>
      <c r="AR2" s="138"/>
      <c r="AT2" s="225" t="s">
        <v>99</v>
      </c>
      <c r="AU2" s="225"/>
    </row>
    <row r="3" spans="1:47" ht="14.95" customHeight="1" thickBot="1" x14ac:dyDescent="0.35">
      <c r="A3" s="417" t="s">
        <v>229</v>
      </c>
      <c r="B3" s="290" t="s">
        <v>45</v>
      </c>
      <c r="C3" s="290" t="s">
        <v>94</v>
      </c>
      <c r="D3" s="300" t="s">
        <v>423</v>
      </c>
      <c r="E3" s="291" t="s">
        <v>1</v>
      </c>
      <c r="F3" s="291">
        <v>40</v>
      </c>
      <c r="G3" s="291">
        <v>16</v>
      </c>
      <c r="H3" s="692" t="s">
        <v>80</v>
      </c>
      <c r="I3" s="692" t="s">
        <v>80</v>
      </c>
      <c r="J3" s="692">
        <v>5</v>
      </c>
      <c r="K3" s="692">
        <v>3</v>
      </c>
      <c r="L3" s="692">
        <v>0</v>
      </c>
      <c r="M3" s="692">
        <v>3</v>
      </c>
      <c r="N3" s="692">
        <v>1</v>
      </c>
      <c r="O3" s="692">
        <v>0</v>
      </c>
      <c r="P3" s="692" t="s">
        <v>80</v>
      </c>
      <c r="Q3" s="692" t="s">
        <v>80</v>
      </c>
      <c r="R3" s="692">
        <v>1</v>
      </c>
      <c r="S3" s="292">
        <v>11432</v>
      </c>
      <c r="T3" s="302" t="s">
        <v>424</v>
      </c>
      <c r="U3" s="294" t="s">
        <v>425</v>
      </c>
      <c r="V3" s="292" t="s">
        <v>427</v>
      </c>
      <c r="W3" s="292" t="s">
        <v>157</v>
      </c>
      <c r="X3" s="295" t="s">
        <v>426</v>
      </c>
      <c r="Y3" s="296" t="s">
        <v>531</v>
      </c>
      <c r="Z3" s="716">
        <v>1</v>
      </c>
      <c r="AA3" s="716">
        <v>1</v>
      </c>
      <c r="AB3" s="716">
        <v>0</v>
      </c>
      <c r="AC3" s="717">
        <v>0</v>
      </c>
      <c r="AD3" s="716">
        <v>1</v>
      </c>
      <c r="AE3" s="716">
        <v>1</v>
      </c>
      <c r="AF3" s="716">
        <v>0</v>
      </c>
      <c r="AG3" s="717">
        <v>0</v>
      </c>
      <c r="AH3" s="716">
        <v>0</v>
      </c>
      <c r="AI3" s="716">
        <v>0</v>
      </c>
      <c r="AJ3" s="716">
        <v>0</v>
      </c>
      <c r="AK3" s="717">
        <v>0</v>
      </c>
      <c r="AL3" s="716">
        <v>0</v>
      </c>
      <c r="AM3" s="716">
        <v>0</v>
      </c>
      <c r="AN3" s="716">
        <v>0</v>
      </c>
      <c r="AO3" s="717">
        <v>0</v>
      </c>
      <c r="AQ3" s="214" t="s">
        <v>101</v>
      </c>
      <c r="AR3" s="215">
        <f>Chilealltesthistplayed</f>
        <v>213</v>
      </c>
      <c r="AT3" s="214" t="s">
        <v>101</v>
      </c>
      <c r="AU3" s="215">
        <f>ChileRWChistplayed</f>
        <v>4</v>
      </c>
    </row>
    <row r="4" spans="1:47" ht="14.95" customHeight="1" thickBot="1" x14ac:dyDescent="0.35">
      <c r="A4" s="712" t="s">
        <v>239</v>
      </c>
      <c r="B4" s="270" t="s">
        <v>487</v>
      </c>
      <c r="C4" s="270" t="s">
        <v>484</v>
      </c>
      <c r="D4" s="269" t="s">
        <v>488</v>
      </c>
      <c r="E4" s="271" t="s">
        <v>1</v>
      </c>
      <c r="F4" s="271">
        <v>35</v>
      </c>
      <c r="G4" s="271">
        <v>21</v>
      </c>
      <c r="H4" s="691" t="s">
        <v>80</v>
      </c>
      <c r="I4" s="691" t="s">
        <v>80</v>
      </c>
      <c r="J4" s="691">
        <v>4</v>
      </c>
      <c r="K4" s="691">
        <v>2</v>
      </c>
      <c r="L4" s="691">
        <v>0</v>
      </c>
      <c r="M4" s="691">
        <v>3</v>
      </c>
      <c r="N4" s="691">
        <v>2</v>
      </c>
      <c r="O4" s="691">
        <v>0</v>
      </c>
      <c r="P4" s="691" t="s">
        <v>80</v>
      </c>
      <c r="Q4" s="691" t="s">
        <v>80</v>
      </c>
      <c r="R4" s="691">
        <v>3</v>
      </c>
      <c r="S4" s="277">
        <v>1300</v>
      </c>
      <c r="T4" s="278" t="s">
        <v>490</v>
      </c>
      <c r="U4" s="279" t="s">
        <v>491</v>
      </c>
      <c r="V4" s="277" t="s">
        <v>493</v>
      </c>
      <c r="W4" s="277" t="s">
        <v>157</v>
      </c>
      <c r="X4" s="273" t="s">
        <v>494</v>
      </c>
      <c r="Y4" s="280" t="s">
        <v>492</v>
      </c>
      <c r="Z4" s="718">
        <v>1</v>
      </c>
      <c r="AA4" s="718">
        <v>1</v>
      </c>
      <c r="AB4" s="718">
        <v>0</v>
      </c>
      <c r="AC4" s="719">
        <v>0</v>
      </c>
      <c r="AD4" s="718">
        <v>0</v>
      </c>
      <c r="AE4" s="718">
        <v>0</v>
      </c>
      <c r="AF4" s="718">
        <v>0</v>
      </c>
      <c r="AG4" s="719">
        <v>0</v>
      </c>
      <c r="AH4" s="718">
        <v>1</v>
      </c>
      <c r="AI4" s="718">
        <v>1</v>
      </c>
      <c r="AJ4" s="718">
        <v>0</v>
      </c>
      <c r="AK4" s="719">
        <v>0</v>
      </c>
      <c r="AL4" s="718">
        <v>0</v>
      </c>
      <c r="AM4" s="718">
        <v>0</v>
      </c>
      <c r="AN4" s="718">
        <v>0</v>
      </c>
      <c r="AO4" s="719">
        <v>0</v>
      </c>
      <c r="AQ4" s="216" t="s">
        <v>102</v>
      </c>
      <c r="AR4" s="217">
        <f>Chilealltesthistwon</f>
        <v>86</v>
      </c>
      <c r="AT4" s="216" t="s">
        <v>102</v>
      </c>
      <c r="AU4" s="217">
        <f>ChileRWChistwon</f>
        <v>0</v>
      </c>
    </row>
    <row r="5" spans="1:47" ht="14.95" customHeight="1" thickBot="1" x14ac:dyDescent="0.35">
      <c r="A5" s="289" t="s">
        <v>523</v>
      </c>
      <c r="B5" s="290" t="s">
        <v>487</v>
      </c>
      <c r="C5" s="290" t="s">
        <v>484</v>
      </c>
      <c r="D5" s="300" t="s">
        <v>524</v>
      </c>
      <c r="E5" s="291" t="s">
        <v>1</v>
      </c>
      <c r="F5" s="291">
        <v>35</v>
      </c>
      <c r="G5" s="291">
        <v>20</v>
      </c>
      <c r="H5" s="692" t="s">
        <v>80</v>
      </c>
      <c r="I5" s="692" t="s">
        <v>80</v>
      </c>
      <c r="J5" s="692">
        <v>4</v>
      </c>
      <c r="K5" s="692">
        <v>3</v>
      </c>
      <c r="L5" s="692">
        <v>0</v>
      </c>
      <c r="M5" s="692">
        <v>3</v>
      </c>
      <c r="N5" s="692">
        <v>1</v>
      </c>
      <c r="O5" s="692">
        <v>0</v>
      </c>
      <c r="P5" s="692" t="s">
        <v>80</v>
      </c>
      <c r="Q5" s="692" t="s">
        <v>80</v>
      </c>
      <c r="R5" s="692">
        <v>2</v>
      </c>
      <c r="S5" s="292">
        <v>2500</v>
      </c>
      <c r="T5" s="302" t="s">
        <v>526</v>
      </c>
      <c r="U5" s="295" t="s">
        <v>426</v>
      </c>
      <c r="V5" s="292" t="s">
        <v>493</v>
      </c>
      <c r="W5" s="292" t="s">
        <v>157</v>
      </c>
      <c r="X5" s="295" t="s">
        <v>527</v>
      </c>
      <c r="Y5" s="296" t="s">
        <v>528</v>
      </c>
      <c r="Z5" s="295">
        <v>1</v>
      </c>
      <c r="AA5" s="295">
        <v>1</v>
      </c>
      <c r="AB5" s="295">
        <v>0</v>
      </c>
      <c r="AC5" s="307">
        <v>0</v>
      </c>
      <c r="AD5" s="295">
        <v>1</v>
      </c>
      <c r="AE5" s="295">
        <v>1</v>
      </c>
      <c r="AF5" s="295">
        <v>0</v>
      </c>
      <c r="AG5" s="307">
        <v>0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Chilealltesthistdrawn</f>
        <v>4</v>
      </c>
      <c r="AT5" s="216" t="s">
        <v>107</v>
      </c>
      <c r="AU5" s="217">
        <f>ChileRWChistdrawn</f>
        <v>0</v>
      </c>
    </row>
    <row r="6" spans="1:47" ht="14.95" customHeight="1" thickBot="1" x14ac:dyDescent="0.3">
      <c r="A6" s="289" t="s">
        <v>249</v>
      </c>
      <c r="B6" s="290" t="s">
        <v>487</v>
      </c>
      <c r="C6" s="290" t="s">
        <v>79</v>
      </c>
      <c r="D6" s="300" t="s">
        <v>582</v>
      </c>
      <c r="E6" s="291" t="s">
        <v>3</v>
      </c>
      <c r="F6" s="291">
        <v>16</v>
      </c>
      <c r="G6" s="291">
        <v>28</v>
      </c>
      <c r="H6" s="692" t="s">
        <v>80</v>
      </c>
      <c r="I6" s="692" t="s">
        <v>80</v>
      </c>
      <c r="J6" s="692">
        <v>1</v>
      </c>
      <c r="K6" s="692">
        <v>1</v>
      </c>
      <c r="L6" s="692">
        <v>0</v>
      </c>
      <c r="M6" s="692">
        <v>3</v>
      </c>
      <c r="N6" s="692">
        <v>1</v>
      </c>
      <c r="O6" s="692">
        <v>0</v>
      </c>
      <c r="P6" s="692" t="s">
        <v>80</v>
      </c>
      <c r="Q6" s="692" t="s">
        <v>80</v>
      </c>
      <c r="R6" s="692">
        <v>4</v>
      </c>
      <c r="S6" s="865" t="s">
        <v>157</v>
      </c>
      <c r="T6" s="293" t="s">
        <v>584</v>
      </c>
      <c r="U6" s="294" t="s">
        <v>585</v>
      </c>
      <c r="V6" s="292" t="s">
        <v>586</v>
      </c>
      <c r="W6" s="292" t="s">
        <v>157</v>
      </c>
      <c r="X6" s="295" t="s">
        <v>241</v>
      </c>
      <c r="Y6" s="296" t="s">
        <v>587</v>
      </c>
      <c r="Z6" s="295">
        <v>1</v>
      </c>
      <c r="AA6" s="295">
        <v>0</v>
      </c>
      <c r="AB6" s="295">
        <v>0</v>
      </c>
      <c r="AC6" s="307">
        <v>1</v>
      </c>
      <c r="AD6" s="295">
        <v>1</v>
      </c>
      <c r="AE6" s="295">
        <v>0</v>
      </c>
      <c r="AF6" s="295">
        <v>0</v>
      </c>
      <c r="AG6" s="307">
        <v>1</v>
      </c>
      <c r="AH6" s="295">
        <v>0</v>
      </c>
      <c r="AI6" s="295">
        <v>0</v>
      </c>
      <c r="AJ6" s="295">
        <v>0</v>
      </c>
      <c r="AK6" s="307">
        <v>0</v>
      </c>
      <c r="AL6" s="295">
        <v>0</v>
      </c>
      <c r="AM6" s="295">
        <v>0</v>
      </c>
      <c r="AN6" s="295">
        <v>0</v>
      </c>
      <c r="AO6" s="307">
        <v>0</v>
      </c>
      <c r="AQ6" s="216" t="s">
        <v>103</v>
      </c>
      <c r="AR6" s="217">
        <f>Chilealltesthistlost</f>
        <v>123</v>
      </c>
      <c r="AT6" s="216" t="s">
        <v>103</v>
      </c>
      <c r="AU6" s="217">
        <f>ChileRWChistlost</f>
        <v>4</v>
      </c>
    </row>
    <row r="7" spans="1:47" ht="14.95" customHeight="1" thickBot="1" x14ac:dyDescent="0.3">
      <c r="A7" s="268" t="s">
        <v>253</v>
      </c>
      <c r="B7" s="270" t="s">
        <v>487</v>
      </c>
      <c r="C7" s="270" t="s">
        <v>79</v>
      </c>
      <c r="D7" s="269" t="s">
        <v>457</v>
      </c>
      <c r="E7" s="271" t="s">
        <v>1</v>
      </c>
      <c r="F7" s="271">
        <v>21</v>
      </c>
      <c r="G7" s="271">
        <v>18</v>
      </c>
      <c r="H7" s="691" t="s">
        <v>80</v>
      </c>
      <c r="I7" s="691" t="s">
        <v>80</v>
      </c>
      <c r="J7" s="691">
        <v>3</v>
      </c>
      <c r="K7" s="691">
        <v>3</v>
      </c>
      <c r="L7" s="691">
        <v>0</v>
      </c>
      <c r="M7" s="691">
        <v>0</v>
      </c>
      <c r="N7" s="691">
        <v>0</v>
      </c>
      <c r="O7" s="691">
        <v>0</v>
      </c>
      <c r="P7" s="691" t="s">
        <v>80</v>
      </c>
      <c r="Q7" s="691" t="s">
        <v>80</v>
      </c>
      <c r="R7" s="691">
        <v>2</v>
      </c>
      <c r="S7" s="866">
        <v>10250</v>
      </c>
      <c r="T7" s="288" t="s">
        <v>598</v>
      </c>
      <c r="U7" s="273" t="s">
        <v>585</v>
      </c>
      <c r="V7" s="277" t="s">
        <v>532</v>
      </c>
      <c r="W7" s="279" t="s">
        <v>157</v>
      </c>
      <c r="X7" s="279" t="s">
        <v>587</v>
      </c>
      <c r="Y7" s="273" t="s">
        <v>597</v>
      </c>
      <c r="Z7" s="273">
        <v>1</v>
      </c>
      <c r="AA7" s="273">
        <v>1</v>
      </c>
      <c r="AB7" s="273">
        <v>0</v>
      </c>
      <c r="AC7" s="287">
        <v>0</v>
      </c>
      <c r="AD7" s="273">
        <v>0</v>
      </c>
      <c r="AE7" s="273">
        <v>0</v>
      </c>
      <c r="AF7" s="273">
        <v>0</v>
      </c>
      <c r="AG7" s="287">
        <v>0</v>
      </c>
      <c r="AH7" s="273">
        <v>1</v>
      </c>
      <c r="AI7" s="273">
        <v>1</v>
      </c>
      <c r="AJ7" s="273">
        <v>0</v>
      </c>
      <c r="AK7" s="287">
        <v>0</v>
      </c>
      <c r="AL7" s="273">
        <v>0</v>
      </c>
      <c r="AM7" s="273">
        <v>0</v>
      </c>
      <c r="AN7" s="273">
        <v>0</v>
      </c>
      <c r="AO7" s="287">
        <v>0</v>
      </c>
      <c r="AQ7" s="216" t="s">
        <v>108</v>
      </c>
      <c r="AR7" s="217">
        <f>Chilealltesthistptsscored</f>
        <v>4584</v>
      </c>
      <c r="AT7" s="216" t="s">
        <v>108</v>
      </c>
      <c r="AU7" s="217">
        <f>ChileRWChistptsscored</f>
        <v>27</v>
      </c>
    </row>
    <row r="8" spans="1:47" ht="14.95" customHeight="1" thickBot="1" x14ac:dyDescent="0.35">
      <c r="A8" s="340" t="s">
        <v>666</v>
      </c>
      <c r="B8" s="341" t="s">
        <v>487</v>
      </c>
      <c r="C8" s="341" t="s">
        <v>92</v>
      </c>
      <c r="D8" s="373" t="s">
        <v>667</v>
      </c>
      <c r="E8" s="314" t="s">
        <v>2</v>
      </c>
      <c r="F8" s="314">
        <v>32</v>
      </c>
      <c r="G8" s="314">
        <v>32</v>
      </c>
      <c r="H8" s="699" t="s">
        <v>80</v>
      </c>
      <c r="I8" s="699" t="s">
        <v>80</v>
      </c>
      <c r="J8" s="699">
        <v>4</v>
      </c>
      <c r="K8" s="699">
        <v>3</v>
      </c>
      <c r="L8" s="699">
        <v>0</v>
      </c>
      <c r="M8" s="699">
        <v>2</v>
      </c>
      <c r="N8" s="699">
        <v>1</v>
      </c>
      <c r="O8" s="699">
        <v>0</v>
      </c>
      <c r="P8" s="699" t="s">
        <v>80</v>
      </c>
      <c r="Q8" s="699" t="s">
        <v>80</v>
      </c>
      <c r="R8" s="699">
        <v>5</v>
      </c>
      <c r="S8" s="320">
        <v>8000</v>
      </c>
      <c r="T8" s="803" t="s">
        <v>686</v>
      </c>
      <c r="U8" s="321" t="s">
        <v>177</v>
      </c>
      <c r="V8" s="320" t="s">
        <v>215</v>
      </c>
      <c r="W8" s="317" t="s">
        <v>235</v>
      </c>
      <c r="X8" s="317" t="s">
        <v>163</v>
      </c>
      <c r="Y8" s="322" t="s">
        <v>661</v>
      </c>
      <c r="Z8" s="317">
        <v>1</v>
      </c>
      <c r="AA8" s="317">
        <v>0</v>
      </c>
      <c r="AB8" s="317">
        <v>1</v>
      </c>
      <c r="AC8" s="725">
        <v>0</v>
      </c>
      <c r="AD8" s="317">
        <v>0</v>
      </c>
      <c r="AE8" s="317">
        <v>0</v>
      </c>
      <c r="AF8" s="317">
        <v>0</v>
      </c>
      <c r="AG8" s="725">
        <v>0</v>
      </c>
      <c r="AH8" s="317">
        <v>0</v>
      </c>
      <c r="AI8" s="317">
        <v>0</v>
      </c>
      <c r="AJ8" s="317">
        <v>0</v>
      </c>
      <c r="AK8" s="725">
        <v>0</v>
      </c>
      <c r="AL8" s="317">
        <v>1</v>
      </c>
      <c r="AM8" s="317">
        <v>0</v>
      </c>
      <c r="AN8" s="317">
        <v>1</v>
      </c>
      <c r="AO8" s="725">
        <v>0</v>
      </c>
      <c r="AQ8" s="216" t="s">
        <v>109</v>
      </c>
      <c r="AR8" s="217">
        <f>Chilealltesthistptsconc</f>
        <v>5575</v>
      </c>
      <c r="AT8" s="216" t="s">
        <v>109</v>
      </c>
      <c r="AU8" s="217">
        <f>ChileRWChistptsconc</f>
        <v>215</v>
      </c>
    </row>
    <row r="9" spans="1:47" ht="14.95" customHeight="1" thickBot="1" x14ac:dyDescent="0.35">
      <c r="A9" s="304" t="s">
        <v>683</v>
      </c>
      <c r="B9" s="305" t="s">
        <v>487</v>
      </c>
      <c r="C9" s="308" t="s">
        <v>92</v>
      </c>
      <c r="D9" s="576" t="s">
        <v>689</v>
      </c>
      <c r="E9" s="306" t="s">
        <v>1</v>
      </c>
      <c r="F9" s="291">
        <v>31</v>
      </c>
      <c r="G9" s="291">
        <v>12</v>
      </c>
      <c r="H9" s="692" t="s">
        <v>80</v>
      </c>
      <c r="I9" s="692" t="s">
        <v>80</v>
      </c>
      <c r="J9" s="692">
        <v>3</v>
      </c>
      <c r="K9" s="692">
        <v>2</v>
      </c>
      <c r="L9" s="692">
        <v>0</v>
      </c>
      <c r="M9" s="692">
        <v>4</v>
      </c>
      <c r="N9" s="692">
        <v>0</v>
      </c>
      <c r="O9" s="692">
        <v>0</v>
      </c>
      <c r="P9" s="692" t="s">
        <v>80</v>
      </c>
      <c r="Q9" s="692" t="s">
        <v>80</v>
      </c>
      <c r="R9" s="692">
        <v>2</v>
      </c>
      <c r="S9" s="295">
        <v>21754</v>
      </c>
      <c r="T9" s="310" t="s">
        <v>691</v>
      </c>
      <c r="U9" s="295" t="s">
        <v>163</v>
      </c>
      <c r="V9" s="295" t="s">
        <v>586</v>
      </c>
      <c r="W9" s="295" t="s">
        <v>157</v>
      </c>
      <c r="X9" s="295" t="s">
        <v>241</v>
      </c>
      <c r="Y9" s="295" t="s">
        <v>587</v>
      </c>
      <c r="Z9" s="808">
        <v>1</v>
      </c>
      <c r="AA9" s="808">
        <v>1</v>
      </c>
      <c r="AB9" s="808">
        <v>0</v>
      </c>
      <c r="AC9" s="808">
        <v>0</v>
      </c>
      <c r="AD9" s="808">
        <v>1</v>
      </c>
      <c r="AE9" s="808">
        <v>1</v>
      </c>
      <c r="AF9" s="808">
        <v>0</v>
      </c>
      <c r="AG9" s="808">
        <v>0</v>
      </c>
      <c r="AH9" s="808">
        <v>0</v>
      </c>
      <c r="AI9" s="808">
        <v>0</v>
      </c>
      <c r="AJ9" s="808">
        <v>0</v>
      </c>
      <c r="AK9" s="808">
        <v>0</v>
      </c>
      <c r="AL9" s="808">
        <v>0</v>
      </c>
      <c r="AM9" s="808">
        <v>0</v>
      </c>
      <c r="AN9" s="808">
        <v>0</v>
      </c>
      <c r="AO9" s="808">
        <v>0</v>
      </c>
      <c r="AT9" s="216" t="s">
        <v>100</v>
      </c>
      <c r="AU9" s="217">
        <f>ChileRWChisttriesscored</f>
        <v>4</v>
      </c>
    </row>
    <row r="10" spans="1:47" ht="14.95" customHeight="1" thickBot="1" x14ac:dyDescent="0.3">
      <c r="A10" s="284" t="s">
        <v>266</v>
      </c>
      <c r="B10" s="283" t="s">
        <v>605</v>
      </c>
      <c r="C10" s="283" t="s">
        <v>33</v>
      </c>
      <c r="D10" s="495" t="s">
        <v>454</v>
      </c>
      <c r="E10" s="285" t="s">
        <v>3</v>
      </c>
      <c r="F10" s="271">
        <v>19</v>
      </c>
      <c r="G10" s="271">
        <v>34</v>
      </c>
      <c r="H10" s="691" t="s">
        <v>80</v>
      </c>
      <c r="I10" s="691" t="s">
        <v>80</v>
      </c>
      <c r="J10" s="691">
        <v>3</v>
      </c>
      <c r="K10" s="691">
        <v>2</v>
      </c>
      <c r="L10" s="691">
        <v>0</v>
      </c>
      <c r="M10" s="691">
        <v>0</v>
      </c>
      <c r="N10" s="691">
        <v>1</v>
      </c>
      <c r="O10" s="691">
        <v>0</v>
      </c>
      <c r="P10" s="691" t="s">
        <v>80</v>
      </c>
      <c r="Q10" s="691" t="s">
        <v>80</v>
      </c>
      <c r="R10" s="691">
        <v>5</v>
      </c>
      <c r="S10" s="273">
        <v>12011</v>
      </c>
      <c r="T10" s="286" t="s">
        <v>444</v>
      </c>
      <c r="U10" s="273" t="s">
        <v>421</v>
      </c>
      <c r="V10" s="273" t="s">
        <v>168</v>
      </c>
      <c r="W10" s="273" t="s">
        <v>806</v>
      </c>
      <c r="X10" s="273" t="s">
        <v>280</v>
      </c>
      <c r="Y10" s="591" t="s">
        <v>783</v>
      </c>
      <c r="Z10" s="722">
        <v>1</v>
      </c>
      <c r="AA10" s="722">
        <v>0</v>
      </c>
      <c r="AB10" s="722">
        <v>0</v>
      </c>
      <c r="AC10" s="722">
        <v>1</v>
      </c>
      <c r="AD10" s="722">
        <v>0</v>
      </c>
      <c r="AE10" s="722">
        <v>0</v>
      </c>
      <c r="AF10" s="722">
        <v>0</v>
      </c>
      <c r="AG10" s="722">
        <v>0</v>
      </c>
      <c r="AH10" s="722">
        <v>1</v>
      </c>
      <c r="AI10" s="722">
        <v>0</v>
      </c>
      <c r="AJ10" s="722">
        <v>0</v>
      </c>
      <c r="AK10" s="722">
        <v>1</v>
      </c>
      <c r="AL10" s="722">
        <v>0</v>
      </c>
      <c r="AM10" s="722">
        <v>0</v>
      </c>
      <c r="AN10" s="722">
        <v>0</v>
      </c>
      <c r="AO10" s="722">
        <v>0</v>
      </c>
    </row>
    <row r="11" spans="1:47" ht="14.95" customHeight="1" thickBot="1" x14ac:dyDescent="0.3">
      <c r="A11" s="335"/>
      <c r="B11" s="125"/>
      <c r="C11" s="1131" t="s">
        <v>245</v>
      </c>
      <c r="D11" s="1132"/>
      <c r="E11" s="1133"/>
      <c r="F11" s="325">
        <f>SUM(F3)</f>
        <v>40</v>
      </c>
      <c r="G11" s="325">
        <f>SUM(G3)</f>
        <v>16</v>
      </c>
      <c r="H11" s="325" t="s">
        <v>80</v>
      </c>
      <c r="I11" s="325" t="s">
        <v>80</v>
      </c>
      <c r="J11" s="325">
        <f t="shared" ref="J11:O11" si="0">SUM(J3)</f>
        <v>5</v>
      </c>
      <c r="K11" s="325">
        <f t="shared" si="0"/>
        <v>3</v>
      </c>
      <c r="L11" s="325">
        <f t="shared" si="0"/>
        <v>0</v>
      </c>
      <c r="M11" s="325">
        <f t="shared" si="0"/>
        <v>3</v>
      </c>
      <c r="N11" s="325">
        <f t="shared" si="0"/>
        <v>1</v>
      </c>
      <c r="O11" s="325">
        <f t="shared" si="0"/>
        <v>0</v>
      </c>
      <c r="P11" s="325" t="s">
        <v>80</v>
      </c>
      <c r="Q11" s="325" t="s">
        <v>80</v>
      </c>
      <c r="R11" s="325">
        <f>SUM(R3)</f>
        <v>1</v>
      </c>
      <c r="S11" s="404"/>
      <c r="T11" s="431"/>
      <c r="U11" s="404"/>
      <c r="V11" s="404"/>
      <c r="W11" s="404"/>
      <c r="X11" s="404"/>
      <c r="Y11" s="328" t="s">
        <v>245</v>
      </c>
      <c r="Z11" s="432">
        <f t="shared" ref="Z11:AO11" si="1">SUM(Z3)</f>
        <v>1</v>
      </c>
      <c r="AA11" s="432">
        <f t="shared" si="1"/>
        <v>1</v>
      </c>
      <c r="AB11" s="432">
        <f t="shared" si="1"/>
        <v>0</v>
      </c>
      <c r="AC11" s="432">
        <f t="shared" si="1"/>
        <v>0</v>
      </c>
      <c r="AD11" s="433">
        <f t="shared" si="1"/>
        <v>1</v>
      </c>
      <c r="AE11" s="433">
        <f t="shared" si="1"/>
        <v>1</v>
      </c>
      <c r="AF11" s="433">
        <f t="shared" si="1"/>
        <v>0</v>
      </c>
      <c r="AG11" s="433">
        <f t="shared" si="1"/>
        <v>0</v>
      </c>
      <c r="AH11" s="434">
        <f t="shared" si="1"/>
        <v>0</v>
      </c>
      <c r="AI11" s="434">
        <f t="shared" si="1"/>
        <v>0</v>
      </c>
      <c r="AJ11" s="434">
        <f t="shared" si="1"/>
        <v>0</v>
      </c>
      <c r="AK11" s="434">
        <f t="shared" si="1"/>
        <v>0</v>
      </c>
      <c r="AL11" s="432">
        <f t="shared" si="1"/>
        <v>0</v>
      </c>
      <c r="AM11" s="432">
        <f t="shared" si="1"/>
        <v>0</v>
      </c>
      <c r="AN11" s="432">
        <f t="shared" si="1"/>
        <v>0</v>
      </c>
      <c r="AO11" s="432">
        <f t="shared" si="1"/>
        <v>0</v>
      </c>
    </row>
    <row r="12" spans="1:47" ht="14.95" thickBot="1" x14ac:dyDescent="0.3">
      <c r="A12" s="179"/>
      <c r="B12" s="180"/>
      <c r="C12" s="1093" t="s">
        <v>262</v>
      </c>
      <c r="D12" s="1094"/>
      <c r="E12" s="1095"/>
      <c r="F12" s="410">
        <f>SUM(F4:F9)</f>
        <v>170</v>
      </c>
      <c r="G12" s="410">
        <f t="shared" ref="G12:R12" si="2">SUM(G4:G9)</f>
        <v>131</v>
      </c>
      <c r="H12" s="410">
        <f t="shared" si="2"/>
        <v>0</v>
      </c>
      <c r="I12" s="410">
        <f t="shared" si="2"/>
        <v>0</v>
      </c>
      <c r="J12" s="410">
        <f t="shared" si="2"/>
        <v>19</v>
      </c>
      <c r="K12" s="410">
        <f t="shared" si="2"/>
        <v>14</v>
      </c>
      <c r="L12" s="410">
        <f t="shared" si="2"/>
        <v>0</v>
      </c>
      <c r="M12" s="410">
        <f t="shared" si="2"/>
        <v>15</v>
      </c>
      <c r="N12" s="410">
        <f t="shared" si="2"/>
        <v>5</v>
      </c>
      <c r="O12" s="410">
        <f t="shared" si="2"/>
        <v>0</v>
      </c>
      <c r="P12" s="410">
        <f t="shared" si="2"/>
        <v>0</v>
      </c>
      <c r="Q12" s="410">
        <f t="shared" si="2"/>
        <v>0</v>
      </c>
      <c r="R12" s="410">
        <f t="shared" si="2"/>
        <v>18</v>
      </c>
      <c r="S12" s="411"/>
      <c r="T12" s="411"/>
      <c r="U12" s="411"/>
      <c r="V12" s="411"/>
      <c r="W12" s="411"/>
      <c r="X12" s="412"/>
      <c r="Y12" s="413" t="s">
        <v>262</v>
      </c>
      <c r="Z12" s="414">
        <f t="shared" ref="Z12:AO12" si="3">SUM(Z4:Z9)</f>
        <v>6</v>
      </c>
      <c r="AA12" s="410">
        <f t="shared" si="3"/>
        <v>4</v>
      </c>
      <c r="AB12" s="410">
        <f t="shared" si="3"/>
        <v>1</v>
      </c>
      <c r="AC12" s="410">
        <f t="shared" si="3"/>
        <v>1</v>
      </c>
      <c r="AD12" s="415">
        <f t="shared" si="3"/>
        <v>3</v>
      </c>
      <c r="AE12" s="415">
        <f t="shared" si="3"/>
        <v>2</v>
      </c>
      <c r="AF12" s="415">
        <f t="shared" si="3"/>
        <v>0</v>
      </c>
      <c r="AG12" s="415">
        <f t="shared" si="3"/>
        <v>1</v>
      </c>
      <c r="AH12" s="416">
        <f t="shared" si="3"/>
        <v>2</v>
      </c>
      <c r="AI12" s="416">
        <f t="shared" si="3"/>
        <v>2</v>
      </c>
      <c r="AJ12" s="416">
        <f t="shared" si="3"/>
        <v>0</v>
      </c>
      <c r="AK12" s="416">
        <f t="shared" si="3"/>
        <v>0</v>
      </c>
      <c r="AL12" s="410">
        <f t="shared" si="3"/>
        <v>1</v>
      </c>
      <c r="AM12" s="410">
        <f t="shared" si="3"/>
        <v>0</v>
      </c>
      <c r="AN12" s="410">
        <f t="shared" si="3"/>
        <v>1</v>
      </c>
      <c r="AO12" s="410">
        <f t="shared" si="3"/>
        <v>0</v>
      </c>
    </row>
    <row r="13" spans="1:47" ht="14.95" thickBot="1" x14ac:dyDescent="0.3">
      <c r="A13" s="179"/>
      <c r="B13" s="180"/>
      <c r="C13" s="1084" t="s">
        <v>231</v>
      </c>
      <c r="D13" s="1085"/>
      <c r="E13" s="1086"/>
      <c r="F13" s="539">
        <f>SUM(F10)</f>
        <v>19</v>
      </c>
      <c r="G13" s="539">
        <f>SUM(G10)</f>
        <v>34</v>
      </c>
      <c r="H13" s="539" t="s">
        <v>80</v>
      </c>
      <c r="I13" s="539" t="s">
        <v>80</v>
      </c>
      <c r="J13" s="539">
        <f t="shared" ref="J13:N13" si="4">SUM(J10)</f>
        <v>3</v>
      </c>
      <c r="K13" s="539">
        <f t="shared" si="4"/>
        <v>2</v>
      </c>
      <c r="L13" s="539">
        <f t="shared" si="4"/>
        <v>0</v>
      </c>
      <c r="M13" s="539">
        <f t="shared" si="4"/>
        <v>0</v>
      </c>
      <c r="N13" s="539">
        <f t="shared" si="4"/>
        <v>1</v>
      </c>
      <c r="O13" s="539">
        <f t="shared" ref="O13" si="5">SUM(O7:O10)</f>
        <v>0</v>
      </c>
      <c r="P13" s="539" t="s">
        <v>80</v>
      </c>
      <c r="Q13" s="539" t="s">
        <v>80</v>
      </c>
      <c r="R13" s="539">
        <f>SUM(R10)</f>
        <v>5</v>
      </c>
      <c r="S13" s="540"/>
      <c r="T13" s="540"/>
      <c r="U13" s="540"/>
      <c r="V13" s="540"/>
      <c r="W13" s="540"/>
      <c r="X13" s="541"/>
      <c r="Y13" s="542" t="s">
        <v>231</v>
      </c>
      <c r="Z13" s="539">
        <f t="shared" ref="Z13:AO13" si="6">SUM(Z10)</f>
        <v>1</v>
      </c>
      <c r="AA13" s="539">
        <f t="shared" si="6"/>
        <v>0</v>
      </c>
      <c r="AB13" s="539">
        <f t="shared" si="6"/>
        <v>0</v>
      </c>
      <c r="AC13" s="539">
        <f t="shared" si="6"/>
        <v>1</v>
      </c>
      <c r="AD13" s="544">
        <f t="shared" si="6"/>
        <v>0</v>
      </c>
      <c r="AE13" s="544">
        <f t="shared" si="6"/>
        <v>0</v>
      </c>
      <c r="AF13" s="544">
        <f t="shared" si="6"/>
        <v>0</v>
      </c>
      <c r="AG13" s="544">
        <f t="shared" si="6"/>
        <v>0</v>
      </c>
      <c r="AH13" s="545">
        <f t="shared" si="6"/>
        <v>1</v>
      </c>
      <c r="AI13" s="545">
        <f t="shared" si="6"/>
        <v>0</v>
      </c>
      <c r="AJ13" s="545">
        <f t="shared" si="6"/>
        <v>0</v>
      </c>
      <c r="AK13" s="545">
        <f t="shared" si="6"/>
        <v>1</v>
      </c>
      <c r="AL13" s="539">
        <f t="shared" si="6"/>
        <v>0</v>
      </c>
      <c r="AM13" s="539">
        <f t="shared" si="6"/>
        <v>0</v>
      </c>
      <c r="AN13" s="539">
        <f t="shared" si="6"/>
        <v>0</v>
      </c>
      <c r="AO13" s="539">
        <f t="shared" si="6"/>
        <v>0</v>
      </c>
    </row>
    <row r="14" spans="1:47" ht="14.95" thickBot="1" x14ac:dyDescent="0.3">
      <c r="A14" s="179"/>
      <c r="B14" s="180"/>
      <c r="C14" s="1087" t="s">
        <v>81</v>
      </c>
      <c r="D14" s="1088"/>
      <c r="E14" s="1089"/>
      <c r="F14" s="231">
        <f>SUM(F3:F10)</f>
        <v>229</v>
      </c>
      <c r="G14" s="231">
        <f t="shared" ref="G14:R14" si="7">SUM(G3:G10)</f>
        <v>181</v>
      </c>
      <c r="H14" s="231">
        <f t="shared" si="7"/>
        <v>0</v>
      </c>
      <c r="I14" s="231">
        <f t="shared" si="7"/>
        <v>0</v>
      </c>
      <c r="J14" s="231">
        <f t="shared" si="7"/>
        <v>27</v>
      </c>
      <c r="K14" s="231">
        <f t="shared" si="7"/>
        <v>19</v>
      </c>
      <c r="L14" s="231">
        <f t="shared" si="7"/>
        <v>0</v>
      </c>
      <c r="M14" s="231">
        <f t="shared" si="7"/>
        <v>18</v>
      </c>
      <c r="N14" s="231">
        <f t="shared" si="7"/>
        <v>7</v>
      </c>
      <c r="O14" s="231">
        <f t="shared" si="7"/>
        <v>0</v>
      </c>
      <c r="P14" s="231">
        <f t="shared" si="7"/>
        <v>0</v>
      </c>
      <c r="Q14" s="231">
        <f t="shared" si="7"/>
        <v>0</v>
      </c>
      <c r="R14" s="231">
        <f t="shared" si="7"/>
        <v>24</v>
      </c>
      <c r="S14" s="228"/>
      <c r="T14" s="228"/>
      <c r="U14" s="228"/>
      <c r="V14" s="228"/>
      <c r="W14" s="228"/>
      <c r="X14" s="13"/>
      <c r="Y14" s="246" t="s">
        <v>81</v>
      </c>
      <c r="Z14" s="231">
        <f t="shared" ref="Z14:AO14" si="8">SUM(Z3:Z10)</f>
        <v>8</v>
      </c>
      <c r="AA14" s="231">
        <f t="shared" si="8"/>
        <v>5</v>
      </c>
      <c r="AB14" s="231">
        <f t="shared" si="8"/>
        <v>1</v>
      </c>
      <c r="AC14" s="231">
        <f t="shared" si="8"/>
        <v>2</v>
      </c>
      <c r="AD14" s="229">
        <f t="shared" si="8"/>
        <v>4</v>
      </c>
      <c r="AE14" s="229">
        <f t="shared" si="8"/>
        <v>3</v>
      </c>
      <c r="AF14" s="229">
        <f t="shared" si="8"/>
        <v>0</v>
      </c>
      <c r="AG14" s="229">
        <f t="shared" si="8"/>
        <v>1</v>
      </c>
      <c r="AH14" s="230">
        <f t="shared" si="8"/>
        <v>3</v>
      </c>
      <c r="AI14" s="230">
        <f t="shared" si="8"/>
        <v>2</v>
      </c>
      <c r="AJ14" s="230">
        <f t="shared" si="8"/>
        <v>0</v>
      </c>
      <c r="AK14" s="230">
        <f t="shared" si="8"/>
        <v>1</v>
      </c>
      <c r="AL14" s="231">
        <f t="shared" si="8"/>
        <v>1</v>
      </c>
      <c r="AM14" s="231">
        <f t="shared" si="8"/>
        <v>0</v>
      </c>
      <c r="AN14" s="231">
        <f t="shared" si="8"/>
        <v>1</v>
      </c>
      <c r="AO14" s="231">
        <f t="shared" si="8"/>
        <v>0</v>
      </c>
    </row>
    <row r="15" spans="1:47" x14ac:dyDescent="0.25">
      <c r="A15" s="1108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8"/>
      <c r="AG15" s="1108"/>
      <c r="AH15" s="1108"/>
      <c r="AI15" s="1108"/>
      <c r="AJ15" s="1108"/>
      <c r="AK15" s="1108"/>
      <c r="AL15" s="1108"/>
      <c r="AM15" s="1108"/>
      <c r="AN15" s="1108"/>
      <c r="AO15" s="1108"/>
    </row>
    <row r="16" spans="1:47" ht="13.95" customHeight="1" x14ac:dyDescent="0.25">
      <c r="A16" s="1108" t="s">
        <v>525</v>
      </c>
      <c r="B16" s="1108"/>
      <c r="C16" s="1108"/>
      <c r="D16" s="1108"/>
      <c r="E16" s="1108"/>
      <c r="F16" s="1108"/>
      <c r="G16" s="1108"/>
      <c r="H16" s="1108"/>
      <c r="I16" s="1108"/>
      <c r="J16" s="1108"/>
      <c r="K16" s="1108"/>
      <c r="L16" s="1108"/>
      <c r="M16" s="1108"/>
      <c r="N16" s="1108"/>
      <c r="O16" s="1108"/>
      <c r="P16" s="1108"/>
      <c r="Q16" s="1108"/>
      <c r="R16" s="1108"/>
    </row>
    <row r="17" spans="1:41" ht="14.3" customHeight="1" x14ac:dyDescent="0.25">
      <c r="A17" s="1108" t="s">
        <v>583</v>
      </c>
      <c r="B17" s="1108"/>
      <c r="C17" s="1108"/>
      <c r="D17" s="1108"/>
      <c r="E17" s="1108"/>
      <c r="F17" s="1108"/>
      <c r="G17" s="1108"/>
      <c r="H17" s="1108"/>
      <c r="I17" s="1108"/>
      <c r="J17" s="1108"/>
      <c r="K17" s="1108"/>
      <c r="L17" s="1108"/>
      <c r="M17" s="1108"/>
      <c r="N17" s="1108"/>
      <c r="O17" s="1108"/>
      <c r="P17" s="1108"/>
      <c r="Q17" s="1108"/>
      <c r="R17" s="1108"/>
    </row>
    <row r="18" spans="1:41" ht="14.3" customHeight="1" x14ac:dyDescent="0.25">
      <c r="A18" s="1108" t="s">
        <v>688</v>
      </c>
      <c r="B18" s="1108"/>
      <c r="C18" s="1108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</row>
    <row r="19" spans="1:41" ht="14.3" customHeight="1" x14ac:dyDescent="0.25">
      <c r="A19" s="1108" t="s">
        <v>742</v>
      </c>
      <c r="B19" s="1108"/>
      <c r="C19" s="1108"/>
      <c r="D19" s="1108"/>
      <c r="E19" s="1108"/>
      <c r="F19" s="1108"/>
      <c r="G19" s="1108"/>
      <c r="H19" s="1108"/>
      <c r="I19" s="1108"/>
      <c r="J19" s="1108"/>
      <c r="K19" s="1108"/>
      <c r="L19" s="1108"/>
      <c r="M19" s="1108"/>
      <c r="N19" s="1108"/>
      <c r="O19" s="1108"/>
      <c r="P19" s="1108"/>
      <c r="Q19" s="1108"/>
      <c r="R19" s="1108"/>
    </row>
    <row r="20" spans="1:41" ht="14.3" customHeight="1" x14ac:dyDescent="0.25">
      <c r="A20" s="1108" t="s">
        <v>743</v>
      </c>
      <c r="B20" s="1108"/>
      <c r="C20" s="1108"/>
      <c r="D20" s="1108"/>
      <c r="E20" s="1108"/>
      <c r="F20" s="1108"/>
      <c r="G20" s="1108"/>
      <c r="H20" s="1108"/>
      <c r="I20" s="1108"/>
      <c r="J20" s="1108"/>
      <c r="K20" s="1108"/>
      <c r="L20" s="1108"/>
      <c r="M20" s="1108"/>
      <c r="N20" s="1108"/>
      <c r="O20" s="1108"/>
      <c r="P20" s="1108"/>
      <c r="Q20" s="1108"/>
      <c r="R20" s="1108"/>
      <c r="S20" s="221"/>
      <c r="T20" s="221"/>
    </row>
    <row r="21" spans="1:41" ht="14.3" customHeight="1" x14ac:dyDescent="0.25">
      <c r="A21" s="1108" t="s">
        <v>489</v>
      </c>
      <c r="B21" s="1108"/>
      <c r="C21" s="1108"/>
      <c r="D21" s="1108"/>
      <c r="E21" s="1108"/>
      <c r="F21" s="1108"/>
      <c r="G21" s="1108"/>
      <c r="H21" s="1108"/>
      <c r="I21" s="1108"/>
      <c r="J21" s="1108"/>
      <c r="K21" s="1108"/>
      <c r="L21" s="1108"/>
      <c r="M21" s="1108"/>
      <c r="N21" s="1108"/>
      <c r="O21" s="1108"/>
      <c r="P21" s="1108"/>
      <c r="Q21" s="1108"/>
      <c r="R21" s="1108"/>
      <c r="S21" s="1108"/>
      <c r="T21" s="1108"/>
      <c r="U21" s="1108"/>
      <c r="V21" s="1108"/>
      <c r="W21" s="1108"/>
      <c r="X21" s="1108"/>
      <c r="Y21" s="1108"/>
      <c r="Z21" s="1108"/>
      <c r="AA21" s="1108"/>
      <c r="AB21" s="1108"/>
      <c r="AC21" s="1108"/>
      <c r="AD21" s="1108"/>
      <c r="AE21" s="1108"/>
      <c r="AF21" s="1108"/>
      <c r="AG21" s="1108"/>
      <c r="AH21" s="1108"/>
      <c r="AI21" s="1108"/>
      <c r="AJ21" s="1108"/>
      <c r="AK21" s="1108"/>
      <c r="AL21" s="1108"/>
      <c r="AM21" s="1108"/>
      <c r="AN21" s="1108"/>
      <c r="AO21" s="1108"/>
    </row>
    <row r="22" spans="1:41" x14ac:dyDescent="0.25">
      <c r="A22" s="376"/>
      <c r="B22" t="s">
        <v>44</v>
      </c>
    </row>
    <row r="23" spans="1:41" x14ac:dyDescent="0.25">
      <c r="A23" s="377"/>
      <c r="B23" t="s">
        <v>42</v>
      </c>
    </row>
    <row r="24" spans="1:41" x14ac:dyDescent="0.25">
      <c r="A24" s="378"/>
      <c r="B24" t="s">
        <v>43</v>
      </c>
    </row>
    <row r="25" spans="1:41" ht="16.3" x14ac:dyDescent="0.3">
      <c r="A25" s="792" t="s">
        <v>28</v>
      </c>
    </row>
  </sheetData>
  <mergeCells count="21">
    <mergeCell ref="Z1:AC1"/>
    <mergeCell ref="AD1:AG1"/>
    <mergeCell ref="AH1:AK1"/>
    <mergeCell ref="AL1:AO1"/>
    <mergeCell ref="C12:E12"/>
    <mergeCell ref="A1:C1"/>
    <mergeCell ref="E1:G1"/>
    <mergeCell ref="H1:I1"/>
    <mergeCell ref="J1:M1"/>
    <mergeCell ref="N1:O1"/>
    <mergeCell ref="P1:R1"/>
    <mergeCell ref="A20:R20"/>
    <mergeCell ref="A21:AO21"/>
    <mergeCell ref="A18:R18"/>
    <mergeCell ref="C11:E11"/>
    <mergeCell ref="C14:E14"/>
    <mergeCell ref="A15:AO15"/>
    <mergeCell ref="A16:R16"/>
    <mergeCell ref="A17:R17"/>
    <mergeCell ref="A19:R19"/>
    <mergeCell ref="C13:E13"/>
  </mergeCells>
  <pageMargins left="0.7" right="0.7" top="0.75" bottom="0.75" header="0.3" footer="0.3"/>
  <ignoredErrors>
    <ignoredError sqref="C12:E12 S12:V12 X12:Y12 F12:R12 Z12:AO12 W12" formulaRange="1"/>
    <ignoredError sqref="T10" twoDigitTextYear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37"/>
  <sheetViews>
    <sheetView zoomScale="90" zoomScaleNormal="90" workbookViewId="0">
      <pane ySplit="2" topLeftCell="A3" activePane="bottomLeft" state="frozen"/>
      <selection activeCell="D8" sqref="A8:AO21"/>
      <selection pane="bottomLeft" activeCell="V7" sqref="V7"/>
    </sheetView>
  </sheetViews>
  <sheetFormatPr defaultRowHeight="14.95" customHeight="1" x14ac:dyDescent="0.25"/>
  <cols>
    <col min="1" max="1" width="7.375" style="138" customWidth="1"/>
    <col min="2" max="2" width="5.125" style="138" bestFit="1" customWidth="1"/>
    <col min="3" max="3" width="11.375" style="138" customWidth="1"/>
    <col min="4" max="4" width="4.125" style="138" bestFit="1" customWidth="1"/>
    <col min="5" max="5" width="3.625" style="138" customWidth="1"/>
    <col min="6" max="7" width="4" style="138" bestFit="1" customWidth="1"/>
    <col min="8" max="18" width="3.625" style="138" customWidth="1"/>
    <col min="19" max="20" width="6.375" style="138" customWidth="1"/>
    <col min="21" max="21" width="21.125" style="138" bestFit="1" customWidth="1"/>
    <col min="22" max="22" width="30.125" style="138" bestFit="1" customWidth="1"/>
    <col min="23" max="23" width="20.875" style="138" bestFit="1" customWidth="1"/>
    <col min="24" max="24" width="19.875" style="138" bestFit="1" customWidth="1"/>
    <col min="25" max="25" width="21.25" style="138" bestFit="1" customWidth="1"/>
    <col min="26" max="41" width="3.625" style="138" customWidth="1"/>
    <col min="42" max="42" width="2.625" customWidth="1"/>
    <col min="43" max="43" width="13.125" bestFit="1" customWidth="1"/>
    <col min="45" max="45" width="2.625" customWidth="1"/>
    <col min="46" max="46" width="13.125" bestFit="1" customWidth="1"/>
    <col min="48" max="48" width="2.625" customWidth="1"/>
    <col min="49" max="49" width="12.375" bestFit="1" customWidth="1"/>
    <col min="51" max="51" width="2.625" customWidth="1"/>
    <col min="52" max="52" width="12.375" bestFit="1" customWidth="1"/>
    <col min="54" max="54" width="1.625" customWidth="1"/>
    <col min="55" max="55" width="12.75" bestFit="1" customWidth="1"/>
  </cols>
  <sheetData>
    <row r="1" spans="1:56" ht="14.95" customHeight="1" thickBot="1" x14ac:dyDescent="0.3">
      <c r="A1" s="1159" t="s">
        <v>887</v>
      </c>
      <c r="B1" s="1160"/>
      <c r="C1" s="1160"/>
      <c r="D1" s="496"/>
      <c r="E1" s="1145" t="s">
        <v>24</v>
      </c>
      <c r="F1" s="1161"/>
      <c r="G1" s="1146"/>
      <c r="H1" s="1145" t="s">
        <v>132</v>
      </c>
      <c r="I1" s="1146"/>
      <c r="J1" s="1154" t="s">
        <v>6</v>
      </c>
      <c r="K1" s="1155"/>
      <c r="L1" s="1155"/>
      <c r="M1" s="1156"/>
      <c r="N1" s="1154" t="s">
        <v>7</v>
      </c>
      <c r="O1" s="1156"/>
      <c r="P1" s="1154" t="s">
        <v>25</v>
      </c>
      <c r="Q1" s="1155"/>
      <c r="R1" s="1156"/>
      <c r="S1" s="497" t="s">
        <v>8</v>
      </c>
      <c r="T1" s="497" t="s">
        <v>9</v>
      </c>
      <c r="U1" s="498" t="s">
        <v>10</v>
      </c>
      <c r="V1" s="498" t="s">
        <v>11</v>
      </c>
      <c r="W1" s="498" t="s">
        <v>211</v>
      </c>
      <c r="X1" s="498" t="s">
        <v>26</v>
      </c>
      <c r="Y1" s="498" t="s">
        <v>27</v>
      </c>
      <c r="Z1" s="1148" t="s">
        <v>20</v>
      </c>
      <c r="AA1" s="1149"/>
      <c r="AB1" s="1149"/>
      <c r="AC1" s="1150"/>
      <c r="AD1" s="1148" t="s">
        <v>61</v>
      </c>
      <c r="AE1" s="1149"/>
      <c r="AF1" s="1149"/>
      <c r="AG1" s="1150"/>
      <c r="AH1" s="1148" t="s">
        <v>62</v>
      </c>
      <c r="AI1" s="1149"/>
      <c r="AJ1" s="1149"/>
      <c r="AK1" s="1150"/>
      <c r="AL1" s="1148" t="s">
        <v>63</v>
      </c>
      <c r="AM1" s="1149"/>
      <c r="AN1" s="1149"/>
      <c r="AO1" s="1150"/>
      <c r="AQ1" s="507" t="s">
        <v>113</v>
      </c>
      <c r="AR1" s="218"/>
      <c r="AS1" s="218"/>
      <c r="AT1" s="507" t="s">
        <v>113</v>
      </c>
      <c r="AW1" s="507" t="s">
        <v>113</v>
      </c>
      <c r="AZ1" s="507" t="s">
        <v>113</v>
      </c>
      <c r="BC1" s="507" t="s">
        <v>113</v>
      </c>
    </row>
    <row r="2" spans="1:56" ht="14.95" customHeight="1" thickBot="1" x14ac:dyDescent="0.3">
      <c r="A2" s="499" t="s">
        <v>19</v>
      </c>
      <c r="B2" s="153" t="s">
        <v>18</v>
      </c>
      <c r="C2" s="157" t="s">
        <v>201</v>
      </c>
      <c r="D2" s="157" t="s">
        <v>41</v>
      </c>
      <c r="E2" s="500" t="s">
        <v>16</v>
      </c>
      <c r="F2" s="500" t="s">
        <v>4</v>
      </c>
      <c r="G2" s="500" t="s">
        <v>5</v>
      </c>
      <c r="H2" s="501" t="s">
        <v>12</v>
      </c>
      <c r="I2" s="501" t="s">
        <v>3</v>
      </c>
      <c r="J2" s="501" t="s">
        <v>12</v>
      </c>
      <c r="K2" s="501" t="s">
        <v>13</v>
      </c>
      <c r="L2" s="501" t="s">
        <v>2</v>
      </c>
      <c r="M2" s="501" t="s">
        <v>14</v>
      </c>
      <c r="N2" s="501" t="s">
        <v>15</v>
      </c>
      <c r="O2" s="501" t="s">
        <v>16</v>
      </c>
      <c r="P2" s="501" t="s">
        <v>21</v>
      </c>
      <c r="Q2" s="501" t="s">
        <v>22</v>
      </c>
      <c r="R2" s="501" t="s">
        <v>12</v>
      </c>
      <c r="S2" s="502"/>
      <c r="T2" s="503"/>
      <c r="U2" s="504"/>
      <c r="V2" s="502"/>
      <c r="W2" s="502"/>
      <c r="X2" s="498"/>
      <c r="Y2" s="505"/>
      <c r="Z2" s="506" t="s">
        <v>0</v>
      </c>
      <c r="AA2" s="506" t="s">
        <v>1</v>
      </c>
      <c r="AB2" s="506" t="s">
        <v>2</v>
      </c>
      <c r="AC2" s="506" t="s">
        <v>3</v>
      </c>
      <c r="AD2" s="506" t="s">
        <v>0</v>
      </c>
      <c r="AE2" s="506" t="s">
        <v>1</v>
      </c>
      <c r="AF2" s="506" t="s">
        <v>2</v>
      </c>
      <c r="AG2" s="506" t="s">
        <v>3</v>
      </c>
      <c r="AH2" s="506" t="s">
        <v>0</v>
      </c>
      <c r="AI2" s="506" t="s">
        <v>1</v>
      </c>
      <c r="AJ2" s="506" t="s">
        <v>2</v>
      </c>
      <c r="AK2" s="506" t="s">
        <v>3</v>
      </c>
      <c r="AL2" s="506" t="s">
        <v>0</v>
      </c>
      <c r="AM2" s="506" t="s">
        <v>1</v>
      </c>
      <c r="AN2" s="506" t="s">
        <v>2</v>
      </c>
      <c r="AO2" s="506" t="s">
        <v>3</v>
      </c>
      <c r="AQ2" s="205" t="s">
        <v>81</v>
      </c>
      <c r="AR2" s="138"/>
      <c r="AT2" s="225" t="s">
        <v>99</v>
      </c>
      <c r="AU2" s="138"/>
      <c r="AW2" s="905" t="s">
        <v>903</v>
      </c>
      <c r="AX2" s="904"/>
      <c r="AY2" s="204"/>
      <c r="AZ2" s="897" t="s">
        <v>209</v>
      </c>
      <c r="BA2" s="924"/>
      <c r="BB2" s="204"/>
      <c r="BC2" s="665" t="s">
        <v>210</v>
      </c>
      <c r="BD2" s="239"/>
    </row>
    <row r="3" spans="1:56" ht="14.95" customHeight="1" thickBot="1" x14ac:dyDescent="0.35">
      <c r="A3" s="289" t="s">
        <v>888</v>
      </c>
      <c r="B3" s="290" t="s">
        <v>46</v>
      </c>
      <c r="C3" s="290" t="s">
        <v>32</v>
      </c>
      <c r="D3" s="290" t="s">
        <v>88</v>
      </c>
      <c r="E3" s="291" t="s">
        <v>1</v>
      </c>
      <c r="F3" s="291">
        <v>48</v>
      </c>
      <c r="G3" s="291">
        <v>7</v>
      </c>
      <c r="H3" s="692">
        <v>1</v>
      </c>
      <c r="I3" s="692">
        <v>0</v>
      </c>
      <c r="J3" s="692">
        <v>7</v>
      </c>
      <c r="K3" s="692">
        <v>4</v>
      </c>
      <c r="L3" s="692">
        <v>0</v>
      </c>
      <c r="M3" s="692">
        <v>1</v>
      </c>
      <c r="N3" s="692">
        <v>2</v>
      </c>
      <c r="O3" s="692">
        <v>0</v>
      </c>
      <c r="P3" s="692">
        <v>0</v>
      </c>
      <c r="Q3" s="692">
        <v>0</v>
      </c>
      <c r="R3" s="692">
        <v>1</v>
      </c>
      <c r="S3" s="292">
        <v>81953</v>
      </c>
      <c r="T3" s="302" t="s">
        <v>381</v>
      </c>
      <c r="U3" s="294" t="s">
        <v>190</v>
      </c>
      <c r="V3" s="292" t="s">
        <v>256</v>
      </c>
      <c r="W3" s="292" t="s">
        <v>188</v>
      </c>
      <c r="X3" s="295" t="s">
        <v>169</v>
      </c>
      <c r="Y3" s="296" t="s">
        <v>216</v>
      </c>
      <c r="Z3" s="295">
        <v>1</v>
      </c>
      <c r="AA3" s="295">
        <v>1</v>
      </c>
      <c r="AB3" s="295">
        <v>0</v>
      </c>
      <c r="AC3" s="307">
        <v>0</v>
      </c>
      <c r="AD3" s="295">
        <v>1</v>
      </c>
      <c r="AE3" s="295">
        <v>1</v>
      </c>
      <c r="AF3" s="295">
        <v>0</v>
      </c>
      <c r="AG3" s="307">
        <v>0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Englandalltestshistplayed</f>
        <v>817</v>
      </c>
      <c r="AT3" s="214" t="s">
        <v>101</v>
      </c>
      <c r="AU3" s="215">
        <f>EnglandRWChistplayed</f>
        <v>57</v>
      </c>
      <c r="AW3" s="214" t="s">
        <v>101</v>
      </c>
      <c r="AX3" s="215"/>
      <c r="AY3" s="693"/>
      <c r="AZ3" s="694" t="s">
        <v>101</v>
      </c>
      <c r="BA3" s="696">
        <f>England6nationsplayed</f>
        <v>134</v>
      </c>
      <c r="BB3" s="693"/>
      <c r="BC3" s="214" t="s">
        <v>101</v>
      </c>
      <c r="BD3" s="215">
        <f>Engchampionshippld</f>
        <v>512</v>
      </c>
    </row>
    <row r="4" spans="1:56" ht="14.95" customHeight="1" thickBot="1" x14ac:dyDescent="0.3">
      <c r="A4" s="268" t="s">
        <v>883</v>
      </c>
      <c r="B4" s="270" t="s">
        <v>46</v>
      </c>
      <c r="C4" s="270" t="s">
        <v>35</v>
      </c>
      <c r="D4" s="270" t="s">
        <v>89</v>
      </c>
      <c r="E4" s="271" t="s">
        <v>3</v>
      </c>
      <c r="F4" s="271">
        <v>20</v>
      </c>
      <c r="G4" s="271">
        <v>31</v>
      </c>
      <c r="H4" s="691">
        <v>0</v>
      </c>
      <c r="I4" s="691">
        <v>0</v>
      </c>
      <c r="J4" s="691">
        <v>2</v>
      </c>
      <c r="K4" s="691">
        <v>2</v>
      </c>
      <c r="L4" s="691">
        <v>0</v>
      </c>
      <c r="M4" s="691">
        <v>2</v>
      </c>
      <c r="N4" s="691">
        <v>1</v>
      </c>
      <c r="O4" s="691">
        <v>1</v>
      </c>
      <c r="P4" s="691">
        <v>1</v>
      </c>
      <c r="Q4" s="691">
        <v>0</v>
      </c>
      <c r="R4" s="691">
        <v>4</v>
      </c>
      <c r="S4" s="277">
        <v>67150</v>
      </c>
      <c r="T4" s="281" t="s">
        <v>941</v>
      </c>
      <c r="U4" s="279" t="s">
        <v>184</v>
      </c>
      <c r="V4" s="277" t="s">
        <v>215</v>
      </c>
      <c r="W4" s="277" t="s">
        <v>251</v>
      </c>
      <c r="X4" s="273" t="s">
        <v>187</v>
      </c>
      <c r="Y4" s="280" t="s">
        <v>214</v>
      </c>
      <c r="Z4" s="273">
        <v>1</v>
      </c>
      <c r="AA4" s="273">
        <v>0</v>
      </c>
      <c r="AB4" s="273">
        <v>0</v>
      </c>
      <c r="AC4" s="287">
        <v>1</v>
      </c>
      <c r="AD4" s="273">
        <v>0</v>
      </c>
      <c r="AE4" s="273">
        <v>0</v>
      </c>
      <c r="AF4" s="273">
        <v>0</v>
      </c>
      <c r="AG4" s="287">
        <v>0</v>
      </c>
      <c r="AH4" s="273">
        <v>1</v>
      </c>
      <c r="AI4" s="273">
        <v>0</v>
      </c>
      <c r="AJ4" s="273">
        <v>0</v>
      </c>
      <c r="AK4" s="287">
        <v>1</v>
      </c>
      <c r="AL4" s="273">
        <v>0</v>
      </c>
      <c r="AM4" s="273">
        <v>0</v>
      </c>
      <c r="AN4" s="273">
        <v>0</v>
      </c>
      <c r="AO4" s="287">
        <v>0</v>
      </c>
      <c r="AQ4" s="216" t="s">
        <v>102</v>
      </c>
      <c r="AR4" s="217">
        <f>Englandalltestshistwon</f>
        <v>457</v>
      </c>
      <c r="AT4" s="216" t="s">
        <v>102</v>
      </c>
      <c r="AU4" s="217">
        <f>EnglandRWChistwon</f>
        <v>42</v>
      </c>
      <c r="AW4" s="216" t="s">
        <v>102</v>
      </c>
      <c r="AX4" s="217"/>
      <c r="AY4" s="693"/>
      <c r="AZ4" s="695" t="s">
        <v>102</v>
      </c>
      <c r="BA4" s="697">
        <f>England6nationswon</f>
        <v>87</v>
      </c>
      <c r="BB4" s="693"/>
      <c r="BC4" s="216" t="s">
        <v>102</v>
      </c>
      <c r="BD4" s="217">
        <f>Engchampionshipwon</f>
        <v>279</v>
      </c>
    </row>
    <row r="5" spans="1:56" ht="14.95" customHeight="1" thickBot="1" x14ac:dyDescent="0.3">
      <c r="A5" s="289" t="s">
        <v>884</v>
      </c>
      <c r="B5" s="290" t="s">
        <v>46</v>
      </c>
      <c r="C5" s="290" t="s">
        <v>39</v>
      </c>
      <c r="D5" s="290" t="s">
        <v>88</v>
      </c>
      <c r="E5" s="291" t="s">
        <v>3</v>
      </c>
      <c r="F5" s="291">
        <v>21</v>
      </c>
      <c r="G5" s="291">
        <v>42</v>
      </c>
      <c r="H5" s="692">
        <v>0</v>
      </c>
      <c r="I5" s="692">
        <v>0</v>
      </c>
      <c r="J5" s="692">
        <v>3</v>
      </c>
      <c r="K5" s="692">
        <v>3</v>
      </c>
      <c r="L5" s="692">
        <v>0</v>
      </c>
      <c r="M5" s="692">
        <v>0</v>
      </c>
      <c r="N5" s="692">
        <v>2</v>
      </c>
      <c r="O5" s="692">
        <v>0</v>
      </c>
      <c r="P5" s="692">
        <v>1</v>
      </c>
      <c r="Q5" s="692">
        <v>0</v>
      </c>
      <c r="R5" s="692">
        <v>5</v>
      </c>
      <c r="S5" s="292">
        <v>81953</v>
      </c>
      <c r="T5" s="293" t="s">
        <v>1020</v>
      </c>
      <c r="U5" s="294" t="s">
        <v>1021</v>
      </c>
      <c r="V5" s="292" t="s">
        <v>251</v>
      </c>
      <c r="W5" s="294" t="s">
        <v>235</v>
      </c>
      <c r="X5" s="294" t="s">
        <v>1023</v>
      </c>
      <c r="Y5" s="295" t="s">
        <v>214</v>
      </c>
      <c r="Z5" s="295">
        <v>1</v>
      </c>
      <c r="AA5" s="295">
        <v>0</v>
      </c>
      <c r="AB5" s="295">
        <v>0</v>
      </c>
      <c r="AC5" s="307">
        <v>1</v>
      </c>
      <c r="AD5" s="295">
        <v>1</v>
      </c>
      <c r="AE5" s="295">
        <v>0</v>
      </c>
      <c r="AF5" s="295">
        <v>0</v>
      </c>
      <c r="AG5" s="307">
        <v>1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Englandalltestshistdrawn</f>
        <v>52</v>
      </c>
      <c r="AT5" s="216" t="s">
        <v>107</v>
      </c>
      <c r="AU5" s="217">
        <f>EnglandRWChistdrawn</f>
        <v>0</v>
      </c>
      <c r="AW5" s="216" t="s">
        <v>107</v>
      </c>
      <c r="AX5" s="217"/>
      <c r="AY5" s="693"/>
      <c r="AZ5" s="695" t="s">
        <v>107</v>
      </c>
      <c r="BA5" s="697">
        <f>England6nationsdrawn</f>
        <v>2</v>
      </c>
      <c r="BB5" s="693"/>
      <c r="BC5" s="216" t="s">
        <v>107</v>
      </c>
      <c r="BD5" s="217">
        <f>Engchampionshipdrawn</f>
        <v>40</v>
      </c>
    </row>
    <row r="6" spans="1:56" ht="14.95" customHeight="1" thickBot="1" x14ac:dyDescent="0.35">
      <c r="A6" s="268" t="s">
        <v>870</v>
      </c>
      <c r="B6" s="270" t="s">
        <v>46</v>
      </c>
      <c r="C6" s="270" t="s">
        <v>33</v>
      </c>
      <c r="D6" s="270" t="s">
        <v>86</v>
      </c>
      <c r="E6" s="271" t="s">
        <v>3</v>
      </c>
      <c r="F6" s="271">
        <v>18</v>
      </c>
      <c r="G6" s="271">
        <v>23</v>
      </c>
      <c r="H6" s="691">
        <v>0</v>
      </c>
      <c r="I6" s="691">
        <v>1</v>
      </c>
      <c r="J6" s="691">
        <v>2</v>
      </c>
      <c r="K6" s="691">
        <v>1</v>
      </c>
      <c r="L6" s="691">
        <v>0</v>
      </c>
      <c r="M6" s="691">
        <v>2</v>
      </c>
      <c r="N6" s="691">
        <v>2</v>
      </c>
      <c r="O6" s="691">
        <v>0</v>
      </c>
      <c r="P6" s="691">
        <v>0</v>
      </c>
      <c r="Q6" s="691">
        <v>0</v>
      </c>
      <c r="R6" s="691">
        <v>2</v>
      </c>
      <c r="S6" s="277">
        <v>68985</v>
      </c>
      <c r="T6" s="365" t="s">
        <v>1057</v>
      </c>
      <c r="U6" s="279" t="s">
        <v>194</v>
      </c>
      <c r="V6" s="277" t="s">
        <v>181</v>
      </c>
      <c r="W6" s="277" t="s">
        <v>168</v>
      </c>
      <c r="X6" s="273" t="s">
        <v>190</v>
      </c>
      <c r="Y6" s="280" t="s">
        <v>254</v>
      </c>
      <c r="Z6" s="273">
        <v>1</v>
      </c>
      <c r="AA6" s="273">
        <v>0</v>
      </c>
      <c r="AB6" s="273">
        <v>0</v>
      </c>
      <c r="AC6" s="287">
        <v>1</v>
      </c>
      <c r="AD6" s="273">
        <v>0</v>
      </c>
      <c r="AE6" s="273">
        <v>0</v>
      </c>
      <c r="AF6" s="273">
        <v>0</v>
      </c>
      <c r="AG6" s="287">
        <v>0</v>
      </c>
      <c r="AH6" s="273">
        <v>1</v>
      </c>
      <c r="AI6" s="273">
        <v>0</v>
      </c>
      <c r="AJ6" s="273">
        <v>0</v>
      </c>
      <c r="AK6" s="287">
        <v>1</v>
      </c>
      <c r="AL6" s="273">
        <v>0</v>
      </c>
      <c r="AM6" s="273">
        <v>0</v>
      </c>
      <c r="AN6" s="273">
        <v>0</v>
      </c>
      <c r="AO6" s="287">
        <v>0</v>
      </c>
      <c r="AQ6" s="216" t="s">
        <v>103</v>
      </c>
      <c r="AR6" s="217">
        <f>Englandalltestshistlost</f>
        <v>308</v>
      </c>
      <c r="AT6" s="216" t="s">
        <v>103</v>
      </c>
      <c r="AU6" s="217">
        <f>EnglandRWChistlost</f>
        <v>15</v>
      </c>
      <c r="AW6" s="216" t="s">
        <v>103</v>
      </c>
      <c r="AX6" s="217"/>
      <c r="AY6" s="693"/>
      <c r="AZ6" s="695" t="s">
        <v>103</v>
      </c>
      <c r="BA6" s="697">
        <f>England6nationslost</f>
        <v>45</v>
      </c>
      <c r="BB6" s="693"/>
      <c r="BC6" s="216" t="s">
        <v>103</v>
      </c>
      <c r="BD6" s="217">
        <f>Engchampionshiplost</f>
        <v>193</v>
      </c>
    </row>
    <row r="7" spans="1:56" ht="14.95" customHeight="1" thickBot="1" x14ac:dyDescent="0.35">
      <c r="A7" s="268" t="s">
        <v>871</v>
      </c>
      <c r="B7" s="270" t="s">
        <v>46</v>
      </c>
      <c r="C7" s="270" t="s">
        <v>34</v>
      </c>
      <c r="D7" s="270" t="s">
        <v>85</v>
      </c>
      <c r="E7" s="271"/>
      <c r="F7" s="271"/>
      <c r="G7" s="27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277"/>
      <c r="T7" s="278"/>
      <c r="U7" s="279"/>
      <c r="V7" s="277"/>
      <c r="W7" s="277"/>
      <c r="X7" s="273"/>
      <c r="Y7" s="280"/>
      <c r="Z7" s="273"/>
      <c r="AA7" s="273"/>
      <c r="AB7" s="273"/>
      <c r="AC7" s="287"/>
      <c r="AD7" s="273"/>
      <c r="AE7" s="273"/>
      <c r="AF7" s="273"/>
      <c r="AG7" s="287"/>
      <c r="AH7" s="273"/>
      <c r="AI7" s="273"/>
      <c r="AJ7" s="273"/>
      <c r="AK7" s="287"/>
      <c r="AL7" s="273"/>
      <c r="AM7" s="273"/>
      <c r="AN7" s="273"/>
      <c r="AO7" s="287"/>
      <c r="AQ7" s="216" t="s">
        <v>108</v>
      </c>
      <c r="AR7" s="217">
        <f>Englandalltestshistptsscored</f>
        <v>15056</v>
      </c>
      <c r="AT7" s="216" t="s">
        <v>108</v>
      </c>
      <c r="AU7" s="217">
        <f>EnglandRWChistptsscored</f>
        <v>1790</v>
      </c>
      <c r="AW7" s="216" t="s">
        <v>108</v>
      </c>
      <c r="AX7" s="217"/>
      <c r="AY7" s="693"/>
      <c r="AZ7" s="695" t="s">
        <v>108</v>
      </c>
      <c r="BA7" s="697">
        <f>England6nationsptsscored</f>
        <v>3620</v>
      </c>
      <c r="BB7" s="693"/>
      <c r="BC7" s="216" t="s">
        <v>108</v>
      </c>
      <c r="BD7" s="217">
        <f>Engchampionshipptsscored</f>
        <v>7697</v>
      </c>
    </row>
    <row r="8" spans="1:56" ht="14.95" customHeight="1" thickBot="1" x14ac:dyDescent="0.35">
      <c r="A8" s="268" t="s">
        <v>873</v>
      </c>
      <c r="B8" s="270" t="s">
        <v>876</v>
      </c>
      <c r="C8" s="270" t="s">
        <v>138</v>
      </c>
      <c r="D8" s="270" t="s">
        <v>538</v>
      </c>
      <c r="E8" s="271"/>
      <c r="F8" s="271"/>
      <c r="G8" s="27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277"/>
      <c r="T8" s="278"/>
      <c r="U8" s="279"/>
      <c r="V8" s="277"/>
      <c r="W8" s="277"/>
      <c r="X8" s="277"/>
      <c r="Y8" s="280"/>
      <c r="Z8" s="273"/>
      <c r="AA8" s="273"/>
      <c r="AB8" s="273"/>
      <c r="AC8" s="287"/>
      <c r="AD8" s="273"/>
      <c r="AE8" s="273"/>
      <c r="AF8" s="273"/>
      <c r="AG8" s="287"/>
      <c r="AH8" s="273"/>
      <c r="AI8" s="273"/>
      <c r="AJ8" s="273"/>
      <c r="AK8" s="287"/>
      <c r="AL8" s="273"/>
      <c r="AM8" s="273"/>
      <c r="AN8" s="273"/>
      <c r="AO8" s="287"/>
      <c r="AQ8" s="216" t="s">
        <v>109</v>
      </c>
      <c r="AR8" s="217">
        <f>Englandalltestshistptsagainst</f>
        <v>10991</v>
      </c>
      <c r="AT8" s="216" t="s">
        <v>109</v>
      </c>
      <c r="AU8" s="217">
        <f>EnglandRWChistptsagainst</f>
        <v>885</v>
      </c>
      <c r="AW8" s="216" t="s">
        <v>109</v>
      </c>
      <c r="AX8" s="217"/>
      <c r="AY8" s="693"/>
      <c r="AZ8" s="695" t="s">
        <v>109</v>
      </c>
      <c r="BA8" s="697">
        <f>England6nationsptsagainst</f>
        <v>2361</v>
      </c>
      <c r="BB8" s="693"/>
      <c r="BC8" s="216" t="s">
        <v>109</v>
      </c>
      <c r="BD8" s="217">
        <f>Engchampionshipptsagainst</f>
        <v>5868</v>
      </c>
    </row>
    <row r="9" spans="1:56" ht="14.95" customHeight="1" thickBot="1" x14ac:dyDescent="0.3">
      <c r="A9" s="289" t="s">
        <v>875</v>
      </c>
      <c r="B9" s="290" t="s">
        <v>876</v>
      </c>
      <c r="C9" s="290" t="s">
        <v>31</v>
      </c>
      <c r="D9" s="290" t="s">
        <v>1016</v>
      </c>
      <c r="E9" s="291"/>
      <c r="F9" s="291"/>
      <c r="G9" s="291"/>
      <c r="H9" s="692"/>
      <c r="I9" s="692"/>
      <c r="J9" s="692"/>
      <c r="K9" s="692"/>
      <c r="L9" s="692"/>
      <c r="M9" s="692"/>
      <c r="N9" s="692"/>
      <c r="O9" s="692"/>
      <c r="P9" s="692"/>
      <c r="Q9" s="692"/>
      <c r="R9" s="692"/>
      <c r="S9" s="292"/>
      <c r="T9" s="303"/>
      <c r="U9" s="294"/>
      <c r="V9" s="292"/>
      <c r="W9" s="292"/>
      <c r="X9" s="292"/>
      <c r="Y9" s="296"/>
      <c r="Z9" s="295"/>
      <c r="AA9" s="295"/>
      <c r="AB9" s="295"/>
      <c r="AC9" s="307"/>
      <c r="AD9" s="295"/>
      <c r="AE9" s="295"/>
      <c r="AF9" s="295"/>
      <c r="AG9" s="307"/>
      <c r="AH9" s="295"/>
      <c r="AI9" s="295"/>
      <c r="AJ9" s="295"/>
      <c r="AK9" s="307"/>
      <c r="AL9" s="295"/>
      <c r="AM9" s="295"/>
      <c r="AN9" s="295"/>
      <c r="AO9" s="307"/>
      <c r="AQ9" s="216" t="s">
        <v>100</v>
      </c>
      <c r="AR9" s="217">
        <f>Englandalltestshisttriesscored</f>
        <v>1932</v>
      </c>
      <c r="AT9" s="216" t="s">
        <v>100</v>
      </c>
      <c r="AU9" s="217">
        <f>EnglandRWChisttriesscored</f>
        <v>190</v>
      </c>
      <c r="AW9" s="216" t="s">
        <v>100</v>
      </c>
      <c r="AX9" s="217"/>
      <c r="AY9" s="693"/>
      <c r="AZ9" s="695" t="s">
        <v>100</v>
      </c>
      <c r="BA9" s="697">
        <f>England6nationstriesscored</f>
        <v>398</v>
      </c>
      <c r="BB9" s="693"/>
      <c r="BC9" s="216" t="s">
        <v>100</v>
      </c>
      <c r="BD9" s="217">
        <f>Engchampionshiptriesscored</f>
        <v>1050</v>
      </c>
    </row>
    <row r="10" spans="1:56" ht="14.95" customHeight="1" thickBot="1" x14ac:dyDescent="0.35">
      <c r="A10" s="268" t="s">
        <v>498</v>
      </c>
      <c r="B10" s="270" t="s">
        <v>876</v>
      </c>
      <c r="C10" s="270" t="s">
        <v>37</v>
      </c>
      <c r="D10" s="270" t="s">
        <v>1018</v>
      </c>
      <c r="E10" s="271"/>
      <c r="F10" s="271"/>
      <c r="G10" s="27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277"/>
      <c r="T10" s="278"/>
      <c r="U10" s="279"/>
      <c r="V10" s="277"/>
      <c r="W10" s="277"/>
      <c r="X10" s="277"/>
      <c r="Y10" s="280"/>
      <c r="Z10" s="273"/>
      <c r="AA10" s="273"/>
      <c r="AB10" s="273"/>
      <c r="AC10" s="287"/>
      <c r="AD10" s="273"/>
      <c r="AE10" s="273"/>
      <c r="AF10" s="273"/>
      <c r="AG10" s="287"/>
      <c r="AH10" s="273"/>
      <c r="AI10" s="273"/>
      <c r="AJ10" s="273"/>
      <c r="AK10" s="287"/>
      <c r="AL10" s="273"/>
      <c r="AM10" s="273"/>
      <c r="AN10" s="273"/>
      <c r="AO10" s="287"/>
    </row>
    <row r="11" spans="1:56" ht="14.95" customHeight="1" thickBot="1" x14ac:dyDescent="0.35">
      <c r="A11" s="289" t="s">
        <v>263</v>
      </c>
      <c r="B11" s="290" t="s">
        <v>876</v>
      </c>
      <c r="C11" s="290" t="s">
        <v>29</v>
      </c>
      <c r="D11" s="290" t="s">
        <v>88</v>
      </c>
      <c r="E11" s="291"/>
      <c r="F11" s="291"/>
      <c r="G11" s="291"/>
      <c r="H11" s="692"/>
      <c r="I11" s="692"/>
      <c r="J11" s="692"/>
      <c r="K11" s="692"/>
      <c r="L11" s="692"/>
      <c r="M11" s="692"/>
      <c r="N11" s="692"/>
      <c r="O11" s="692"/>
      <c r="P11" s="692"/>
      <c r="Q11" s="692"/>
      <c r="R11" s="692"/>
      <c r="S11" s="292"/>
      <c r="T11" s="302"/>
      <c r="U11" s="294"/>
      <c r="V11" s="292"/>
      <c r="W11" s="292"/>
      <c r="X11" s="292"/>
      <c r="Y11" s="296"/>
      <c r="Z11" s="295"/>
      <c r="AA11" s="295"/>
      <c r="AB11" s="295"/>
      <c r="AC11" s="307"/>
      <c r="AD11" s="295"/>
      <c r="AE11" s="295"/>
      <c r="AF11" s="295"/>
      <c r="AG11" s="307"/>
      <c r="AH11" s="295"/>
      <c r="AI11" s="295"/>
      <c r="AJ11" s="295"/>
      <c r="AK11" s="307"/>
      <c r="AL11" s="295"/>
      <c r="AM11" s="295"/>
      <c r="AN11" s="295"/>
      <c r="AO11" s="307"/>
    </row>
    <row r="12" spans="1:56" ht="14.95" customHeight="1" thickBot="1" x14ac:dyDescent="0.35">
      <c r="A12" s="289" t="s">
        <v>1067</v>
      </c>
      <c r="B12" s="290" t="s">
        <v>876</v>
      </c>
      <c r="C12" s="290" t="s">
        <v>36</v>
      </c>
      <c r="D12" s="290" t="s">
        <v>88</v>
      </c>
      <c r="E12" s="291"/>
      <c r="F12" s="291"/>
      <c r="G12" s="291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2"/>
      <c r="S12" s="292"/>
      <c r="T12" s="302"/>
      <c r="U12" s="294"/>
      <c r="V12" s="292"/>
      <c r="W12" s="292"/>
      <c r="X12" s="292"/>
      <c r="Y12" s="299"/>
      <c r="Z12" s="295"/>
      <c r="AA12" s="295"/>
      <c r="AB12" s="295"/>
      <c r="AC12" s="307"/>
      <c r="AD12" s="295"/>
      <c r="AE12" s="295"/>
      <c r="AF12" s="295"/>
      <c r="AG12" s="307"/>
      <c r="AH12" s="295"/>
      <c r="AI12" s="295"/>
      <c r="AJ12" s="295"/>
      <c r="AK12" s="307"/>
      <c r="AL12" s="295"/>
      <c r="AM12" s="295"/>
      <c r="AN12" s="295"/>
      <c r="AO12" s="307"/>
    </row>
    <row r="13" spans="1:56" ht="14.95" customHeight="1" thickBot="1" x14ac:dyDescent="0.3">
      <c r="A13" s="289" t="s">
        <v>881</v>
      </c>
      <c r="B13" s="290" t="s">
        <v>876</v>
      </c>
      <c r="C13" s="290" t="s">
        <v>90</v>
      </c>
      <c r="D13" s="290" t="s">
        <v>88</v>
      </c>
      <c r="E13" s="291"/>
      <c r="F13" s="291"/>
      <c r="G13" s="291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292"/>
      <c r="T13" s="293"/>
      <c r="U13" s="294"/>
      <c r="V13" s="292"/>
      <c r="W13" s="294"/>
      <c r="X13" s="292"/>
      <c r="Y13" s="296"/>
      <c r="Z13" s="295"/>
      <c r="AA13" s="295"/>
      <c r="AB13" s="295"/>
      <c r="AC13" s="307"/>
      <c r="AD13" s="295"/>
      <c r="AE13" s="295"/>
      <c r="AF13" s="295"/>
      <c r="AG13" s="307"/>
      <c r="AH13" s="295"/>
      <c r="AI13" s="295"/>
      <c r="AJ13" s="295"/>
      <c r="AK13" s="307"/>
      <c r="AL13" s="295"/>
      <c r="AM13" s="295"/>
      <c r="AN13" s="295"/>
      <c r="AO13" s="307"/>
    </row>
    <row r="14" spans="1:56" ht="14.95" customHeight="1" thickBot="1" x14ac:dyDescent="0.35">
      <c r="A14" s="289" t="s">
        <v>874</v>
      </c>
      <c r="B14" s="290" t="s">
        <v>879</v>
      </c>
      <c r="C14" s="290" t="s">
        <v>874</v>
      </c>
      <c r="D14" s="290" t="s">
        <v>88</v>
      </c>
      <c r="E14" s="291"/>
      <c r="F14" s="291"/>
      <c r="G14" s="291"/>
      <c r="H14" s="692"/>
      <c r="I14" s="692"/>
      <c r="J14" s="692"/>
      <c r="K14" s="692"/>
      <c r="L14" s="692"/>
      <c r="M14" s="692"/>
      <c r="N14" s="692"/>
      <c r="O14" s="692"/>
      <c r="P14" s="692"/>
      <c r="Q14" s="692"/>
      <c r="R14" s="692"/>
      <c r="S14" s="292"/>
      <c r="T14" s="302"/>
      <c r="U14" s="294"/>
      <c r="V14" s="292"/>
      <c r="W14" s="294"/>
      <c r="X14" s="295"/>
      <c r="Y14" s="292"/>
      <c r="Z14" s="295"/>
      <c r="AA14" s="295"/>
      <c r="AB14" s="295"/>
      <c r="AC14" s="307"/>
      <c r="AD14" s="295"/>
      <c r="AE14" s="295"/>
      <c r="AF14" s="295"/>
      <c r="AG14" s="307"/>
      <c r="AH14" s="295"/>
      <c r="AI14" s="295"/>
      <c r="AJ14" s="295"/>
      <c r="AK14" s="307"/>
      <c r="AL14" s="295"/>
      <c r="AM14" s="295"/>
      <c r="AN14" s="295"/>
      <c r="AO14" s="307"/>
    </row>
    <row r="15" spans="1:56" ht="14.95" customHeight="1" thickBot="1" x14ac:dyDescent="0.3">
      <c r="A15" s="179"/>
      <c r="B15" s="180"/>
      <c r="C15" s="1151" t="s">
        <v>82</v>
      </c>
      <c r="D15" s="1152"/>
      <c r="E15" s="1153"/>
      <c r="F15" s="869">
        <f>SUM(F3:F7)</f>
        <v>107</v>
      </c>
      <c r="G15" s="869">
        <f t="shared" ref="G15:R15" si="0">SUM(G3:G7)</f>
        <v>103</v>
      </c>
      <c r="H15" s="869">
        <f t="shared" si="0"/>
        <v>1</v>
      </c>
      <c r="I15" s="869">
        <f t="shared" si="0"/>
        <v>1</v>
      </c>
      <c r="J15" s="869">
        <f t="shared" si="0"/>
        <v>14</v>
      </c>
      <c r="K15" s="869">
        <f t="shared" si="0"/>
        <v>10</v>
      </c>
      <c r="L15" s="869">
        <f t="shared" si="0"/>
        <v>0</v>
      </c>
      <c r="M15" s="869">
        <f t="shared" si="0"/>
        <v>5</v>
      </c>
      <c r="N15" s="869">
        <f t="shared" si="0"/>
        <v>7</v>
      </c>
      <c r="O15" s="869">
        <f t="shared" si="0"/>
        <v>1</v>
      </c>
      <c r="P15" s="869">
        <f t="shared" si="0"/>
        <v>2</v>
      </c>
      <c r="Q15" s="869">
        <f t="shared" si="0"/>
        <v>0</v>
      </c>
      <c r="R15" s="869">
        <f t="shared" si="0"/>
        <v>12</v>
      </c>
      <c r="S15" s="890"/>
      <c r="T15" s="890"/>
      <c r="U15" s="890"/>
      <c r="V15" s="890"/>
      <c r="W15" s="890"/>
      <c r="X15" s="871"/>
      <c r="Y15" s="872" t="s">
        <v>82</v>
      </c>
      <c r="Z15" s="869">
        <f t="shared" ref="Z15:AO15" si="1">SUM(Z3:Z7)</f>
        <v>4</v>
      </c>
      <c r="AA15" s="869">
        <f t="shared" si="1"/>
        <v>1</v>
      </c>
      <c r="AB15" s="869">
        <f t="shared" si="1"/>
        <v>0</v>
      </c>
      <c r="AC15" s="869">
        <f t="shared" si="1"/>
        <v>3</v>
      </c>
      <c r="AD15" s="873">
        <f t="shared" si="1"/>
        <v>2</v>
      </c>
      <c r="AE15" s="873">
        <f t="shared" si="1"/>
        <v>1</v>
      </c>
      <c r="AF15" s="873">
        <f t="shared" si="1"/>
        <v>0</v>
      </c>
      <c r="AG15" s="873">
        <f t="shared" si="1"/>
        <v>1</v>
      </c>
      <c r="AH15" s="874">
        <f t="shared" si="1"/>
        <v>2</v>
      </c>
      <c r="AI15" s="874">
        <f t="shared" si="1"/>
        <v>0</v>
      </c>
      <c r="AJ15" s="874">
        <f t="shared" si="1"/>
        <v>0</v>
      </c>
      <c r="AK15" s="874">
        <f t="shared" si="1"/>
        <v>2</v>
      </c>
      <c r="AL15" s="869">
        <f t="shared" si="1"/>
        <v>0</v>
      </c>
      <c r="AM15" s="869">
        <f t="shared" si="1"/>
        <v>0</v>
      </c>
      <c r="AN15" s="869">
        <f t="shared" si="1"/>
        <v>0</v>
      </c>
      <c r="AO15" s="869">
        <f t="shared" si="1"/>
        <v>0</v>
      </c>
    </row>
    <row r="16" spans="1:56" ht="14.95" customHeight="1" thickBot="1" x14ac:dyDescent="0.3">
      <c r="A16" s="179"/>
      <c r="B16" s="180"/>
      <c r="C16" s="1128" t="s">
        <v>878</v>
      </c>
      <c r="D16" s="1157"/>
      <c r="E16" s="1158"/>
      <c r="F16" s="547">
        <f>SUM(F8:F14)</f>
        <v>0</v>
      </c>
      <c r="G16" s="547">
        <f>SUM(G8:G14)</f>
        <v>0</v>
      </c>
      <c r="H16" s="547">
        <f t="shared" ref="H16:Q16" si="2">SUM(H8:H14)</f>
        <v>0</v>
      </c>
      <c r="I16" s="547">
        <f t="shared" si="2"/>
        <v>0</v>
      </c>
      <c r="J16" s="547">
        <f t="shared" si="2"/>
        <v>0</v>
      </c>
      <c r="K16" s="547">
        <f t="shared" si="2"/>
        <v>0</v>
      </c>
      <c r="L16" s="547">
        <f t="shared" si="2"/>
        <v>0</v>
      </c>
      <c r="M16" s="547">
        <f t="shared" si="2"/>
        <v>0</v>
      </c>
      <c r="N16" s="547">
        <f t="shared" si="2"/>
        <v>0</v>
      </c>
      <c r="O16" s="547">
        <f t="shared" si="2"/>
        <v>0</v>
      </c>
      <c r="P16" s="547">
        <f t="shared" si="2"/>
        <v>0</v>
      </c>
      <c r="Q16" s="547">
        <f t="shared" si="2"/>
        <v>0</v>
      </c>
      <c r="R16" s="547">
        <f>SUM(R8:R14)</f>
        <v>0</v>
      </c>
      <c r="S16" s="548"/>
      <c r="T16" s="548"/>
      <c r="U16" s="548"/>
      <c r="V16" s="548"/>
      <c r="W16" s="548"/>
      <c r="X16" s="175"/>
      <c r="Y16" s="249" t="s">
        <v>878</v>
      </c>
      <c r="Z16" s="547">
        <f t="shared" ref="Z16:AO16" si="3">SUM(Z8:Z14)</f>
        <v>0</v>
      </c>
      <c r="AA16" s="547">
        <f t="shared" si="3"/>
        <v>0</v>
      </c>
      <c r="AB16" s="547">
        <f t="shared" si="3"/>
        <v>0</v>
      </c>
      <c r="AC16" s="547">
        <f t="shared" si="3"/>
        <v>0</v>
      </c>
      <c r="AD16" s="549">
        <f t="shared" si="3"/>
        <v>0</v>
      </c>
      <c r="AE16" s="549">
        <f t="shared" si="3"/>
        <v>0</v>
      </c>
      <c r="AF16" s="549">
        <f t="shared" si="3"/>
        <v>0</v>
      </c>
      <c r="AG16" s="549">
        <f t="shared" si="3"/>
        <v>0</v>
      </c>
      <c r="AH16" s="550">
        <f t="shared" si="3"/>
        <v>0</v>
      </c>
      <c r="AI16" s="550">
        <f t="shared" si="3"/>
        <v>0</v>
      </c>
      <c r="AJ16" s="550">
        <f t="shared" si="3"/>
        <v>0</v>
      </c>
      <c r="AK16" s="550">
        <f t="shared" si="3"/>
        <v>0</v>
      </c>
      <c r="AL16" s="547">
        <f t="shared" si="3"/>
        <v>0</v>
      </c>
      <c r="AM16" s="547">
        <f t="shared" si="3"/>
        <v>0</v>
      </c>
      <c r="AN16" s="547">
        <f t="shared" si="3"/>
        <v>0</v>
      </c>
      <c r="AO16" s="547">
        <f t="shared" si="3"/>
        <v>0</v>
      </c>
    </row>
    <row r="17" spans="1:41" ht="14.95" customHeight="1" thickBot="1" x14ac:dyDescent="0.3">
      <c r="A17" s="179"/>
      <c r="B17" s="180"/>
      <c r="C17" s="1087" t="s">
        <v>81</v>
      </c>
      <c r="D17" s="1088"/>
      <c r="E17" s="1089"/>
      <c r="F17" s="231">
        <f t="shared" ref="F17:R17" si="4">SUM(F3:F14)</f>
        <v>107</v>
      </c>
      <c r="G17" s="231">
        <f t="shared" si="4"/>
        <v>103</v>
      </c>
      <c r="H17" s="231">
        <f t="shared" si="4"/>
        <v>1</v>
      </c>
      <c r="I17" s="231">
        <f t="shared" si="4"/>
        <v>1</v>
      </c>
      <c r="J17" s="231">
        <f t="shared" si="4"/>
        <v>14</v>
      </c>
      <c r="K17" s="231">
        <f t="shared" si="4"/>
        <v>10</v>
      </c>
      <c r="L17" s="231">
        <f t="shared" si="4"/>
        <v>0</v>
      </c>
      <c r="M17" s="231">
        <f t="shared" si="4"/>
        <v>5</v>
      </c>
      <c r="N17" s="231">
        <f t="shared" si="4"/>
        <v>7</v>
      </c>
      <c r="O17" s="231">
        <f t="shared" si="4"/>
        <v>1</v>
      </c>
      <c r="P17" s="231">
        <f t="shared" si="4"/>
        <v>2</v>
      </c>
      <c r="Q17" s="231">
        <f t="shared" si="4"/>
        <v>0</v>
      </c>
      <c r="R17" s="231">
        <f t="shared" si="4"/>
        <v>12</v>
      </c>
      <c r="S17" s="324"/>
      <c r="T17" s="324"/>
      <c r="U17" s="324"/>
      <c r="V17" s="324"/>
      <c r="W17" s="324"/>
      <c r="X17" s="13"/>
      <c r="Y17" s="246" t="s">
        <v>81</v>
      </c>
      <c r="Z17" s="231">
        <f t="shared" ref="Z17:AO17" si="5">SUM(Z3:Z14)</f>
        <v>4</v>
      </c>
      <c r="AA17" s="231">
        <f t="shared" si="5"/>
        <v>1</v>
      </c>
      <c r="AB17" s="231">
        <f t="shared" si="5"/>
        <v>0</v>
      </c>
      <c r="AC17" s="231">
        <f t="shared" si="5"/>
        <v>3</v>
      </c>
      <c r="AD17" s="229">
        <f t="shared" si="5"/>
        <v>2</v>
      </c>
      <c r="AE17" s="229">
        <f t="shared" si="5"/>
        <v>1</v>
      </c>
      <c r="AF17" s="229">
        <f t="shared" si="5"/>
        <v>0</v>
      </c>
      <c r="AG17" s="229">
        <f t="shared" si="5"/>
        <v>1</v>
      </c>
      <c r="AH17" s="230">
        <f t="shared" si="5"/>
        <v>2</v>
      </c>
      <c r="AI17" s="230">
        <f t="shared" si="5"/>
        <v>0</v>
      </c>
      <c r="AJ17" s="230">
        <f t="shared" si="5"/>
        <v>0</v>
      </c>
      <c r="AK17" s="230">
        <f t="shared" si="5"/>
        <v>2</v>
      </c>
      <c r="AL17" s="231">
        <f t="shared" si="5"/>
        <v>0</v>
      </c>
      <c r="AM17" s="231">
        <f t="shared" si="5"/>
        <v>0</v>
      </c>
      <c r="AN17" s="231">
        <f t="shared" si="5"/>
        <v>0</v>
      </c>
      <c r="AO17" s="231">
        <f t="shared" si="5"/>
        <v>0</v>
      </c>
    </row>
    <row r="18" spans="1:41" ht="14.95" customHeight="1" x14ac:dyDescent="0.25">
      <c r="A18" s="1108" t="s">
        <v>1019</v>
      </c>
      <c r="B18" s="1108"/>
      <c r="C18" s="1108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  <c r="S18" s="1108"/>
      <c r="T18" s="1108"/>
      <c r="U18" s="1108"/>
      <c r="V18" s="1108"/>
      <c r="W18" s="1108"/>
      <c r="X18" s="1108"/>
      <c r="Y18" s="1108"/>
      <c r="Z18" s="1108"/>
      <c r="AA18" s="1108"/>
      <c r="AB18" s="1108"/>
      <c r="AC18" s="1108"/>
      <c r="AD18" s="1108"/>
      <c r="AE18" s="1108"/>
      <c r="AF18" s="1108"/>
      <c r="AG18" s="1108"/>
      <c r="AH18" s="1108"/>
      <c r="AI18" s="1108"/>
      <c r="AJ18" s="1108"/>
      <c r="AK18" s="1108"/>
      <c r="AL18" s="1108"/>
      <c r="AM18" s="1108"/>
      <c r="AN18" s="1108"/>
      <c r="AO18" s="1108"/>
    </row>
    <row r="19" spans="1:41" ht="14.95" customHeight="1" x14ac:dyDescent="0.25">
      <c r="A19" s="1108" t="s">
        <v>1022</v>
      </c>
      <c r="B19" s="1147"/>
      <c r="C19" s="1147"/>
      <c r="D19" s="1147"/>
      <c r="E19" s="1147"/>
      <c r="F19" s="1147"/>
      <c r="G19" s="1147"/>
      <c r="H19" s="1147"/>
      <c r="I19" s="1147"/>
      <c r="J19" s="1147"/>
      <c r="K19" s="1147"/>
      <c r="L19" s="1147"/>
      <c r="M19" s="1147"/>
      <c r="N19" s="1147"/>
      <c r="O19" s="1147"/>
      <c r="P19" s="1147"/>
      <c r="Q19" s="1147"/>
      <c r="R19" s="1147"/>
      <c r="S19" s="1147"/>
      <c r="T19" s="1147"/>
      <c r="U19" s="1147"/>
      <c r="V19" s="1147"/>
      <c r="W19" s="1147"/>
      <c r="X19" s="1147"/>
      <c r="Y19" s="1147"/>
      <c r="Z19" s="1147"/>
      <c r="AA19" s="1147"/>
      <c r="AB19" s="1147"/>
      <c r="AC19" s="1147"/>
      <c r="AD19" s="1147"/>
      <c r="AE19" s="1147"/>
      <c r="AF19" s="1147"/>
      <c r="AG19" s="1147"/>
      <c r="AH19" s="1147"/>
      <c r="AI19" s="1147"/>
      <c r="AJ19" s="1147"/>
      <c r="AK19" s="1147"/>
      <c r="AL19" s="1147"/>
      <c r="AM19" s="1147"/>
      <c r="AN19" s="1147"/>
      <c r="AO19" s="1147"/>
    </row>
    <row r="20" spans="1:41" ht="14.95" customHeight="1" x14ac:dyDescent="0.25">
      <c r="A20" t="s">
        <v>890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4.95" customHeight="1" x14ac:dyDescent="0.25">
      <c r="A21" t="s">
        <v>891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ht="14.95" customHeight="1" x14ac:dyDescent="0.25">
      <c r="A22" t="s">
        <v>1056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ht="14.95" customHeight="1" x14ac:dyDescent="0.25">
      <c r="A23" s="1108" t="s">
        <v>1017</v>
      </c>
      <c r="B23" s="1108"/>
      <c r="C23" s="1108"/>
      <c r="D23" s="1108"/>
      <c r="E23" s="1108"/>
      <c r="F23" s="1108"/>
      <c r="G23" s="1108"/>
      <c r="H23" s="1108"/>
      <c r="I23" s="1108"/>
      <c r="J23" s="1108"/>
      <c r="K23" s="1108"/>
      <c r="L23" s="1108"/>
      <c r="M23" s="1108"/>
      <c r="N23" s="1108"/>
      <c r="O23" s="1108"/>
      <c r="P23" s="1108"/>
      <c r="Q23" s="1108"/>
      <c r="R23" s="1108"/>
      <c r="S23" s="1108"/>
      <c r="T23" s="1108"/>
      <c r="U23" s="1108"/>
      <c r="V23" s="1108"/>
      <c r="W23" s="1108"/>
      <c r="X23" s="1108"/>
      <c r="Y23" s="1108"/>
      <c r="Z23" s="1108"/>
      <c r="AA23" s="1108"/>
      <c r="AB23" s="1108"/>
      <c r="AC23" s="1108"/>
      <c r="AD23" s="1108"/>
      <c r="AE23" s="1108"/>
      <c r="AF23" s="1108"/>
      <c r="AG23" s="1108"/>
      <c r="AH23" s="1108"/>
      <c r="AI23" s="1108"/>
      <c r="AJ23" s="1108"/>
      <c r="AK23" s="1108"/>
      <c r="AL23" s="1108"/>
      <c r="AM23" s="1108"/>
      <c r="AN23" s="1108"/>
      <c r="AO23" s="1108"/>
    </row>
    <row r="24" spans="1:41" ht="14.95" customHeight="1" x14ac:dyDescent="0.25">
      <c r="A24" s="1108" t="s">
        <v>889</v>
      </c>
      <c r="B24" s="1147"/>
      <c r="C24" s="1147"/>
      <c r="D24" s="1147"/>
      <c r="E24" s="1147"/>
      <c r="F24" s="1147"/>
      <c r="G24" s="1147"/>
      <c r="H24" s="1147"/>
      <c r="I24" s="1147"/>
      <c r="J24" s="1147"/>
      <c r="K24" s="1147"/>
      <c r="L24" s="1147"/>
      <c r="M24" s="1147"/>
      <c r="N24" s="1147"/>
      <c r="O24" s="1147"/>
      <c r="P24" s="1147"/>
      <c r="Q24" s="1147"/>
      <c r="R24" s="1147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</row>
    <row r="25" spans="1:41" ht="14.95" customHeight="1" x14ac:dyDescent="0.25">
      <c r="A25" t="s">
        <v>921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ht="14.95" customHeight="1" x14ac:dyDescent="0.25">
      <c r="A26" s="376"/>
      <c r="B26" s="138" t="s">
        <v>44</v>
      </c>
    </row>
    <row r="27" spans="1:41" ht="14.95" customHeight="1" x14ac:dyDescent="0.25">
      <c r="A27" s="377"/>
      <c r="B27" s="138" t="s">
        <v>42</v>
      </c>
    </row>
    <row r="28" spans="1:41" ht="14.95" customHeight="1" x14ac:dyDescent="0.25">
      <c r="A28" s="378"/>
      <c r="B28" s="138" t="s">
        <v>43</v>
      </c>
    </row>
    <row r="29" spans="1:41" ht="14.95" customHeight="1" x14ac:dyDescent="0.3">
      <c r="A29" s="792" t="s">
        <v>28</v>
      </c>
      <c r="B29"/>
      <c r="C29"/>
    </row>
    <row r="30" spans="1:41" ht="14.95" customHeight="1" x14ac:dyDescent="0.25">
      <c r="A30"/>
      <c r="B30"/>
      <c r="C30"/>
    </row>
    <row r="31" spans="1:41" ht="14.95" customHeight="1" x14ac:dyDescent="0.25">
      <c r="A31"/>
      <c r="B31"/>
      <c r="C31"/>
    </row>
    <row r="32" spans="1:41" ht="14.95" customHeight="1" x14ac:dyDescent="0.25">
      <c r="A32"/>
      <c r="B32"/>
      <c r="C32"/>
    </row>
    <row r="33" spans="1:3" ht="14.95" customHeight="1" x14ac:dyDescent="0.25">
      <c r="A33"/>
      <c r="B33"/>
      <c r="C33"/>
    </row>
    <row r="34" spans="1:3" ht="14.95" customHeight="1" x14ac:dyDescent="0.25">
      <c r="A34"/>
      <c r="B34"/>
      <c r="C34"/>
    </row>
    <row r="35" spans="1:3" ht="14.95" customHeight="1" x14ac:dyDescent="0.25">
      <c r="A35"/>
      <c r="B35"/>
      <c r="C35"/>
    </row>
    <row r="36" spans="1:3" ht="14.95" customHeight="1" x14ac:dyDescent="0.25">
      <c r="A36"/>
      <c r="B36"/>
      <c r="C36"/>
    </row>
    <row r="37" spans="1:3" ht="14.95" customHeight="1" x14ac:dyDescent="0.25">
      <c r="A37"/>
      <c r="B37"/>
      <c r="C37"/>
    </row>
  </sheetData>
  <mergeCells count="17">
    <mergeCell ref="E1:G1"/>
    <mergeCell ref="H1:I1"/>
    <mergeCell ref="A24:R24"/>
    <mergeCell ref="A23:AO23"/>
    <mergeCell ref="A18:AO18"/>
    <mergeCell ref="Z1:AC1"/>
    <mergeCell ref="AD1:AG1"/>
    <mergeCell ref="AH1:AK1"/>
    <mergeCell ref="AL1:AO1"/>
    <mergeCell ref="C15:E15"/>
    <mergeCell ref="P1:R1"/>
    <mergeCell ref="C16:E16"/>
    <mergeCell ref="C17:E17"/>
    <mergeCell ref="J1:M1"/>
    <mergeCell ref="A19:AO19"/>
    <mergeCell ref="N1:O1"/>
    <mergeCell ref="A1:C1"/>
  </mergeCells>
  <pageMargins left="0.7" right="0.7" top="0.75" bottom="0.75" header="0.3" footer="0.3"/>
  <pageSetup paperSize="9" orientation="portrait" r:id="rId1"/>
  <ignoredErrors>
    <ignoredError sqref="F15:AO15 S16:X16" formulaRange="1"/>
    <ignoredError sqref="T4:T5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28"/>
  <sheetViews>
    <sheetView zoomScale="90" zoomScaleNormal="90" workbookViewId="0">
      <pane ySplit="2" topLeftCell="A3" activePane="bottomLeft" state="frozen"/>
      <selection activeCell="D8" sqref="A8:AO21"/>
      <selection pane="bottomLeft" activeCell="U22" sqref="U22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375" customWidth="1"/>
    <col min="5" max="10" width="3.625" customWidth="1"/>
    <col min="11" max="11" width="3.875" customWidth="1"/>
    <col min="12" max="18" width="3.625" customWidth="1"/>
    <col min="19" max="20" width="6.375" customWidth="1"/>
    <col min="21" max="21" width="20.25" bestFit="1" customWidth="1"/>
    <col min="22" max="22" width="28.375" bestFit="1" customWidth="1"/>
    <col min="23" max="23" width="18.75" bestFit="1" customWidth="1"/>
    <col min="24" max="24" width="22.125" bestFit="1" customWidth="1"/>
    <col min="25" max="25" width="19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167" t="s">
        <v>403</v>
      </c>
      <c r="B1" s="1168"/>
      <c r="C1" s="1168"/>
      <c r="D1" s="98"/>
      <c r="E1" s="1165" t="s">
        <v>24</v>
      </c>
      <c r="F1" s="1169"/>
      <c r="G1" s="1166"/>
      <c r="H1" s="1165" t="s">
        <v>23</v>
      </c>
      <c r="I1" s="1166"/>
      <c r="J1" s="1162" t="s">
        <v>6</v>
      </c>
      <c r="K1" s="1163"/>
      <c r="L1" s="1163"/>
      <c r="M1" s="1164"/>
      <c r="N1" s="1162" t="s">
        <v>7</v>
      </c>
      <c r="O1" s="1164"/>
      <c r="P1" s="1162" t="s">
        <v>25</v>
      </c>
      <c r="Q1" s="1163"/>
      <c r="R1" s="1164"/>
      <c r="S1" s="16" t="s">
        <v>8</v>
      </c>
      <c r="T1" s="232" t="s">
        <v>9</v>
      </c>
      <c r="U1" s="782" t="s">
        <v>10</v>
      </c>
      <c r="V1" s="232" t="s">
        <v>11</v>
      </c>
      <c r="W1" s="782" t="s">
        <v>211</v>
      </c>
      <c r="X1" s="800" t="s">
        <v>26</v>
      </c>
      <c r="Y1" s="801" t="s">
        <v>27</v>
      </c>
      <c r="Z1" s="1176" t="s">
        <v>20</v>
      </c>
      <c r="AA1" s="1177"/>
      <c r="AB1" s="1177"/>
      <c r="AC1" s="1178"/>
      <c r="AD1" s="1179" t="s">
        <v>61</v>
      </c>
      <c r="AE1" s="1177"/>
      <c r="AF1" s="1177"/>
      <c r="AG1" s="1178"/>
      <c r="AH1" s="1179" t="s">
        <v>62</v>
      </c>
      <c r="AI1" s="1177"/>
      <c r="AJ1" s="1177"/>
      <c r="AK1" s="1178"/>
      <c r="AL1" s="1179" t="s">
        <v>63</v>
      </c>
      <c r="AM1" s="1177"/>
      <c r="AN1" s="1177"/>
      <c r="AO1" s="1178"/>
      <c r="AQ1" s="204" t="s">
        <v>114</v>
      </c>
      <c r="AR1" s="218"/>
      <c r="AS1" s="218"/>
      <c r="AT1" s="204" t="s">
        <v>114</v>
      </c>
    </row>
    <row r="2" spans="1:47" ht="14.95" customHeight="1" thickBot="1" x14ac:dyDescent="0.3">
      <c r="A2" s="12" t="s">
        <v>19</v>
      </c>
      <c r="B2" s="17" t="s">
        <v>18</v>
      </c>
      <c r="C2" s="18" t="s">
        <v>201</v>
      </c>
      <c r="D2" s="18" t="s">
        <v>41</v>
      </c>
      <c r="E2" s="19" t="s">
        <v>16</v>
      </c>
      <c r="F2" s="19" t="s">
        <v>4</v>
      </c>
      <c r="G2" s="19" t="s">
        <v>5</v>
      </c>
      <c r="H2" s="20" t="s">
        <v>12</v>
      </c>
      <c r="I2" s="20" t="s">
        <v>3</v>
      </c>
      <c r="J2" s="20" t="s">
        <v>12</v>
      </c>
      <c r="K2" s="20" t="s">
        <v>13</v>
      </c>
      <c r="L2" s="20" t="s">
        <v>2</v>
      </c>
      <c r="M2" s="20" t="s">
        <v>14</v>
      </c>
      <c r="N2" s="20" t="s">
        <v>15</v>
      </c>
      <c r="O2" s="20" t="s">
        <v>16</v>
      </c>
      <c r="P2" s="20" t="s">
        <v>21</v>
      </c>
      <c r="Q2" s="20" t="s">
        <v>22</v>
      </c>
      <c r="R2" s="20" t="s">
        <v>12</v>
      </c>
      <c r="S2" s="21"/>
      <c r="T2" s="22"/>
      <c r="U2" s="23"/>
      <c r="V2" s="21"/>
      <c r="W2" s="21"/>
      <c r="X2" s="110"/>
      <c r="Y2" s="24"/>
      <c r="Z2" s="190" t="s">
        <v>0</v>
      </c>
      <c r="AA2" s="190" t="s">
        <v>1</v>
      </c>
      <c r="AB2" s="190" t="s">
        <v>2</v>
      </c>
      <c r="AC2" s="190" t="s">
        <v>3</v>
      </c>
      <c r="AD2" s="191" t="s">
        <v>0</v>
      </c>
      <c r="AE2" s="191" t="s">
        <v>1</v>
      </c>
      <c r="AF2" s="191" t="s">
        <v>2</v>
      </c>
      <c r="AG2" s="191" t="s">
        <v>3</v>
      </c>
      <c r="AH2" s="191" t="s">
        <v>0</v>
      </c>
      <c r="AI2" s="191" t="s">
        <v>1</v>
      </c>
      <c r="AJ2" s="191" t="s">
        <v>2</v>
      </c>
      <c r="AK2" s="191" t="s">
        <v>3</v>
      </c>
      <c r="AL2" s="191" t="s">
        <v>0</v>
      </c>
      <c r="AM2" s="191" t="s">
        <v>1</v>
      </c>
      <c r="AN2" s="191" t="s">
        <v>2</v>
      </c>
      <c r="AO2" s="191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">
      <c r="A3" s="284" t="s">
        <v>207</v>
      </c>
      <c r="B3" s="270" t="s">
        <v>436</v>
      </c>
      <c r="C3" s="270" t="s">
        <v>29</v>
      </c>
      <c r="D3" s="270" t="s">
        <v>437</v>
      </c>
      <c r="E3" s="271" t="s">
        <v>3</v>
      </c>
      <c r="F3" s="271">
        <v>18</v>
      </c>
      <c r="G3" s="271">
        <v>21</v>
      </c>
      <c r="H3" s="691" t="s">
        <v>80</v>
      </c>
      <c r="I3" s="691" t="s">
        <v>80</v>
      </c>
      <c r="J3" s="691">
        <v>2</v>
      </c>
      <c r="K3" s="691">
        <v>1</v>
      </c>
      <c r="L3" s="691">
        <v>0</v>
      </c>
      <c r="M3" s="691">
        <v>2</v>
      </c>
      <c r="N3" s="691">
        <v>0</v>
      </c>
      <c r="O3" s="691">
        <v>0</v>
      </c>
      <c r="P3" s="691" t="s">
        <v>80</v>
      </c>
      <c r="Q3" s="691" t="s">
        <v>80</v>
      </c>
      <c r="R3" s="691">
        <v>3</v>
      </c>
      <c r="S3" s="277">
        <v>28122</v>
      </c>
      <c r="T3" s="281" t="s">
        <v>420</v>
      </c>
      <c r="U3" s="279" t="s">
        <v>190</v>
      </c>
      <c r="V3" s="277" t="s">
        <v>181</v>
      </c>
      <c r="W3" s="277" t="s">
        <v>240</v>
      </c>
      <c r="X3" s="277" t="s">
        <v>165</v>
      </c>
      <c r="Y3" s="280" t="s">
        <v>438</v>
      </c>
      <c r="Z3" s="718">
        <v>1</v>
      </c>
      <c r="AA3" s="718">
        <v>0</v>
      </c>
      <c r="AB3" s="718">
        <v>0</v>
      </c>
      <c r="AC3" s="719">
        <v>1</v>
      </c>
      <c r="AD3" s="718">
        <v>0</v>
      </c>
      <c r="AE3" s="718">
        <v>0</v>
      </c>
      <c r="AF3" s="718">
        <v>0</v>
      </c>
      <c r="AG3" s="718">
        <v>0</v>
      </c>
      <c r="AH3" s="718">
        <v>1</v>
      </c>
      <c r="AI3" s="718">
        <v>0</v>
      </c>
      <c r="AJ3" s="718">
        <v>0</v>
      </c>
      <c r="AK3" s="718">
        <v>1</v>
      </c>
      <c r="AL3" s="718">
        <v>0</v>
      </c>
      <c r="AM3" s="718">
        <v>0</v>
      </c>
      <c r="AN3" s="718">
        <v>0</v>
      </c>
      <c r="AO3" s="718">
        <v>0</v>
      </c>
      <c r="AQ3" s="214" t="s">
        <v>101</v>
      </c>
      <c r="AR3" s="215">
        <f>Fijialltestshistplayed</f>
        <v>385</v>
      </c>
      <c r="AT3" s="214" t="s">
        <v>101</v>
      </c>
      <c r="AU3" s="215">
        <f>FijiRWChistplayed</f>
        <v>37</v>
      </c>
    </row>
    <row r="4" spans="1:47" ht="14.95" customHeight="1" thickBot="1" x14ac:dyDescent="0.35">
      <c r="A4" s="304" t="s">
        <v>232</v>
      </c>
      <c r="B4" s="290" t="s">
        <v>45</v>
      </c>
      <c r="C4" s="290" t="s">
        <v>35</v>
      </c>
      <c r="D4" s="290" t="s">
        <v>440</v>
      </c>
      <c r="E4" s="291" t="s">
        <v>1</v>
      </c>
      <c r="F4" s="291">
        <v>29</v>
      </c>
      <c r="G4" s="291">
        <v>14</v>
      </c>
      <c r="H4" s="692" t="s">
        <v>80</v>
      </c>
      <c r="I4" s="692" t="s">
        <v>80</v>
      </c>
      <c r="J4" s="692">
        <v>4</v>
      </c>
      <c r="K4" s="692">
        <v>2</v>
      </c>
      <c r="L4" s="692">
        <v>0</v>
      </c>
      <c r="M4" s="692">
        <v>1</v>
      </c>
      <c r="N4" s="692">
        <v>0</v>
      </c>
      <c r="O4" s="692">
        <v>0</v>
      </c>
      <c r="P4" s="692" t="s">
        <v>80</v>
      </c>
      <c r="Q4" s="692" t="s">
        <v>80</v>
      </c>
      <c r="R4" s="692">
        <v>2</v>
      </c>
      <c r="S4" s="292">
        <v>10000</v>
      </c>
      <c r="T4" s="302" t="s">
        <v>442</v>
      </c>
      <c r="U4" s="294" t="s">
        <v>165</v>
      </c>
      <c r="V4" s="294" t="s">
        <v>240</v>
      </c>
      <c r="W4" s="292" t="s">
        <v>157</v>
      </c>
      <c r="X4" s="292" t="s">
        <v>170</v>
      </c>
      <c r="Y4" s="296" t="s">
        <v>443</v>
      </c>
      <c r="Z4" s="716">
        <v>1</v>
      </c>
      <c r="AA4" s="716">
        <v>1</v>
      </c>
      <c r="AB4" s="716">
        <v>0</v>
      </c>
      <c r="AC4" s="717">
        <v>0</v>
      </c>
      <c r="AD4" s="716">
        <v>1</v>
      </c>
      <c r="AE4" s="716">
        <v>1</v>
      </c>
      <c r="AF4" s="716">
        <v>0</v>
      </c>
      <c r="AG4" s="716">
        <v>0</v>
      </c>
      <c r="AH4" s="716">
        <v>0</v>
      </c>
      <c r="AI4" s="716">
        <v>0</v>
      </c>
      <c r="AJ4" s="716">
        <v>0</v>
      </c>
      <c r="AK4" s="716">
        <v>0</v>
      </c>
      <c r="AL4" s="716">
        <v>0</v>
      </c>
      <c r="AM4" s="716">
        <v>0</v>
      </c>
      <c r="AN4" s="716">
        <v>0</v>
      </c>
      <c r="AO4" s="716">
        <v>0</v>
      </c>
      <c r="AQ4" s="216" t="s">
        <v>102</v>
      </c>
      <c r="AR4" s="217">
        <f>Fijialltestshistwon</f>
        <v>191</v>
      </c>
      <c r="AT4" s="216" t="s">
        <v>102</v>
      </c>
      <c r="AU4" s="217">
        <f>FijiRWChistwon</f>
        <v>13</v>
      </c>
    </row>
    <row r="5" spans="1:47" ht="14.95" customHeight="1" thickBot="1" x14ac:dyDescent="0.35">
      <c r="A5" s="304" t="s">
        <v>249</v>
      </c>
      <c r="B5" s="290" t="s">
        <v>259</v>
      </c>
      <c r="C5" s="290" t="s">
        <v>91</v>
      </c>
      <c r="D5" s="290" t="s">
        <v>440</v>
      </c>
      <c r="E5" s="291" t="s">
        <v>1</v>
      </c>
      <c r="F5" s="291">
        <v>32</v>
      </c>
      <c r="G5" s="291">
        <v>10</v>
      </c>
      <c r="H5" s="692">
        <v>1</v>
      </c>
      <c r="I5" s="692">
        <v>0</v>
      </c>
      <c r="J5" s="692">
        <v>4</v>
      </c>
      <c r="K5" s="692">
        <v>3</v>
      </c>
      <c r="L5" s="692">
        <v>0</v>
      </c>
      <c r="M5" s="692">
        <v>2</v>
      </c>
      <c r="N5" s="692">
        <v>0</v>
      </c>
      <c r="O5" s="692">
        <v>0</v>
      </c>
      <c r="P5" s="692">
        <v>0</v>
      </c>
      <c r="Q5" s="692">
        <v>0</v>
      </c>
      <c r="R5" s="692">
        <v>1</v>
      </c>
      <c r="S5" s="292">
        <v>3000</v>
      </c>
      <c r="T5" s="302" t="s">
        <v>589</v>
      </c>
      <c r="U5" s="294" t="s">
        <v>161</v>
      </c>
      <c r="V5" s="292" t="s">
        <v>188</v>
      </c>
      <c r="W5" s="292" t="s">
        <v>157</v>
      </c>
      <c r="X5" s="292" t="s">
        <v>417</v>
      </c>
      <c r="Y5" s="296" t="s">
        <v>590</v>
      </c>
      <c r="Z5" s="716">
        <v>1</v>
      </c>
      <c r="AA5" s="716">
        <v>1</v>
      </c>
      <c r="AB5" s="716">
        <v>0</v>
      </c>
      <c r="AC5" s="717">
        <v>0</v>
      </c>
      <c r="AD5" s="716">
        <v>1</v>
      </c>
      <c r="AE5" s="716">
        <v>1</v>
      </c>
      <c r="AF5" s="716">
        <v>0</v>
      </c>
      <c r="AG5" s="716">
        <v>0</v>
      </c>
      <c r="AH5" s="716">
        <v>0</v>
      </c>
      <c r="AI5" s="716">
        <v>0</v>
      </c>
      <c r="AJ5" s="716">
        <v>0</v>
      </c>
      <c r="AK5" s="716">
        <v>0</v>
      </c>
      <c r="AL5" s="716">
        <v>0</v>
      </c>
      <c r="AM5" s="716">
        <v>0</v>
      </c>
      <c r="AN5" s="716">
        <v>0</v>
      </c>
      <c r="AO5" s="716">
        <v>0</v>
      </c>
      <c r="AQ5" s="216" t="s">
        <v>107</v>
      </c>
      <c r="AR5" s="217">
        <f>Fijialltestshistdrawn</f>
        <v>11</v>
      </c>
      <c r="AT5" s="216" t="s">
        <v>107</v>
      </c>
      <c r="AU5" s="217">
        <f>FijiRWChistdrawn</f>
        <v>0</v>
      </c>
    </row>
    <row r="6" spans="1:47" ht="14.95" customHeight="1" thickBot="1" x14ac:dyDescent="0.3">
      <c r="A6" s="318" t="s">
        <v>253</v>
      </c>
      <c r="B6" s="319" t="s">
        <v>259</v>
      </c>
      <c r="C6" s="319" t="s">
        <v>92</v>
      </c>
      <c r="D6" s="319" t="s">
        <v>610</v>
      </c>
      <c r="E6" s="314" t="s">
        <v>1</v>
      </c>
      <c r="F6" s="314">
        <v>29</v>
      </c>
      <c r="G6" s="314">
        <v>15</v>
      </c>
      <c r="H6" s="699">
        <v>1</v>
      </c>
      <c r="I6" s="699">
        <v>0</v>
      </c>
      <c r="J6" s="699">
        <v>4</v>
      </c>
      <c r="K6" s="699">
        <v>3</v>
      </c>
      <c r="L6" s="699">
        <v>0</v>
      </c>
      <c r="M6" s="699">
        <v>1</v>
      </c>
      <c r="N6" s="699">
        <v>0</v>
      </c>
      <c r="O6" s="699">
        <v>0</v>
      </c>
      <c r="P6" s="699">
        <v>0</v>
      </c>
      <c r="Q6" s="699">
        <v>0</v>
      </c>
      <c r="R6" s="699">
        <v>2</v>
      </c>
      <c r="S6" s="320">
        <v>7000</v>
      </c>
      <c r="T6" s="372" t="s">
        <v>612</v>
      </c>
      <c r="U6" s="321" t="s">
        <v>417</v>
      </c>
      <c r="V6" s="320" t="s">
        <v>240</v>
      </c>
      <c r="W6" s="320" t="s">
        <v>157</v>
      </c>
      <c r="X6" s="320" t="s">
        <v>438</v>
      </c>
      <c r="Y6" s="320" t="s">
        <v>590</v>
      </c>
      <c r="Z6" s="317">
        <v>1</v>
      </c>
      <c r="AA6" s="317">
        <v>1</v>
      </c>
      <c r="AB6" s="317">
        <v>0</v>
      </c>
      <c r="AC6" s="725">
        <v>0</v>
      </c>
      <c r="AD6" s="317">
        <v>0</v>
      </c>
      <c r="AE6" s="317">
        <v>0</v>
      </c>
      <c r="AF6" s="317">
        <v>0</v>
      </c>
      <c r="AG6" s="317">
        <v>0</v>
      </c>
      <c r="AH6" s="317">
        <v>0</v>
      </c>
      <c r="AI6" s="317">
        <v>0</v>
      </c>
      <c r="AJ6" s="317">
        <v>0</v>
      </c>
      <c r="AK6" s="317">
        <v>0</v>
      </c>
      <c r="AL6" s="317">
        <v>1</v>
      </c>
      <c r="AM6" s="317">
        <v>0</v>
      </c>
      <c r="AN6" s="317">
        <v>0</v>
      </c>
      <c r="AO6" s="317">
        <v>1</v>
      </c>
      <c r="AQ6" s="216" t="s">
        <v>103</v>
      </c>
      <c r="AR6" s="217">
        <f>Fijialltestshistlost</f>
        <v>183</v>
      </c>
      <c r="AT6" s="216" t="s">
        <v>103</v>
      </c>
      <c r="AU6" s="217">
        <f>FijiRWChistlost</f>
        <v>24</v>
      </c>
    </row>
    <row r="7" spans="1:47" ht="14.95" customHeight="1" thickBot="1" x14ac:dyDescent="0.35">
      <c r="A7" s="318" t="s">
        <v>179</v>
      </c>
      <c r="B7" s="319" t="s">
        <v>226</v>
      </c>
      <c r="C7" s="319" t="s">
        <v>40</v>
      </c>
      <c r="D7" s="319" t="s">
        <v>642</v>
      </c>
      <c r="E7" s="314" t="s">
        <v>1</v>
      </c>
      <c r="F7" s="314">
        <v>63</v>
      </c>
      <c r="G7" s="314">
        <v>10</v>
      </c>
      <c r="H7" s="699" t="s">
        <v>80</v>
      </c>
      <c r="I7" s="699" t="s">
        <v>80</v>
      </c>
      <c r="J7" s="699">
        <v>9</v>
      </c>
      <c r="K7" s="699">
        <v>6</v>
      </c>
      <c r="L7" s="699">
        <v>0</v>
      </c>
      <c r="M7" s="699">
        <v>2</v>
      </c>
      <c r="N7" s="699">
        <v>1</v>
      </c>
      <c r="O7" s="699">
        <v>1</v>
      </c>
      <c r="P7" s="699" t="s">
        <v>80</v>
      </c>
      <c r="Q7" s="699" t="s">
        <v>80</v>
      </c>
      <c r="R7" s="699">
        <v>1</v>
      </c>
      <c r="S7" s="320">
        <v>6452</v>
      </c>
      <c r="T7" s="323" t="s">
        <v>660</v>
      </c>
      <c r="U7" s="321" t="s">
        <v>182</v>
      </c>
      <c r="V7" s="320" t="s">
        <v>215</v>
      </c>
      <c r="W7" s="320" t="s">
        <v>256</v>
      </c>
      <c r="X7" s="317" t="s">
        <v>186</v>
      </c>
      <c r="Y7" s="322" t="s">
        <v>661</v>
      </c>
      <c r="Z7" s="317">
        <v>1</v>
      </c>
      <c r="AA7" s="317">
        <v>1</v>
      </c>
      <c r="AB7" s="317">
        <v>0</v>
      </c>
      <c r="AC7" s="725">
        <v>0</v>
      </c>
      <c r="AD7" s="317">
        <v>0</v>
      </c>
      <c r="AE7" s="317">
        <v>0</v>
      </c>
      <c r="AF7" s="317">
        <v>0</v>
      </c>
      <c r="AG7" s="317">
        <v>0</v>
      </c>
      <c r="AH7" s="317">
        <v>0</v>
      </c>
      <c r="AI7" s="317">
        <v>0</v>
      </c>
      <c r="AJ7" s="317">
        <v>0</v>
      </c>
      <c r="AK7" s="317">
        <v>0</v>
      </c>
      <c r="AL7" s="317">
        <v>1</v>
      </c>
      <c r="AM7" s="317">
        <v>1</v>
      </c>
      <c r="AN7" s="317">
        <v>0</v>
      </c>
      <c r="AO7" s="317">
        <v>0</v>
      </c>
      <c r="AQ7" s="216" t="s">
        <v>108</v>
      </c>
      <c r="AR7" s="217">
        <f>Fijialltestshistptsscored</f>
        <v>8530</v>
      </c>
      <c r="AT7" s="216" t="s">
        <v>108</v>
      </c>
      <c r="AU7" s="217">
        <f>FijiRWChistptsscored</f>
        <v>844</v>
      </c>
    </row>
    <row r="8" spans="1:47" ht="14.95" customHeight="1" thickBot="1" x14ac:dyDescent="0.35">
      <c r="A8" s="318" t="s">
        <v>180</v>
      </c>
      <c r="B8" s="319" t="s">
        <v>227</v>
      </c>
      <c r="C8" s="319" t="s">
        <v>36</v>
      </c>
      <c r="D8" s="319" t="s">
        <v>667</v>
      </c>
      <c r="E8" s="314" t="s">
        <v>1</v>
      </c>
      <c r="F8" s="314">
        <v>33</v>
      </c>
      <c r="G8" s="314">
        <v>27</v>
      </c>
      <c r="H8" s="699" t="s">
        <v>80</v>
      </c>
      <c r="I8" s="699" t="s">
        <v>80</v>
      </c>
      <c r="J8" s="699">
        <v>5</v>
      </c>
      <c r="K8" s="699">
        <v>4</v>
      </c>
      <c r="L8" s="699">
        <v>0</v>
      </c>
      <c r="M8" s="699">
        <v>0</v>
      </c>
      <c r="N8" s="699">
        <v>2</v>
      </c>
      <c r="O8" s="699">
        <v>0</v>
      </c>
      <c r="P8" s="699" t="s">
        <v>80</v>
      </c>
      <c r="Q8" s="699" t="s">
        <v>80</v>
      </c>
      <c r="R8" s="699">
        <v>3</v>
      </c>
      <c r="S8" s="320">
        <v>8000</v>
      </c>
      <c r="T8" s="323" t="s">
        <v>678</v>
      </c>
      <c r="U8" s="321" t="s">
        <v>241</v>
      </c>
      <c r="V8" s="320" t="s">
        <v>215</v>
      </c>
      <c r="W8" s="320" t="s">
        <v>235</v>
      </c>
      <c r="X8" s="317" t="s">
        <v>163</v>
      </c>
      <c r="Y8" s="322" t="s">
        <v>464</v>
      </c>
      <c r="Z8" s="317">
        <v>1</v>
      </c>
      <c r="AA8" s="317">
        <v>1</v>
      </c>
      <c r="AB8" s="317">
        <v>0</v>
      </c>
      <c r="AC8" s="725">
        <v>0</v>
      </c>
      <c r="AD8" s="317">
        <v>0</v>
      </c>
      <c r="AE8" s="317">
        <v>0</v>
      </c>
      <c r="AF8" s="317">
        <v>0</v>
      </c>
      <c r="AG8" s="317">
        <v>0</v>
      </c>
      <c r="AH8" s="317">
        <v>0</v>
      </c>
      <c r="AI8" s="317">
        <v>0</v>
      </c>
      <c r="AJ8" s="317">
        <v>0</v>
      </c>
      <c r="AK8" s="317">
        <v>0</v>
      </c>
      <c r="AL8" s="317">
        <v>1</v>
      </c>
      <c r="AM8" s="317">
        <v>1</v>
      </c>
      <c r="AN8" s="317">
        <v>0</v>
      </c>
      <c r="AO8" s="317">
        <v>0</v>
      </c>
      <c r="AQ8" s="216" t="s">
        <v>109</v>
      </c>
      <c r="AR8" s="217">
        <f>Fijialltestshistptsagainst</f>
        <v>8202</v>
      </c>
      <c r="AT8" s="216" t="s">
        <v>109</v>
      </c>
      <c r="AU8" s="217">
        <f>FijiRWChistptsagainst</f>
        <v>1087</v>
      </c>
    </row>
    <row r="9" spans="1:47" ht="14.95" customHeight="1" thickBot="1" x14ac:dyDescent="0.3">
      <c r="A9" s="268" t="s">
        <v>263</v>
      </c>
      <c r="B9" s="270" t="s">
        <v>605</v>
      </c>
      <c r="C9" s="270" t="s">
        <v>30</v>
      </c>
      <c r="D9" s="270" t="s">
        <v>88</v>
      </c>
      <c r="E9" s="271" t="s">
        <v>3</v>
      </c>
      <c r="F9" s="271">
        <v>18</v>
      </c>
      <c r="G9" s="271">
        <v>38</v>
      </c>
      <c r="H9" s="691" t="s">
        <v>80</v>
      </c>
      <c r="I9" s="691" t="s">
        <v>80</v>
      </c>
      <c r="J9" s="691">
        <v>3</v>
      </c>
      <c r="K9" s="691">
        <v>0</v>
      </c>
      <c r="L9" s="691">
        <v>0</v>
      </c>
      <c r="M9" s="691">
        <v>1</v>
      </c>
      <c r="N9" s="691">
        <v>2</v>
      </c>
      <c r="O9" s="691">
        <v>0</v>
      </c>
      <c r="P9" s="691" t="s">
        <v>80</v>
      </c>
      <c r="Q9" s="691" t="s">
        <v>80</v>
      </c>
      <c r="R9" s="691">
        <v>6</v>
      </c>
      <c r="S9" s="277">
        <v>78768</v>
      </c>
      <c r="T9" s="281" t="s">
        <v>584</v>
      </c>
      <c r="U9" s="279" t="s">
        <v>164</v>
      </c>
      <c r="V9" s="277" t="s">
        <v>235</v>
      </c>
      <c r="W9" s="277" t="s">
        <v>236</v>
      </c>
      <c r="X9" s="273" t="s">
        <v>194</v>
      </c>
      <c r="Y9" s="280" t="s">
        <v>590</v>
      </c>
      <c r="Z9" s="273">
        <v>1</v>
      </c>
      <c r="AA9" s="273">
        <v>0</v>
      </c>
      <c r="AB9" s="273">
        <v>0</v>
      </c>
      <c r="AC9" s="287">
        <v>1</v>
      </c>
      <c r="AD9" s="273">
        <v>0</v>
      </c>
      <c r="AE9" s="273">
        <v>0</v>
      </c>
      <c r="AF9" s="273">
        <v>0</v>
      </c>
      <c r="AG9" s="273">
        <v>0</v>
      </c>
      <c r="AH9" s="273">
        <v>1</v>
      </c>
      <c r="AI9" s="273">
        <v>0</v>
      </c>
      <c r="AJ9" s="273">
        <v>0</v>
      </c>
      <c r="AK9" s="273">
        <v>1</v>
      </c>
      <c r="AL9" s="273">
        <v>0</v>
      </c>
      <c r="AM9" s="273">
        <v>0</v>
      </c>
      <c r="AN9" s="273">
        <v>0</v>
      </c>
      <c r="AO9" s="273">
        <v>0</v>
      </c>
      <c r="AQ9" s="216" t="s">
        <v>100</v>
      </c>
      <c r="AR9" s="217">
        <f>Fijialltestshisttriesscored</f>
        <v>1191</v>
      </c>
      <c r="AT9" s="216" t="s">
        <v>100</v>
      </c>
      <c r="AU9" s="217">
        <f>FijiRWChisttriesscored</f>
        <v>98</v>
      </c>
    </row>
    <row r="10" spans="1:47" ht="14.95" customHeight="1" thickBot="1" x14ac:dyDescent="0.3">
      <c r="A10" s="268" t="s">
        <v>264</v>
      </c>
      <c r="B10" s="270" t="s">
        <v>605</v>
      </c>
      <c r="C10" s="270" t="s">
        <v>34</v>
      </c>
      <c r="D10" s="270" t="s">
        <v>504</v>
      </c>
      <c r="E10" s="271" t="s">
        <v>3</v>
      </c>
      <c r="F10" s="271">
        <v>21</v>
      </c>
      <c r="G10" s="271">
        <v>34</v>
      </c>
      <c r="H10" s="691" t="s">
        <v>80</v>
      </c>
      <c r="I10" s="691" t="s">
        <v>80</v>
      </c>
      <c r="J10" s="691">
        <v>3</v>
      </c>
      <c r="K10" s="691">
        <v>3</v>
      </c>
      <c r="L10" s="691">
        <v>0</v>
      </c>
      <c r="M10" s="691">
        <v>0</v>
      </c>
      <c r="N10" s="691">
        <v>1</v>
      </c>
      <c r="O10" s="691">
        <v>0</v>
      </c>
      <c r="P10" s="691" t="s">
        <v>80</v>
      </c>
      <c r="Q10" s="691" t="s">
        <v>80</v>
      </c>
      <c r="R10" s="691">
        <v>4</v>
      </c>
      <c r="S10" s="277">
        <v>42115</v>
      </c>
      <c r="T10" s="281" t="s">
        <v>463</v>
      </c>
      <c r="U10" s="279" t="s">
        <v>189</v>
      </c>
      <c r="V10" s="277" t="s">
        <v>185</v>
      </c>
      <c r="W10" s="277" t="s">
        <v>806</v>
      </c>
      <c r="X10" s="273" t="s">
        <v>184</v>
      </c>
      <c r="Y10" s="280" t="s">
        <v>216</v>
      </c>
      <c r="Z10" s="273">
        <v>1</v>
      </c>
      <c r="AA10" s="273">
        <v>0</v>
      </c>
      <c r="AB10" s="273">
        <v>0</v>
      </c>
      <c r="AC10" s="287">
        <v>1</v>
      </c>
      <c r="AD10" s="273">
        <v>0</v>
      </c>
      <c r="AE10" s="273">
        <v>0</v>
      </c>
      <c r="AF10" s="273">
        <v>0</v>
      </c>
      <c r="AG10" s="273">
        <v>0</v>
      </c>
      <c r="AH10" s="273">
        <v>1</v>
      </c>
      <c r="AI10" s="273">
        <v>0</v>
      </c>
      <c r="AJ10" s="273">
        <v>0</v>
      </c>
      <c r="AK10" s="273">
        <v>1</v>
      </c>
      <c r="AL10" s="273">
        <v>0</v>
      </c>
      <c r="AM10" s="273">
        <v>0</v>
      </c>
      <c r="AN10" s="273">
        <v>0</v>
      </c>
      <c r="AO10" s="273">
        <v>0</v>
      </c>
      <c r="AQ10" s="1112"/>
      <c r="AR10" s="1113"/>
      <c r="AS10" s="1113"/>
      <c r="AT10" s="1113"/>
      <c r="AU10" s="1113"/>
    </row>
    <row r="11" spans="1:47" ht="14.95" customHeight="1" thickBot="1" x14ac:dyDescent="0.3">
      <c r="A11" s="268" t="s">
        <v>266</v>
      </c>
      <c r="B11" s="270" t="s">
        <v>45</v>
      </c>
      <c r="C11" s="270" t="s">
        <v>95</v>
      </c>
      <c r="D11" s="270" t="s">
        <v>733</v>
      </c>
      <c r="E11" s="271" t="s">
        <v>1</v>
      </c>
      <c r="F11" s="271">
        <v>41</v>
      </c>
      <c r="G11" s="271">
        <v>33</v>
      </c>
      <c r="H11" s="691" t="s">
        <v>80</v>
      </c>
      <c r="I11" s="691" t="s">
        <v>80</v>
      </c>
      <c r="J11" s="691">
        <v>5</v>
      </c>
      <c r="K11" s="691">
        <v>5</v>
      </c>
      <c r="L11" s="691">
        <v>0</v>
      </c>
      <c r="M11" s="691">
        <v>2</v>
      </c>
      <c r="N11" s="691">
        <v>1</v>
      </c>
      <c r="O11" s="691">
        <v>0</v>
      </c>
      <c r="P11" s="691" t="s">
        <v>80</v>
      </c>
      <c r="Q11" s="691" t="s">
        <v>80</v>
      </c>
      <c r="R11" s="691">
        <v>4</v>
      </c>
      <c r="S11" s="273">
        <v>10000</v>
      </c>
      <c r="T11" s="442" t="s">
        <v>832</v>
      </c>
      <c r="U11" s="274" t="s">
        <v>241</v>
      </c>
      <c r="V11" s="273" t="s">
        <v>236</v>
      </c>
      <c r="W11" s="273" t="s">
        <v>157</v>
      </c>
      <c r="X11" s="273" t="s">
        <v>252</v>
      </c>
      <c r="Y11" s="273" t="s">
        <v>775</v>
      </c>
      <c r="Z11" s="273">
        <v>1</v>
      </c>
      <c r="AA11" s="273">
        <v>1</v>
      </c>
      <c r="AB11" s="273">
        <v>0</v>
      </c>
      <c r="AC11" s="287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1</v>
      </c>
      <c r="AI11" s="273">
        <v>1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</row>
    <row r="12" spans="1:47" ht="14.95" customHeight="1" thickBot="1" x14ac:dyDescent="0.3">
      <c r="A12" s="335"/>
      <c r="B12" s="125"/>
      <c r="C12" s="1170" t="s">
        <v>245</v>
      </c>
      <c r="D12" s="1171"/>
      <c r="E12" s="1172"/>
      <c r="F12" s="554">
        <f>SUM(F3:F4)</f>
        <v>47</v>
      </c>
      <c r="G12" s="554">
        <f>SUM(G3:G4)</f>
        <v>35</v>
      </c>
      <c r="H12" s="554" t="s">
        <v>80</v>
      </c>
      <c r="I12" s="554" t="s">
        <v>80</v>
      </c>
      <c r="J12" s="554">
        <f t="shared" ref="J12:O12" si="0">SUM(J3:J4)</f>
        <v>6</v>
      </c>
      <c r="K12" s="554">
        <f t="shared" si="0"/>
        <v>3</v>
      </c>
      <c r="L12" s="554">
        <f t="shared" si="0"/>
        <v>0</v>
      </c>
      <c r="M12" s="554">
        <f t="shared" si="0"/>
        <v>3</v>
      </c>
      <c r="N12" s="554">
        <f t="shared" si="0"/>
        <v>0</v>
      </c>
      <c r="O12" s="554">
        <f t="shared" si="0"/>
        <v>0</v>
      </c>
      <c r="P12" s="554" t="s">
        <v>80</v>
      </c>
      <c r="Q12" s="554" t="s">
        <v>80</v>
      </c>
      <c r="R12" s="554">
        <f>SUM(R3:R4)</f>
        <v>5</v>
      </c>
      <c r="S12" s="555"/>
      <c r="T12" s="556"/>
      <c r="U12" s="555"/>
      <c r="V12" s="555"/>
      <c r="W12" s="555"/>
      <c r="X12" s="555"/>
      <c r="Y12" s="533" t="s">
        <v>245</v>
      </c>
      <c r="Z12" s="557">
        <f t="shared" ref="Z12:AO12" si="1">SUM(Z3:Z4)</f>
        <v>2</v>
      </c>
      <c r="AA12" s="557">
        <f t="shared" si="1"/>
        <v>1</v>
      </c>
      <c r="AB12" s="557">
        <f t="shared" si="1"/>
        <v>0</v>
      </c>
      <c r="AC12" s="557">
        <f t="shared" si="1"/>
        <v>1</v>
      </c>
      <c r="AD12" s="557">
        <f t="shared" si="1"/>
        <v>1</v>
      </c>
      <c r="AE12" s="557">
        <f t="shared" si="1"/>
        <v>1</v>
      </c>
      <c r="AF12" s="557">
        <f t="shared" si="1"/>
        <v>0</v>
      </c>
      <c r="AG12" s="557">
        <f t="shared" si="1"/>
        <v>0</v>
      </c>
      <c r="AH12" s="557">
        <f t="shared" si="1"/>
        <v>1</v>
      </c>
      <c r="AI12" s="557">
        <f t="shared" si="1"/>
        <v>0</v>
      </c>
      <c r="AJ12" s="557">
        <f t="shared" si="1"/>
        <v>0</v>
      </c>
      <c r="AK12" s="557">
        <f t="shared" si="1"/>
        <v>1</v>
      </c>
      <c r="AL12" s="557">
        <f t="shared" si="1"/>
        <v>0</v>
      </c>
      <c r="AM12" s="557">
        <f t="shared" si="1"/>
        <v>0</v>
      </c>
      <c r="AN12" s="557">
        <f t="shared" si="1"/>
        <v>0</v>
      </c>
      <c r="AO12" s="557">
        <f t="shared" si="1"/>
        <v>0</v>
      </c>
    </row>
    <row r="13" spans="1:47" ht="14.95" customHeight="1" thickBot="1" x14ac:dyDescent="0.3">
      <c r="A13" s="335"/>
      <c r="B13" s="125"/>
      <c r="C13" s="1173" t="s">
        <v>244</v>
      </c>
      <c r="D13" s="1174"/>
      <c r="E13" s="1175"/>
      <c r="F13" s="558">
        <f t="shared" ref="F13:R13" si="2">SUM(F5:F8)</f>
        <v>157</v>
      </c>
      <c r="G13" s="558">
        <f t="shared" si="2"/>
        <v>62</v>
      </c>
      <c r="H13" s="558">
        <f t="shared" si="2"/>
        <v>2</v>
      </c>
      <c r="I13" s="558">
        <f t="shared" si="2"/>
        <v>0</v>
      </c>
      <c r="J13" s="558">
        <f t="shared" si="2"/>
        <v>22</v>
      </c>
      <c r="K13" s="558">
        <f t="shared" si="2"/>
        <v>16</v>
      </c>
      <c r="L13" s="558">
        <f t="shared" si="2"/>
        <v>0</v>
      </c>
      <c r="M13" s="558">
        <f t="shared" si="2"/>
        <v>5</v>
      </c>
      <c r="N13" s="558">
        <f t="shared" si="2"/>
        <v>3</v>
      </c>
      <c r="O13" s="558">
        <f t="shared" si="2"/>
        <v>1</v>
      </c>
      <c r="P13" s="558">
        <f t="shared" si="2"/>
        <v>0</v>
      </c>
      <c r="Q13" s="558">
        <f t="shared" si="2"/>
        <v>0</v>
      </c>
      <c r="R13" s="558">
        <f t="shared" si="2"/>
        <v>7</v>
      </c>
      <c r="S13" s="559"/>
      <c r="T13" s="560"/>
      <c r="U13" s="559"/>
      <c r="V13" s="559"/>
      <c r="W13" s="559"/>
      <c r="X13" s="559"/>
      <c r="Y13" s="249" t="s">
        <v>244</v>
      </c>
      <c r="Z13" s="561">
        <f t="shared" ref="Z13:AO13" si="3">SUM(Z5:Z8)</f>
        <v>4</v>
      </c>
      <c r="AA13" s="561">
        <f t="shared" si="3"/>
        <v>4</v>
      </c>
      <c r="AB13" s="561">
        <f t="shared" si="3"/>
        <v>0</v>
      </c>
      <c r="AC13" s="561">
        <f t="shared" si="3"/>
        <v>0</v>
      </c>
      <c r="AD13" s="562">
        <f t="shared" si="3"/>
        <v>1</v>
      </c>
      <c r="AE13" s="562">
        <f t="shared" si="3"/>
        <v>1</v>
      </c>
      <c r="AF13" s="562">
        <f t="shared" si="3"/>
        <v>0</v>
      </c>
      <c r="AG13" s="562">
        <f t="shared" si="3"/>
        <v>0</v>
      </c>
      <c r="AH13" s="563">
        <f t="shared" si="3"/>
        <v>0</v>
      </c>
      <c r="AI13" s="563">
        <f t="shared" si="3"/>
        <v>0</v>
      </c>
      <c r="AJ13" s="563">
        <f t="shared" si="3"/>
        <v>0</v>
      </c>
      <c r="AK13" s="563">
        <f t="shared" si="3"/>
        <v>0</v>
      </c>
      <c r="AL13" s="561">
        <f t="shared" si="3"/>
        <v>3</v>
      </c>
      <c r="AM13" s="561">
        <f t="shared" si="3"/>
        <v>2</v>
      </c>
      <c r="AN13" s="561">
        <f t="shared" si="3"/>
        <v>0</v>
      </c>
      <c r="AO13" s="561">
        <f t="shared" si="3"/>
        <v>1</v>
      </c>
    </row>
    <row r="14" spans="1:47" ht="14.95" customHeight="1" thickBot="1" x14ac:dyDescent="0.3">
      <c r="A14" s="179"/>
      <c r="B14" s="180"/>
      <c r="C14" s="1084" t="s">
        <v>231</v>
      </c>
      <c r="D14" s="1085"/>
      <c r="E14" s="1086"/>
      <c r="F14" s="539">
        <f>SUM(F9:F10)</f>
        <v>39</v>
      </c>
      <c r="G14" s="539">
        <f>SUM(G9:G10)</f>
        <v>72</v>
      </c>
      <c r="H14" s="539" t="s">
        <v>80</v>
      </c>
      <c r="I14" s="539" t="s">
        <v>80</v>
      </c>
      <c r="J14" s="539">
        <f t="shared" ref="J14:O14" si="4">SUM(J9:J10)</f>
        <v>6</v>
      </c>
      <c r="K14" s="539">
        <f t="shared" si="4"/>
        <v>3</v>
      </c>
      <c r="L14" s="539">
        <f t="shared" si="4"/>
        <v>0</v>
      </c>
      <c r="M14" s="539">
        <f t="shared" si="4"/>
        <v>1</v>
      </c>
      <c r="N14" s="539">
        <f t="shared" si="4"/>
        <v>3</v>
      </c>
      <c r="O14" s="539">
        <f t="shared" si="4"/>
        <v>0</v>
      </c>
      <c r="P14" s="539" t="s">
        <v>80</v>
      </c>
      <c r="Q14" s="539" t="s">
        <v>80</v>
      </c>
      <c r="R14" s="539">
        <f>SUM(R9:R10)</f>
        <v>10</v>
      </c>
      <c r="S14" s="540"/>
      <c r="T14" s="540"/>
      <c r="U14" s="540"/>
      <c r="V14" s="540"/>
      <c r="W14" s="540"/>
      <c r="X14" s="541"/>
      <c r="Y14" s="542" t="s">
        <v>231</v>
      </c>
      <c r="Z14" s="543">
        <f t="shared" ref="Z14:AO14" si="5">SUM(Z9:Z10)</f>
        <v>2</v>
      </c>
      <c r="AA14" s="539">
        <f t="shared" si="5"/>
        <v>0</v>
      </c>
      <c r="AB14" s="539">
        <f t="shared" si="5"/>
        <v>0</v>
      </c>
      <c r="AC14" s="539">
        <f t="shared" si="5"/>
        <v>2</v>
      </c>
      <c r="AD14" s="544">
        <f t="shared" si="5"/>
        <v>0</v>
      </c>
      <c r="AE14" s="544">
        <f t="shared" si="5"/>
        <v>0</v>
      </c>
      <c r="AF14" s="544">
        <f t="shared" si="5"/>
        <v>0</v>
      </c>
      <c r="AG14" s="544">
        <f t="shared" si="5"/>
        <v>0</v>
      </c>
      <c r="AH14" s="545">
        <f t="shared" si="5"/>
        <v>2</v>
      </c>
      <c r="AI14" s="545">
        <f t="shared" si="5"/>
        <v>0</v>
      </c>
      <c r="AJ14" s="545">
        <f t="shared" si="5"/>
        <v>0</v>
      </c>
      <c r="AK14" s="545">
        <f t="shared" si="5"/>
        <v>2</v>
      </c>
      <c r="AL14" s="539">
        <f t="shared" si="5"/>
        <v>0</v>
      </c>
      <c r="AM14" s="539">
        <f t="shared" si="5"/>
        <v>0</v>
      </c>
      <c r="AN14" s="539">
        <f t="shared" si="5"/>
        <v>0</v>
      </c>
      <c r="AO14" s="539">
        <f t="shared" si="5"/>
        <v>0</v>
      </c>
    </row>
    <row r="15" spans="1:47" ht="14.95" thickBot="1" x14ac:dyDescent="0.3">
      <c r="A15" s="179"/>
      <c r="B15" s="180"/>
      <c r="C15" s="1087" t="s">
        <v>81</v>
      </c>
      <c r="D15" s="1088"/>
      <c r="E15" s="1089"/>
      <c r="F15" s="231">
        <f t="shared" ref="F15:R15" si="6">SUM(F3:F11)</f>
        <v>284</v>
      </c>
      <c r="G15" s="231">
        <f t="shared" si="6"/>
        <v>202</v>
      </c>
      <c r="H15" s="231">
        <f t="shared" si="6"/>
        <v>2</v>
      </c>
      <c r="I15" s="231">
        <f t="shared" si="6"/>
        <v>0</v>
      </c>
      <c r="J15" s="231">
        <f t="shared" si="6"/>
        <v>39</v>
      </c>
      <c r="K15" s="231">
        <f t="shared" si="6"/>
        <v>27</v>
      </c>
      <c r="L15" s="231">
        <f t="shared" si="6"/>
        <v>0</v>
      </c>
      <c r="M15" s="231">
        <f t="shared" si="6"/>
        <v>11</v>
      </c>
      <c r="N15" s="231">
        <f t="shared" si="6"/>
        <v>7</v>
      </c>
      <c r="O15" s="231">
        <f t="shared" si="6"/>
        <v>1</v>
      </c>
      <c r="P15" s="231">
        <f t="shared" si="6"/>
        <v>0</v>
      </c>
      <c r="Q15" s="231">
        <f t="shared" si="6"/>
        <v>0</v>
      </c>
      <c r="R15" s="231">
        <f t="shared" si="6"/>
        <v>26</v>
      </c>
      <c r="S15" s="228"/>
      <c r="T15" s="228"/>
      <c r="U15" s="228"/>
      <c r="V15" s="228"/>
      <c r="W15" s="228"/>
      <c r="X15" s="13"/>
      <c r="Y15" s="246" t="s">
        <v>81</v>
      </c>
      <c r="Z15" s="231">
        <f t="shared" ref="Z15:AO15" si="7">SUM(Z3:Z11)</f>
        <v>9</v>
      </c>
      <c r="AA15" s="231">
        <f t="shared" si="7"/>
        <v>6</v>
      </c>
      <c r="AB15" s="231">
        <f t="shared" si="7"/>
        <v>0</v>
      </c>
      <c r="AC15" s="231">
        <f t="shared" si="7"/>
        <v>3</v>
      </c>
      <c r="AD15" s="229">
        <f t="shared" si="7"/>
        <v>2</v>
      </c>
      <c r="AE15" s="229">
        <f t="shared" si="7"/>
        <v>2</v>
      </c>
      <c r="AF15" s="229">
        <f t="shared" si="7"/>
        <v>0</v>
      </c>
      <c r="AG15" s="229">
        <f t="shared" si="7"/>
        <v>0</v>
      </c>
      <c r="AH15" s="230">
        <f t="shared" si="7"/>
        <v>4</v>
      </c>
      <c r="AI15" s="230">
        <f t="shared" si="7"/>
        <v>1</v>
      </c>
      <c r="AJ15" s="230">
        <f t="shared" si="7"/>
        <v>0</v>
      </c>
      <c r="AK15" s="230">
        <f t="shared" si="7"/>
        <v>3</v>
      </c>
      <c r="AL15" s="231">
        <f t="shared" si="7"/>
        <v>3</v>
      </c>
      <c r="AM15" s="231">
        <f t="shared" si="7"/>
        <v>2</v>
      </c>
      <c r="AN15" s="231">
        <f t="shared" si="7"/>
        <v>0</v>
      </c>
      <c r="AO15" s="231">
        <f t="shared" si="7"/>
        <v>1</v>
      </c>
    </row>
    <row r="17" spans="1:2" x14ac:dyDescent="0.25">
      <c r="A17" s="524" t="s">
        <v>439</v>
      </c>
    </row>
    <row r="18" spans="1:2" x14ac:dyDescent="0.25">
      <c r="A18" s="789" t="s">
        <v>643</v>
      </c>
    </row>
    <row r="19" spans="1:2" x14ac:dyDescent="0.25">
      <c r="A19" s="804" t="s">
        <v>668</v>
      </c>
    </row>
    <row r="20" spans="1:2" x14ac:dyDescent="0.25">
      <c r="A20" s="816" t="s">
        <v>730</v>
      </c>
    </row>
    <row r="21" spans="1:2" x14ac:dyDescent="0.25">
      <c r="A21" s="816" t="s">
        <v>751</v>
      </c>
    </row>
    <row r="22" spans="1:2" x14ac:dyDescent="0.25">
      <c r="A22" t="s">
        <v>658</v>
      </c>
    </row>
    <row r="23" spans="1:2" x14ac:dyDescent="0.25">
      <c r="A23" t="s">
        <v>659</v>
      </c>
    </row>
    <row r="24" spans="1:2" x14ac:dyDescent="0.25">
      <c r="A24" t="s">
        <v>441</v>
      </c>
    </row>
    <row r="25" spans="1:2" x14ac:dyDescent="0.25">
      <c r="A25" s="376"/>
      <c r="B25" t="s">
        <v>44</v>
      </c>
    </row>
    <row r="26" spans="1:2" x14ac:dyDescent="0.25">
      <c r="A26" s="377"/>
      <c r="B26" t="s">
        <v>42</v>
      </c>
    </row>
    <row r="27" spans="1:2" x14ac:dyDescent="0.25">
      <c r="A27" s="378"/>
      <c r="B27" t="s">
        <v>43</v>
      </c>
    </row>
    <row r="28" spans="1:2" ht="16.3" x14ac:dyDescent="0.3">
      <c r="A28" s="792" t="s">
        <v>28</v>
      </c>
    </row>
  </sheetData>
  <mergeCells count="15">
    <mergeCell ref="AQ10:AU10"/>
    <mergeCell ref="Z1:AC1"/>
    <mergeCell ref="AD1:AG1"/>
    <mergeCell ref="AH1:AK1"/>
    <mergeCell ref="AL1:AO1"/>
    <mergeCell ref="J1:M1"/>
    <mergeCell ref="N1:O1"/>
    <mergeCell ref="P1:R1"/>
    <mergeCell ref="C15:E15"/>
    <mergeCell ref="H1:I1"/>
    <mergeCell ref="A1:C1"/>
    <mergeCell ref="E1:G1"/>
    <mergeCell ref="C12:E12"/>
    <mergeCell ref="C13:E13"/>
    <mergeCell ref="C14:E14"/>
  </mergeCells>
  <conditionalFormatting sqref="Z13:AO1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{3856EA94-4371-4D75-9DEC-490305B757BB}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F13:AO13 F12:AO12 F14:AO14" formulaRange="1"/>
    <ignoredError sqref="T6" twoDigitTextYea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56EA94-4371-4D75-9DEC-490305B757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Z13:AO14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29"/>
  <sheetViews>
    <sheetView zoomScale="90" zoomScaleNormal="90" workbookViewId="0">
      <pane ySplit="2" topLeftCell="A3" activePane="bottomLeft" state="frozen"/>
      <selection activeCell="D8" sqref="A8:AO21"/>
      <selection pane="bottomLeft" activeCell="S6" sqref="S6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3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19.25" bestFit="1" customWidth="1"/>
    <col min="22" max="22" width="16.875" bestFit="1" customWidth="1"/>
    <col min="23" max="23" width="20.875" bestFit="1" customWidth="1"/>
    <col min="24" max="24" width="21.5" bestFit="1" customWidth="1"/>
    <col min="25" max="25" width="21.25" bestFit="1" customWidth="1"/>
    <col min="26" max="41" width="3.625" customWidth="1"/>
    <col min="42" max="42" width="2.625" customWidth="1"/>
    <col min="43" max="43" width="13.125" bestFit="1" customWidth="1"/>
    <col min="45" max="45" width="2.625" customWidth="1"/>
    <col min="46" max="46" width="13.125" bestFit="1" customWidth="1"/>
    <col min="48" max="48" width="1.625" customWidth="1"/>
    <col min="49" max="49" width="12.75" bestFit="1" customWidth="1"/>
    <col min="51" max="51" width="1.625" customWidth="1"/>
    <col min="52" max="52" width="12.75" bestFit="1" customWidth="1"/>
    <col min="54" max="54" width="1.625" customWidth="1"/>
    <col min="55" max="55" width="12.75" bestFit="1" customWidth="1"/>
  </cols>
  <sheetData>
    <row r="1" spans="1:56" ht="14.95" customHeight="1" thickBot="1" x14ac:dyDescent="0.3">
      <c r="A1" s="1182" t="s">
        <v>866</v>
      </c>
      <c r="B1" s="1183"/>
      <c r="C1" s="1183"/>
      <c r="D1" s="102"/>
      <c r="E1" s="1184" t="s">
        <v>24</v>
      </c>
      <c r="F1" s="1185"/>
      <c r="G1" s="1186"/>
      <c r="H1" s="1184" t="s">
        <v>23</v>
      </c>
      <c r="I1" s="1186"/>
      <c r="J1" s="1187" t="s">
        <v>6</v>
      </c>
      <c r="K1" s="1188"/>
      <c r="L1" s="1188"/>
      <c r="M1" s="1189"/>
      <c r="N1" s="1187" t="s">
        <v>7</v>
      </c>
      <c r="O1" s="1189"/>
      <c r="P1" s="1187" t="s">
        <v>25</v>
      </c>
      <c r="Q1" s="1188"/>
      <c r="R1" s="1189"/>
      <c r="S1" s="238" t="s">
        <v>8</v>
      </c>
      <c r="T1" s="238" t="s">
        <v>9</v>
      </c>
      <c r="U1" s="78" t="s">
        <v>10</v>
      </c>
      <c r="V1" s="77" t="s">
        <v>11</v>
      </c>
      <c r="W1" s="78" t="s">
        <v>211</v>
      </c>
      <c r="X1" s="79" t="s">
        <v>26</v>
      </c>
      <c r="Y1" s="356" t="s">
        <v>27</v>
      </c>
      <c r="Z1" s="1193" t="s">
        <v>20</v>
      </c>
      <c r="AA1" s="1194"/>
      <c r="AB1" s="1194"/>
      <c r="AC1" s="1195"/>
      <c r="AD1" s="1193" t="s">
        <v>61</v>
      </c>
      <c r="AE1" s="1194"/>
      <c r="AF1" s="1194"/>
      <c r="AG1" s="1195"/>
      <c r="AH1" s="1193" t="s">
        <v>62</v>
      </c>
      <c r="AI1" s="1194"/>
      <c r="AJ1" s="1194"/>
      <c r="AK1" s="1195"/>
      <c r="AL1" s="1193" t="s">
        <v>63</v>
      </c>
      <c r="AM1" s="1194"/>
      <c r="AN1" s="1194"/>
      <c r="AO1" s="1195"/>
      <c r="AQ1" s="225" t="s">
        <v>115</v>
      </c>
      <c r="AR1" s="218"/>
      <c r="AS1" s="218"/>
      <c r="AT1" s="225" t="s">
        <v>115</v>
      </c>
      <c r="AW1" s="225" t="s">
        <v>115</v>
      </c>
      <c r="AZ1" s="225" t="s">
        <v>115</v>
      </c>
      <c r="BC1" s="225" t="s">
        <v>115</v>
      </c>
    </row>
    <row r="2" spans="1:56" ht="14.95" customHeight="1" thickBot="1" x14ac:dyDescent="0.3">
      <c r="A2" s="80" t="s">
        <v>19</v>
      </c>
      <c r="B2" s="81" t="s">
        <v>18</v>
      </c>
      <c r="C2" s="82" t="s">
        <v>17</v>
      </c>
      <c r="D2" s="82" t="s">
        <v>41</v>
      </c>
      <c r="E2" s="83" t="s">
        <v>16</v>
      </c>
      <c r="F2" s="83" t="s">
        <v>4</v>
      </c>
      <c r="G2" s="83" t="s">
        <v>5</v>
      </c>
      <c r="H2" s="84" t="s">
        <v>12</v>
      </c>
      <c r="I2" s="84" t="s">
        <v>3</v>
      </c>
      <c r="J2" s="84" t="s">
        <v>12</v>
      </c>
      <c r="K2" s="84" t="s">
        <v>13</v>
      </c>
      <c r="L2" s="84" t="s">
        <v>2</v>
      </c>
      <c r="M2" s="84" t="s">
        <v>14</v>
      </c>
      <c r="N2" s="84" t="s">
        <v>15</v>
      </c>
      <c r="O2" s="84" t="s">
        <v>16</v>
      </c>
      <c r="P2" s="84" t="s">
        <v>21</v>
      </c>
      <c r="Q2" s="84" t="s">
        <v>22</v>
      </c>
      <c r="R2" s="84" t="s">
        <v>12</v>
      </c>
      <c r="S2" s="85"/>
      <c r="T2" s="86"/>
      <c r="U2" s="87"/>
      <c r="V2" s="85"/>
      <c r="W2" s="87"/>
      <c r="X2" s="88"/>
      <c r="Y2" s="89"/>
      <c r="Z2" s="196" t="s">
        <v>0</v>
      </c>
      <c r="AA2" s="196" t="s">
        <v>1</v>
      </c>
      <c r="AB2" s="196" t="s">
        <v>2</v>
      </c>
      <c r="AC2" s="196" t="s">
        <v>3</v>
      </c>
      <c r="AD2" s="196" t="s">
        <v>0</v>
      </c>
      <c r="AE2" s="196" t="s">
        <v>1</v>
      </c>
      <c r="AF2" s="196" t="s">
        <v>2</v>
      </c>
      <c r="AG2" s="196" t="s">
        <v>3</v>
      </c>
      <c r="AH2" s="196" t="s">
        <v>0</v>
      </c>
      <c r="AI2" s="196" t="s">
        <v>1</v>
      </c>
      <c r="AJ2" s="196" t="s">
        <v>2</v>
      </c>
      <c r="AK2" s="196" t="s">
        <v>3</v>
      </c>
      <c r="AL2" s="196" t="s">
        <v>0</v>
      </c>
      <c r="AM2" s="196" t="s">
        <v>1</v>
      </c>
      <c r="AN2" s="196" t="s">
        <v>2</v>
      </c>
      <c r="AO2" s="196" t="s">
        <v>3</v>
      </c>
      <c r="AQ2" s="205" t="s">
        <v>81</v>
      </c>
      <c r="AR2" s="138"/>
      <c r="AT2" s="225" t="s">
        <v>99</v>
      </c>
      <c r="AU2" s="138"/>
      <c r="AW2" s="905" t="s">
        <v>903</v>
      </c>
      <c r="AX2" s="904"/>
      <c r="AZ2" s="897" t="s">
        <v>82</v>
      </c>
      <c r="BA2" s="138"/>
      <c r="BC2" s="1180" t="s">
        <v>902</v>
      </c>
      <c r="BD2" s="1181"/>
    </row>
    <row r="3" spans="1:56" ht="14.95" customHeight="1" thickBot="1" x14ac:dyDescent="0.35">
      <c r="A3" s="289" t="s">
        <v>867</v>
      </c>
      <c r="B3" s="290" t="s">
        <v>46</v>
      </c>
      <c r="C3" s="290" t="s">
        <v>39</v>
      </c>
      <c r="D3" s="290" t="s">
        <v>85</v>
      </c>
      <c r="E3" s="291" t="s">
        <v>1</v>
      </c>
      <c r="F3" s="291">
        <v>36</v>
      </c>
      <c r="G3" s="291">
        <v>14</v>
      </c>
      <c r="H3" s="692">
        <v>1</v>
      </c>
      <c r="I3" s="692">
        <v>0</v>
      </c>
      <c r="J3" s="692">
        <v>5</v>
      </c>
      <c r="K3" s="692">
        <v>4</v>
      </c>
      <c r="L3" s="692">
        <v>0</v>
      </c>
      <c r="M3" s="692">
        <v>1</v>
      </c>
      <c r="N3" s="692">
        <v>0</v>
      </c>
      <c r="O3" s="692">
        <v>0</v>
      </c>
      <c r="P3" s="692">
        <v>0</v>
      </c>
      <c r="Q3" s="692">
        <v>0</v>
      </c>
      <c r="R3" s="692">
        <v>2</v>
      </c>
      <c r="S3" s="292">
        <v>81338</v>
      </c>
      <c r="T3" s="302" t="s">
        <v>901</v>
      </c>
      <c r="U3" s="294" t="s">
        <v>161</v>
      </c>
      <c r="V3" s="292" t="s">
        <v>196</v>
      </c>
      <c r="W3" s="292" t="s">
        <v>240</v>
      </c>
      <c r="X3" s="295" t="s">
        <v>162</v>
      </c>
      <c r="Y3" s="296" t="s">
        <v>170</v>
      </c>
      <c r="Z3" s="295">
        <v>1</v>
      </c>
      <c r="AA3" s="295">
        <v>1</v>
      </c>
      <c r="AB3" s="295">
        <v>0</v>
      </c>
      <c r="AC3" s="307">
        <v>0</v>
      </c>
      <c r="AD3" s="295">
        <v>1</v>
      </c>
      <c r="AE3" s="295">
        <v>1</v>
      </c>
      <c r="AF3" s="295">
        <v>0</v>
      </c>
      <c r="AG3" s="307">
        <v>0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Francealltestshistplayed</f>
        <v>835</v>
      </c>
      <c r="AT3" s="214" t="s">
        <v>101</v>
      </c>
      <c r="AU3" s="215">
        <f>FranceRWChistplayed</f>
        <v>57</v>
      </c>
      <c r="AW3" s="214" t="s">
        <v>101</v>
      </c>
      <c r="AX3" s="215"/>
      <c r="AZ3" s="214" t="s">
        <v>101</v>
      </c>
      <c r="BA3" s="215">
        <f>france6nationsplayed</f>
        <v>134</v>
      </c>
      <c r="BC3" s="214" t="s">
        <v>101</v>
      </c>
      <c r="BD3" s="215">
        <f>francechampionshipplayed</f>
        <v>413</v>
      </c>
    </row>
    <row r="4" spans="1:56" ht="14.95" customHeight="1" thickBot="1" x14ac:dyDescent="0.35">
      <c r="A4" s="268" t="s">
        <v>363</v>
      </c>
      <c r="B4" s="270" t="s">
        <v>46</v>
      </c>
      <c r="C4" s="270" t="s">
        <v>32</v>
      </c>
      <c r="D4" s="270" t="s">
        <v>84</v>
      </c>
      <c r="E4" s="271" t="s">
        <v>1</v>
      </c>
      <c r="F4" s="271">
        <v>54</v>
      </c>
      <c r="G4" s="271">
        <v>12</v>
      </c>
      <c r="H4" s="691">
        <v>1</v>
      </c>
      <c r="I4" s="691">
        <v>0</v>
      </c>
      <c r="J4" s="691">
        <v>8</v>
      </c>
      <c r="K4" s="691">
        <v>7</v>
      </c>
      <c r="L4" s="691">
        <v>0</v>
      </c>
      <c r="M4" s="691">
        <v>0</v>
      </c>
      <c r="N4" s="691">
        <v>0</v>
      </c>
      <c r="O4" s="691">
        <v>0</v>
      </c>
      <c r="P4" s="691">
        <v>0</v>
      </c>
      <c r="Q4" s="691">
        <v>0</v>
      </c>
      <c r="R4" s="691">
        <v>2</v>
      </c>
      <c r="S4" s="277">
        <v>57744</v>
      </c>
      <c r="T4" s="278" t="s">
        <v>953</v>
      </c>
      <c r="U4" s="279" t="s">
        <v>166</v>
      </c>
      <c r="V4" s="277" t="s">
        <v>240</v>
      </c>
      <c r="W4" s="277" t="s">
        <v>235</v>
      </c>
      <c r="X4" s="273" t="s">
        <v>189</v>
      </c>
      <c r="Y4" s="280" t="s">
        <v>254</v>
      </c>
      <c r="Z4" s="273">
        <v>1</v>
      </c>
      <c r="AA4" s="273">
        <v>1</v>
      </c>
      <c r="AB4" s="273">
        <v>0</v>
      </c>
      <c r="AC4" s="287">
        <v>0</v>
      </c>
      <c r="AD4" s="273">
        <v>0</v>
      </c>
      <c r="AE4" s="273">
        <v>0</v>
      </c>
      <c r="AF4" s="273">
        <v>0</v>
      </c>
      <c r="AG4" s="287">
        <v>0</v>
      </c>
      <c r="AH4" s="273">
        <v>1</v>
      </c>
      <c r="AI4" s="273">
        <v>1</v>
      </c>
      <c r="AJ4" s="273">
        <v>0</v>
      </c>
      <c r="AK4" s="287">
        <v>0</v>
      </c>
      <c r="AL4" s="273">
        <v>0</v>
      </c>
      <c r="AM4" s="273">
        <v>0</v>
      </c>
      <c r="AN4" s="273">
        <v>0</v>
      </c>
      <c r="AO4" s="287">
        <v>0</v>
      </c>
      <c r="AQ4" s="216" t="s">
        <v>102</v>
      </c>
      <c r="AR4" s="217">
        <f>Francealltestshistwon</f>
        <v>463</v>
      </c>
      <c r="AT4" s="216" t="s">
        <v>102</v>
      </c>
      <c r="AU4" s="217">
        <f>FranceRWChistwon</f>
        <v>40</v>
      </c>
      <c r="AW4" s="216" t="s">
        <v>102</v>
      </c>
      <c r="AX4" s="217"/>
      <c r="AZ4" s="216" t="s">
        <v>102</v>
      </c>
      <c r="BA4" s="217">
        <f>france6nationswon</f>
        <v>87</v>
      </c>
      <c r="BC4" s="216" t="s">
        <v>102</v>
      </c>
      <c r="BD4" s="217">
        <f>francechampionshipwon</f>
        <v>220</v>
      </c>
    </row>
    <row r="5" spans="1:56" ht="14.95" customHeight="1" thickBot="1" x14ac:dyDescent="0.35">
      <c r="A5" s="289" t="s">
        <v>286</v>
      </c>
      <c r="B5" s="290" t="s">
        <v>46</v>
      </c>
      <c r="C5" s="290" t="s">
        <v>33</v>
      </c>
      <c r="D5" s="290" t="s">
        <v>869</v>
      </c>
      <c r="E5" s="291" t="s">
        <v>1</v>
      </c>
      <c r="F5" s="291">
        <v>33</v>
      </c>
      <c r="G5" s="291">
        <v>8</v>
      </c>
      <c r="H5" s="692">
        <v>1</v>
      </c>
      <c r="I5" s="692">
        <v>0</v>
      </c>
      <c r="J5" s="692">
        <v>5</v>
      </c>
      <c r="K5" s="692">
        <v>4</v>
      </c>
      <c r="L5" s="692">
        <v>0</v>
      </c>
      <c r="M5" s="692">
        <v>0</v>
      </c>
      <c r="N5" s="692">
        <v>0</v>
      </c>
      <c r="O5" s="692">
        <v>0</v>
      </c>
      <c r="P5" s="692">
        <v>0</v>
      </c>
      <c r="Q5" s="692">
        <v>0</v>
      </c>
      <c r="R5" s="692">
        <v>1</v>
      </c>
      <c r="S5" s="292">
        <v>48544</v>
      </c>
      <c r="T5" s="302" t="s">
        <v>1040</v>
      </c>
      <c r="U5" s="294" t="s">
        <v>177</v>
      </c>
      <c r="V5" s="292" t="s">
        <v>430</v>
      </c>
      <c r="W5" s="292" t="s">
        <v>168</v>
      </c>
      <c r="X5" s="295" t="s">
        <v>163</v>
      </c>
      <c r="Y5" s="296" t="s">
        <v>182</v>
      </c>
      <c r="Z5" s="295">
        <v>1</v>
      </c>
      <c r="AA5" s="295">
        <v>1</v>
      </c>
      <c r="AB5" s="295">
        <v>0</v>
      </c>
      <c r="AC5" s="307">
        <v>0</v>
      </c>
      <c r="AD5" s="295">
        <v>1</v>
      </c>
      <c r="AE5" s="295">
        <v>1</v>
      </c>
      <c r="AF5" s="295">
        <v>0</v>
      </c>
      <c r="AG5" s="307">
        <v>0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Francealltestshistdrawn</f>
        <v>34</v>
      </c>
      <c r="AT5" s="216" t="s">
        <v>107</v>
      </c>
      <c r="AU5" s="217">
        <f>FranceRWChistdrawn</f>
        <v>1</v>
      </c>
      <c r="AW5" s="216" t="s">
        <v>107</v>
      </c>
      <c r="AX5" s="217"/>
      <c r="AZ5" s="216" t="s">
        <v>107</v>
      </c>
      <c r="BA5" s="217">
        <f>france6nationsdrawn</f>
        <v>3</v>
      </c>
      <c r="BC5" s="216" t="s">
        <v>107</v>
      </c>
      <c r="BD5" s="217">
        <f>francechampionshipdrawn</f>
        <v>20</v>
      </c>
    </row>
    <row r="6" spans="1:56" ht="14.95" customHeight="1" thickBot="1" x14ac:dyDescent="0.3">
      <c r="A6" s="268" t="s">
        <v>870</v>
      </c>
      <c r="B6" s="270" t="s">
        <v>46</v>
      </c>
      <c r="C6" s="270" t="s">
        <v>35</v>
      </c>
      <c r="D6" s="270" t="s">
        <v>89</v>
      </c>
      <c r="E6" s="271" t="s">
        <v>3</v>
      </c>
      <c r="F6" s="271">
        <v>40</v>
      </c>
      <c r="G6" s="271">
        <v>50</v>
      </c>
      <c r="H6" s="691">
        <v>1</v>
      </c>
      <c r="I6" s="691">
        <v>0</v>
      </c>
      <c r="J6" s="691">
        <v>6</v>
      </c>
      <c r="K6" s="691">
        <v>5</v>
      </c>
      <c r="L6" s="691">
        <v>0</v>
      </c>
      <c r="M6" s="691">
        <v>0</v>
      </c>
      <c r="N6" s="691">
        <v>2</v>
      </c>
      <c r="O6" s="691">
        <v>0</v>
      </c>
      <c r="P6" s="691">
        <v>1</v>
      </c>
      <c r="Q6" s="691">
        <v>0</v>
      </c>
      <c r="R6" s="691">
        <v>7</v>
      </c>
      <c r="S6" s="277">
        <v>67144</v>
      </c>
      <c r="T6" s="281" t="s">
        <v>808</v>
      </c>
      <c r="U6" s="279" t="s">
        <v>162</v>
      </c>
      <c r="V6" s="277" t="s">
        <v>188</v>
      </c>
      <c r="W6" s="277" t="s">
        <v>430</v>
      </c>
      <c r="X6" s="273" t="s">
        <v>177</v>
      </c>
      <c r="Y6" s="280" t="s">
        <v>186</v>
      </c>
      <c r="Z6" s="273">
        <v>1</v>
      </c>
      <c r="AA6" s="273">
        <v>0</v>
      </c>
      <c r="AB6" s="273">
        <v>0</v>
      </c>
      <c r="AC6" s="287">
        <v>1</v>
      </c>
      <c r="AD6" s="273">
        <v>0</v>
      </c>
      <c r="AE6" s="273">
        <v>0</v>
      </c>
      <c r="AF6" s="273">
        <v>0</v>
      </c>
      <c r="AG6" s="287">
        <v>0</v>
      </c>
      <c r="AH6" s="273">
        <v>1</v>
      </c>
      <c r="AI6" s="273">
        <v>0</v>
      </c>
      <c r="AJ6" s="273">
        <v>0</v>
      </c>
      <c r="AK6" s="287">
        <v>1</v>
      </c>
      <c r="AL6" s="273">
        <v>0</v>
      </c>
      <c r="AM6" s="273">
        <v>0</v>
      </c>
      <c r="AN6" s="273">
        <v>0</v>
      </c>
      <c r="AO6" s="287">
        <v>0</v>
      </c>
      <c r="AQ6" s="216" t="s">
        <v>103</v>
      </c>
      <c r="AR6" s="217">
        <f>Francealltestshistlost</f>
        <v>338</v>
      </c>
      <c r="AT6" s="216" t="s">
        <v>103</v>
      </c>
      <c r="AU6" s="217">
        <f>FranceRWChistlost</f>
        <v>16</v>
      </c>
      <c r="AW6" s="216" t="s">
        <v>103</v>
      </c>
      <c r="AX6" s="217"/>
      <c r="AZ6" s="216" t="s">
        <v>103</v>
      </c>
      <c r="BA6" s="217">
        <f>france6nationslost</f>
        <v>44</v>
      </c>
      <c r="BC6" s="216" t="s">
        <v>103</v>
      </c>
      <c r="BD6" s="217">
        <f>francechampionshiplost</f>
        <v>173</v>
      </c>
    </row>
    <row r="7" spans="1:56" ht="14.95" customHeight="1" thickBot="1" x14ac:dyDescent="0.35">
      <c r="A7" s="289" t="s">
        <v>872</v>
      </c>
      <c r="B7" s="290" t="s">
        <v>46</v>
      </c>
      <c r="C7" s="290" t="s">
        <v>30</v>
      </c>
      <c r="D7" s="290" t="s">
        <v>85</v>
      </c>
      <c r="E7" s="291"/>
      <c r="F7" s="291"/>
      <c r="G7" s="291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295"/>
      <c r="T7" s="310"/>
      <c r="U7" s="295"/>
      <c r="V7" s="295"/>
      <c r="W7" s="295"/>
      <c r="X7" s="295"/>
      <c r="Y7" s="296"/>
      <c r="Z7" s="295"/>
      <c r="AA7" s="295"/>
      <c r="AB7" s="295"/>
      <c r="AC7" s="307"/>
      <c r="AD7" s="295"/>
      <c r="AE7" s="295"/>
      <c r="AF7" s="295"/>
      <c r="AG7" s="307"/>
      <c r="AH7" s="295"/>
      <c r="AI7" s="295"/>
      <c r="AJ7" s="295"/>
      <c r="AK7" s="307"/>
      <c r="AL7" s="295"/>
      <c r="AM7" s="295"/>
      <c r="AN7" s="295"/>
      <c r="AO7" s="307"/>
      <c r="AQ7" s="216" t="s">
        <v>108</v>
      </c>
      <c r="AR7" s="217">
        <f>Francealltestshistptsscored</f>
        <v>16304</v>
      </c>
      <c r="AT7" s="216" t="s">
        <v>108</v>
      </c>
      <c r="AU7" s="217">
        <f>FranceRWChistptsscored</f>
        <v>1826</v>
      </c>
      <c r="AW7" s="216" t="s">
        <v>108</v>
      </c>
      <c r="AX7" s="217"/>
      <c r="AZ7" s="216" t="s">
        <v>108</v>
      </c>
      <c r="BA7" s="217">
        <f>france6nationsptsscored</f>
        <v>3494</v>
      </c>
      <c r="BC7" s="216" t="s">
        <v>108</v>
      </c>
      <c r="BD7" s="217">
        <f>francechampionshipptsscored</f>
        <v>6815</v>
      </c>
    </row>
    <row r="8" spans="1:56" ht="14.95" customHeight="1" thickBot="1" x14ac:dyDescent="0.3">
      <c r="A8" s="268" t="s">
        <v>873</v>
      </c>
      <c r="B8" s="270" t="s">
        <v>876</v>
      </c>
      <c r="C8" s="270" t="s">
        <v>90</v>
      </c>
      <c r="D8" s="270" t="s">
        <v>1045</v>
      </c>
      <c r="E8" s="271"/>
      <c r="F8" s="271"/>
      <c r="G8" s="27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273"/>
      <c r="T8" s="286"/>
      <c r="U8" s="273"/>
      <c r="V8" s="273"/>
      <c r="W8" s="273"/>
      <c r="X8" s="273"/>
      <c r="Y8" s="280"/>
      <c r="Z8" s="273"/>
      <c r="AA8" s="273"/>
      <c r="AB8" s="273"/>
      <c r="AC8" s="287"/>
      <c r="AD8" s="273"/>
      <c r="AE8" s="273"/>
      <c r="AF8" s="273"/>
      <c r="AG8" s="287"/>
      <c r="AH8" s="273"/>
      <c r="AI8" s="273"/>
      <c r="AJ8" s="273"/>
      <c r="AK8" s="287"/>
      <c r="AL8" s="273"/>
      <c r="AM8" s="273"/>
      <c r="AN8" s="273"/>
      <c r="AO8" s="287"/>
      <c r="AQ8" s="216" t="s">
        <v>109</v>
      </c>
      <c r="AR8" s="217">
        <f>Francealltestshistptscon</f>
        <v>13220</v>
      </c>
      <c r="AT8" s="216" t="s">
        <v>109</v>
      </c>
      <c r="AU8" s="217">
        <f>FranceRWChistptsagainst</f>
        <v>1027</v>
      </c>
      <c r="AW8" s="216" t="s">
        <v>109</v>
      </c>
      <c r="AX8" s="217"/>
      <c r="AZ8" s="216" t="s">
        <v>109</v>
      </c>
      <c r="BA8" s="217">
        <f>france6nationsptsconceded</f>
        <v>2543</v>
      </c>
      <c r="BC8" s="216" t="s">
        <v>109</v>
      </c>
      <c r="BD8" s="217">
        <f>francechampionshipptsconceded</f>
        <v>5806</v>
      </c>
    </row>
    <row r="9" spans="1:56" ht="14.95" customHeight="1" thickBot="1" x14ac:dyDescent="0.3">
      <c r="A9" s="268" t="s">
        <v>875</v>
      </c>
      <c r="B9" s="270" t="s">
        <v>876</v>
      </c>
      <c r="C9" s="270" t="s">
        <v>29</v>
      </c>
      <c r="D9" s="270" t="s">
        <v>483</v>
      </c>
      <c r="E9" s="271"/>
      <c r="F9" s="271"/>
      <c r="G9" s="27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273"/>
      <c r="T9" s="286"/>
      <c r="U9" s="273"/>
      <c r="V9" s="273"/>
      <c r="W9" s="273"/>
      <c r="X9" s="273"/>
      <c r="Y9" s="280"/>
      <c r="Z9" s="273"/>
      <c r="AA9" s="273"/>
      <c r="AB9" s="273"/>
      <c r="AC9" s="287"/>
      <c r="AD9" s="273"/>
      <c r="AE9" s="273"/>
      <c r="AF9" s="273"/>
      <c r="AG9" s="287"/>
      <c r="AH9" s="273"/>
      <c r="AI9" s="273"/>
      <c r="AJ9" s="273"/>
      <c r="AK9" s="287"/>
      <c r="AL9" s="273"/>
      <c r="AM9" s="273"/>
      <c r="AN9" s="273"/>
      <c r="AO9" s="287"/>
      <c r="AQ9" s="216" t="s">
        <v>100</v>
      </c>
      <c r="AR9" s="217">
        <f>Francealltestshisttriesscored</f>
        <v>2039</v>
      </c>
      <c r="AT9" s="216" t="s">
        <v>100</v>
      </c>
      <c r="AU9" s="217">
        <f>FranceRWChisttriesscored</f>
        <v>213</v>
      </c>
      <c r="AW9" s="216" t="s">
        <v>100</v>
      </c>
      <c r="AX9" s="217"/>
      <c r="AZ9" s="216" t="s">
        <v>100</v>
      </c>
      <c r="BA9" s="217">
        <f>france6nationstriesscored</f>
        <v>368</v>
      </c>
      <c r="BC9" s="216" t="s">
        <v>100</v>
      </c>
      <c r="BD9" s="217">
        <f>francechampionshiptriesscored</f>
        <v>853</v>
      </c>
    </row>
    <row r="10" spans="1:56" ht="14.95" customHeight="1" thickBot="1" x14ac:dyDescent="0.35">
      <c r="A10" s="284" t="s">
        <v>498</v>
      </c>
      <c r="B10" s="283" t="s">
        <v>876</v>
      </c>
      <c r="C10" s="283" t="s">
        <v>36</v>
      </c>
      <c r="D10" s="283" t="s">
        <v>712</v>
      </c>
      <c r="E10" s="285"/>
      <c r="F10" s="271"/>
      <c r="G10" s="27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273"/>
      <c r="T10" s="575"/>
      <c r="U10" s="273"/>
      <c r="V10" s="273"/>
      <c r="W10" s="273"/>
      <c r="X10" s="273"/>
      <c r="Y10" s="273"/>
      <c r="Z10" s="273"/>
      <c r="AA10" s="273"/>
      <c r="AB10" s="273"/>
      <c r="AC10" s="287"/>
      <c r="AD10" s="273"/>
      <c r="AE10" s="273"/>
      <c r="AF10" s="273"/>
      <c r="AG10" s="287"/>
      <c r="AH10" s="273"/>
      <c r="AI10" s="273"/>
      <c r="AJ10" s="273"/>
      <c r="AK10" s="287"/>
      <c r="AL10" s="273"/>
      <c r="AM10" s="273"/>
      <c r="AN10" s="273"/>
      <c r="AO10" s="287"/>
    </row>
    <row r="11" spans="1:56" ht="14.95" customHeight="1" thickBot="1" x14ac:dyDescent="0.35">
      <c r="A11" s="304" t="s">
        <v>1068</v>
      </c>
      <c r="B11" s="305" t="s">
        <v>876</v>
      </c>
      <c r="C11" s="305" t="s">
        <v>31</v>
      </c>
      <c r="D11" s="305" t="s">
        <v>874</v>
      </c>
      <c r="E11" s="306"/>
      <c r="F11" s="291"/>
      <c r="G11" s="291"/>
      <c r="H11" s="692"/>
      <c r="I11" s="692"/>
      <c r="J11" s="692"/>
      <c r="K11" s="692"/>
      <c r="L11" s="692"/>
      <c r="M11" s="692"/>
      <c r="N11" s="692"/>
      <c r="O11" s="692"/>
      <c r="P11" s="692"/>
      <c r="Q11" s="692"/>
      <c r="R11" s="692"/>
      <c r="S11" s="295"/>
      <c r="T11" s="473"/>
      <c r="U11" s="295"/>
      <c r="V11" s="295"/>
      <c r="W11" s="292"/>
      <c r="X11" s="295"/>
      <c r="Y11" s="295"/>
      <c r="Z11" s="295"/>
      <c r="AA11" s="295"/>
      <c r="AB11" s="295"/>
      <c r="AC11" s="307"/>
      <c r="AD11" s="295"/>
      <c r="AE11" s="295"/>
      <c r="AF11" s="295"/>
      <c r="AG11" s="307"/>
      <c r="AH11" s="295"/>
      <c r="AI11" s="295"/>
      <c r="AJ11" s="295"/>
      <c r="AK11" s="307"/>
      <c r="AL11" s="295"/>
      <c r="AM11" s="295"/>
      <c r="AN11" s="295"/>
      <c r="AO11" s="307"/>
    </row>
    <row r="12" spans="1:56" ht="14.95" customHeight="1" thickBot="1" x14ac:dyDescent="0.35">
      <c r="A12" s="304" t="s">
        <v>747</v>
      </c>
      <c r="B12" s="305" t="s">
        <v>876</v>
      </c>
      <c r="C12" s="305" t="s">
        <v>138</v>
      </c>
      <c r="D12" s="305" t="s">
        <v>85</v>
      </c>
      <c r="E12" s="306"/>
      <c r="F12" s="291"/>
      <c r="G12" s="291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2"/>
      <c r="S12" s="295"/>
      <c r="T12" s="310"/>
      <c r="U12" s="295"/>
      <c r="V12" s="295"/>
      <c r="W12" s="292"/>
      <c r="X12" s="295"/>
      <c r="Y12" s="295"/>
      <c r="Z12" s="295"/>
      <c r="AA12" s="295"/>
      <c r="AB12" s="295"/>
      <c r="AC12" s="307"/>
      <c r="AD12" s="295"/>
      <c r="AE12" s="295"/>
      <c r="AF12" s="295"/>
      <c r="AG12" s="307"/>
      <c r="AH12" s="295"/>
      <c r="AI12" s="295"/>
      <c r="AJ12" s="295"/>
      <c r="AK12" s="307"/>
      <c r="AL12" s="295"/>
      <c r="AM12" s="295"/>
      <c r="AN12" s="295"/>
      <c r="AO12" s="307"/>
    </row>
    <row r="13" spans="1:56" ht="14.95" thickBot="1" x14ac:dyDescent="0.3">
      <c r="A13" s="304" t="s">
        <v>881</v>
      </c>
      <c r="B13" s="305" t="s">
        <v>876</v>
      </c>
      <c r="C13" s="308" t="s">
        <v>37</v>
      </c>
      <c r="D13" s="305" t="s">
        <v>85</v>
      </c>
      <c r="E13" s="229"/>
      <c r="F13" s="291"/>
      <c r="G13" s="291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295"/>
      <c r="T13" s="730"/>
      <c r="U13" s="295"/>
      <c r="V13" s="295"/>
      <c r="W13" s="295"/>
      <c r="X13" s="295"/>
      <c r="Y13" s="295"/>
      <c r="Z13" s="295"/>
      <c r="AA13" s="295"/>
      <c r="AB13" s="295"/>
      <c r="AC13" s="307"/>
      <c r="AD13" s="295"/>
      <c r="AE13" s="295"/>
      <c r="AF13" s="295"/>
      <c r="AG13" s="307"/>
      <c r="AH13" s="295"/>
      <c r="AI13" s="295"/>
      <c r="AJ13" s="295"/>
      <c r="AK13" s="307"/>
      <c r="AL13" s="295"/>
      <c r="AM13" s="295"/>
      <c r="AN13" s="295"/>
      <c r="AO13" s="307"/>
    </row>
    <row r="14" spans="1:56" ht="14.95" thickBot="1" x14ac:dyDescent="0.3">
      <c r="A14" s="888" t="s">
        <v>874</v>
      </c>
      <c r="B14" s="896" t="s">
        <v>879</v>
      </c>
      <c r="C14" s="887" t="s">
        <v>874</v>
      </c>
      <c r="D14" s="887" t="s">
        <v>88</v>
      </c>
      <c r="E14" s="877"/>
      <c r="F14" s="878"/>
      <c r="G14" s="878"/>
      <c r="H14" s="879"/>
      <c r="I14" s="879"/>
      <c r="J14" s="879"/>
      <c r="K14" s="879"/>
      <c r="L14" s="879"/>
      <c r="M14" s="879"/>
      <c r="N14" s="879"/>
      <c r="O14" s="879"/>
      <c r="P14" s="879"/>
      <c r="Q14" s="879"/>
      <c r="R14" s="879"/>
      <c r="S14" s="880"/>
      <c r="T14" s="886"/>
      <c r="U14" s="880"/>
      <c r="V14" s="880"/>
      <c r="W14" s="880"/>
      <c r="X14" s="880"/>
      <c r="Y14" s="880"/>
      <c r="Z14" s="880"/>
      <c r="AA14" s="880"/>
      <c r="AB14" s="880"/>
      <c r="AC14" s="881"/>
      <c r="AD14" s="880"/>
      <c r="AE14" s="880"/>
      <c r="AF14" s="880"/>
      <c r="AG14" s="881"/>
      <c r="AH14" s="880"/>
      <c r="AI14" s="880"/>
      <c r="AJ14" s="880"/>
      <c r="AK14" s="881"/>
      <c r="AL14" s="880"/>
      <c r="AM14" s="880"/>
      <c r="AN14" s="880"/>
      <c r="AO14" s="881"/>
    </row>
    <row r="15" spans="1:56" ht="15.8" customHeight="1" thickBot="1" x14ac:dyDescent="0.3">
      <c r="A15" s="179"/>
      <c r="B15" s="180"/>
      <c r="C15" s="1190" t="s">
        <v>82</v>
      </c>
      <c r="D15" s="1191"/>
      <c r="E15" s="1192"/>
      <c r="F15" s="895">
        <f>SUM(F3:F7)</f>
        <v>163</v>
      </c>
      <c r="G15" s="895">
        <f t="shared" ref="G15:R15" si="0">SUM(G3:G7)</f>
        <v>84</v>
      </c>
      <c r="H15" s="895">
        <f t="shared" si="0"/>
        <v>4</v>
      </c>
      <c r="I15" s="895">
        <f t="shared" si="0"/>
        <v>0</v>
      </c>
      <c r="J15" s="895">
        <f t="shared" si="0"/>
        <v>24</v>
      </c>
      <c r="K15" s="895">
        <f t="shared" si="0"/>
        <v>20</v>
      </c>
      <c r="L15" s="895">
        <f t="shared" si="0"/>
        <v>0</v>
      </c>
      <c r="M15" s="895">
        <f t="shared" si="0"/>
        <v>1</v>
      </c>
      <c r="N15" s="895">
        <f t="shared" si="0"/>
        <v>2</v>
      </c>
      <c r="O15" s="895">
        <f t="shared" si="0"/>
        <v>0</v>
      </c>
      <c r="P15" s="895">
        <f t="shared" si="0"/>
        <v>1</v>
      </c>
      <c r="Q15" s="895">
        <f t="shared" si="0"/>
        <v>0</v>
      </c>
      <c r="R15" s="895">
        <f t="shared" si="0"/>
        <v>12</v>
      </c>
      <c r="S15" s="870"/>
      <c r="T15" s="870"/>
      <c r="U15" s="870"/>
      <c r="V15" s="870"/>
      <c r="W15" s="870"/>
      <c r="X15" s="871"/>
      <c r="Y15" s="872" t="s">
        <v>82</v>
      </c>
      <c r="Z15" s="869">
        <f t="shared" ref="Z15:AO15" si="1">SUM(Z3:Z7)</f>
        <v>4</v>
      </c>
      <c r="AA15" s="869">
        <f t="shared" si="1"/>
        <v>3</v>
      </c>
      <c r="AB15" s="869">
        <f t="shared" si="1"/>
        <v>0</v>
      </c>
      <c r="AC15" s="869">
        <f t="shared" si="1"/>
        <v>1</v>
      </c>
      <c r="AD15" s="873">
        <f t="shared" si="1"/>
        <v>2</v>
      </c>
      <c r="AE15" s="873">
        <f t="shared" si="1"/>
        <v>2</v>
      </c>
      <c r="AF15" s="873">
        <f t="shared" si="1"/>
        <v>0</v>
      </c>
      <c r="AG15" s="873">
        <f t="shared" si="1"/>
        <v>0</v>
      </c>
      <c r="AH15" s="874">
        <f t="shared" si="1"/>
        <v>2</v>
      </c>
      <c r="AI15" s="874">
        <f t="shared" si="1"/>
        <v>1</v>
      </c>
      <c r="AJ15" s="874">
        <f t="shared" si="1"/>
        <v>0</v>
      </c>
      <c r="AK15" s="874">
        <f t="shared" si="1"/>
        <v>1</v>
      </c>
      <c r="AL15" s="869">
        <f t="shared" si="1"/>
        <v>0</v>
      </c>
      <c r="AM15" s="869">
        <f t="shared" si="1"/>
        <v>0</v>
      </c>
      <c r="AN15" s="869">
        <f t="shared" si="1"/>
        <v>0</v>
      </c>
      <c r="AO15" s="869">
        <f t="shared" si="1"/>
        <v>0</v>
      </c>
    </row>
    <row r="16" spans="1:56" ht="14.95" thickBot="1" x14ac:dyDescent="0.3">
      <c r="A16" s="179"/>
      <c r="B16" s="180"/>
      <c r="C16" s="1128" t="s">
        <v>878</v>
      </c>
      <c r="D16" s="1157"/>
      <c r="E16" s="1158"/>
      <c r="F16" s="547">
        <f>SUM(F8:F14)</f>
        <v>0</v>
      </c>
      <c r="G16" s="547">
        <f t="shared" ref="G16:R16" si="2">SUM(G8:G14)</f>
        <v>0</v>
      </c>
      <c r="H16" s="547">
        <f t="shared" si="2"/>
        <v>0</v>
      </c>
      <c r="I16" s="547">
        <f t="shared" si="2"/>
        <v>0</v>
      </c>
      <c r="J16" s="547">
        <f t="shared" si="2"/>
        <v>0</v>
      </c>
      <c r="K16" s="547">
        <f t="shared" si="2"/>
        <v>0</v>
      </c>
      <c r="L16" s="547">
        <f t="shared" si="2"/>
        <v>0</v>
      </c>
      <c r="M16" s="547">
        <f t="shared" si="2"/>
        <v>0</v>
      </c>
      <c r="N16" s="547">
        <f t="shared" si="2"/>
        <v>0</v>
      </c>
      <c r="O16" s="547">
        <f t="shared" si="2"/>
        <v>0</v>
      </c>
      <c r="P16" s="547">
        <f t="shared" si="2"/>
        <v>0</v>
      </c>
      <c r="Q16" s="547">
        <f t="shared" si="2"/>
        <v>0</v>
      </c>
      <c r="R16" s="547">
        <f t="shared" si="2"/>
        <v>0</v>
      </c>
      <c r="S16" s="564"/>
      <c r="T16" s="564"/>
      <c r="U16" s="564"/>
      <c r="V16" s="564"/>
      <c r="W16" s="564"/>
      <c r="X16" s="175"/>
      <c r="Y16" s="249" t="s">
        <v>894</v>
      </c>
      <c r="Z16" s="547">
        <f t="shared" ref="Z16:AO16" si="3">SUM(Z8:Z14)</f>
        <v>0</v>
      </c>
      <c r="AA16" s="547">
        <f t="shared" si="3"/>
        <v>0</v>
      </c>
      <c r="AB16" s="547">
        <f t="shared" si="3"/>
        <v>0</v>
      </c>
      <c r="AC16" s="547">
        <f t="shared" si="3"/>
        <v>0</v>
      </c>
      <c r="AD16" s="549">
        <f t="shared" si="3"/>
        <v>0</v>
      </c>
      <c r="AE16" s="549">
        <f t="shared" si="3"/>
        <v>0</v>
      </c>
      <c r="AF16" s="549">
        <f t="shared" si="3"/>
        <v>0</v>
      </c>
      <c r="AG16" s="549">
        <f t="shared" si="3"/>
        <v>0</v>
      </c>
      <c r="AH16" s="550">
        <f t="shared" si="3"/>
        <v>0</v>
      </c>
      <c r="AI16" s="550">
        <f t="shared" si="3"/>
        <v>0</v>
      </c>
      <c r="AJ16" s="550">
        <f t="shared" si="3"/>
        <v>0</v>
      </c>
      <c r="AK16" s="550">
        <f t="shared" si="3"/>
        <v>0</v>
      </c>
      <c r="AL16" s="547">
        <f t="shared" si="3"/>
        <v>0</v>
      </c>
      <c r="AM16" s="547">
        <f t="shared" si="3"/>
        <v>0</v>
      </c>
      <c r="AN16" s="547">
        <f t="shared" si="3"/>
        <v>0</v>
      </c>
      <c r="AO16" s="547">
        <f t="shared" si="3"/>
        <v>0</v>
      </c>
    </row>
    <row r="17" spans="1:41" ht="14.95" thickBot="1" x14ac:dyDescent="0.3">
      <c r="A17" s="179"/>
      <c r="B17" s="180"/>
      <c r="C17" s="1087" t="s">
        <v>81</v>
      </c>
      <c r="D17" s="1088"/>
      <c r="E17" s="1089"/>
      <c r="F17" s="231">
        <f t="shared" ref="F17:R17" si="4">SUM(F3:F13)</f>
        <v>163</v>
      </c>
      <c r="G17" s="231">
        <f t="shared" si="4"/>
        <v>84</v>
      </c>
      <c r="H17" s="266">
        <f t="shared" si="4"/>
        <v>4</v>
      </c>
      <c r="I17" s="231">
        <f t="shared" si="4"/>
        <v>0</v>
      </c>
      <c r="J17" s="231">
        <f t="shared" si="4"/>
        <v>24</v>
      </c>
      <c r="K17" s="231">
        <f t="shared" si="4"/>
        <v>20</v>
      </c>
      <c r="L17" s="231">
        <f t="shared" si="4"/>
        <v>0</v>
      </c>
      <c r="M17" s="231">
        <f t="shared" si="4"/>
        <v>1</v>
      </c>
      <c r="N17" s="231">
        <f t="shared" si="4"/>
        <v>2</v>
      </c>
      <c r="O17" s="231">
        <f t="shared" si="4"/>
        <v>0</v>
      </c>
      <c r="P17" s="231">
        <f t="shared" si="4"/>
        <v>1</v>
      </c>
      <c r="Q17" s="231">
        <f t="shared" si="4"/>
        <v>0</v>
      </c>
      <c r="R17" s="231">
        <f t="shared" si="4"/>
        <v>12</v>
      </c>
      <c r="S17" s="228"/>
      <c r="T17" s="228"/>
      <c r="U17" s="228"/>
      <c r="V17" s="228"/>
      <c r="W17" s="228"/>
      <c r="X17" s="13"/>
      <c r="Y17" s="246" t="s">
        <v>81</v>
      </c>
      <c r="Z17" s="231">
        <f t="shared" ref="Z17:AO17" si="5">SUM(Z3:Z13)</f>
        <v>4</v>
      </c>
      <c r="AA17" s="231">
        <f t="shared" si="5"/>
        <v>3</v>
      </c>
      <c r="AB17" s="231">
        <f t="shared" si="5"/>
        <v>0</v>
      </c>
      <c r="AC17" s="231">
        <f t="shared" si="5"/>
        <v>1</v>
      </c>
      <c r="AD17" s="229">
        <f t="shared" si="5"/>
        <v>2</v>
      </c>
      <c r="AE17" s="229">
        <f t="shared" si="5"/>
        <v>2</v>
      </c>
      <c r="AF17" s="229">
        <f t="shared" si="5"/>
        <v>0</v>
      </c>
      <c r="AG17" s="229">
        <f t="shared" si="5"/>
        <v>0</v>
      </c>
      <c r="AH17" s="230">
        <f t="shared" si="5"/>
        <v>2</v>
      </c>
      <c r="AI17" s="230">
        <f t="shared" si="5"/>
        <v>1</v>
      </c>
      <c r="AJ17" s="230">
        <f t="shared" si="5"/>
        <v>0</v>
      </c>
      <c r="AK17" s="230">
        <f t="shared" si="5"/>
        <v>1</v>
      </c>
      <c r="AL17" s="231">
        <f t="shared" si="5"/>
        <v>0</v>
      </c>
      <c r="AM17" s="231">
        <f t="shared" si="5"/>
        <v>0</v>
      </c>
      <c r="AN17" s="231">
        <f t="shared" si="5"/>
        <v>0</v>
      </c>
      <c r="AO17" s="231">
        <f t="shared" si="5"/>
        <v>0</v>
      </c>
    </row>
    <row r="18" spans="1:41" x14ac:dyDescent="0.25">
      <c r="A18" s="1108"/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  <c r="Z18" s="1063"/>
      <c r="AA18" s="1063"/>
      <c r="AB18" s="1063"/>
      <c r="AC18" s="1063"/>
      <c r="AD18" s="1063"/>
      <c r="AE18" s="1063"/>
      <c r="AF18" s="1063"/>
      <c r="AG18" s="1063"/>
      <c r="AH18" s="1063"/>
      <c r="AI18" s="1063"/>
      <c r="AJ18" s="1063"/>
      <c r="AK18" s="1063"/>
      <c r="AL18" s="1063"/>
      <c r="AM18" s="1063"/>
      <c r="AN18" s="1063"/>
      <c r="AO18" s="1063"/>
    </row>
    <row r="19" spans="1:41" x14ac:dyDescent="0.25">
      <c r="A19" t="s">
        <v>868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1" x14ac:dyDescent="0.25">
      <c r="A20" t="s">
        <v>962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1" x14ac:dyDescent="0.25">
      <c r="A21" t="s">
        <v>1046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1" x14ac:dyDescent="0.25">
      <c r="A22" t="s">
        <v>1047</v>
      </c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1" x14ac:dyDescent="0.25">
      <c r="A23" s="1108" t="s">
        <v>877</v>
      </c>
      <c r="B23" s="1063"/>
      <c r="C23" s="1063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  <c r="Q23" s="1063"/>
      <c r="R23" s="1063"/>
      <c r="S23" s="1063"/>
      <c r="T23" s="1063"/>
      <c r="U23" s="1063"/>
      <c r="V23" s="1063"/>
      <c r="W23" s="1063"/>
      <c r="X23" s="1063"/>
      <c r="Y23" s="1063"/>
      <c r="Z23" s="1063"/>
      <c r="AA23" s="1063"/>
      <c r="AB23" s="1063"/>
      <c r="AC23" s="1063"/>
      <c r="AD23" s="1063"/>
      <c r="AE23" s="1063"/>
      <c r="AF23" s="1063"/>
      <c r="AG23" s="1063"/>
      <c r="AH23" s="1063"/>
      <c r="AI23" s="1063"/>
      <c r="AJ23" s="1063"/>
      <c r="AK23" s="1063"/>
      <c r="AL23" s="1063"/>
      <c r="AM23" s="1063"/>
      <c r="AN23" s="1063"/>
      <c r="AO23" s="1063"/>
    </row>
    <row r="24" spans="1:41" x14ac:dyDescent="0.25">
      <c r="A24" s="1108" t="s">
        <v>880</v>
      </c>
      <c r="B24" s="1063"/>
      <c r="C24" s="1063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  <c r="O24" s="1063"/>
      <c r="P24" s="1063"/>
      <c r="Q24" s="1063"/>
      <c r="R24" s="1063"/>
    </row>
    <row r="25" spans="1:41" x14ac:dyDescent="0.25">
      <c r="A25" s="1108" t="s">
        <v>738</v>
      </c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  <c r="S25" s="1063"/>
      <c r="T25" s="1063"/>
      <c r="U25" s="1063"/>
      <c r="V25" s="1063"/>
      <c r="W25" s="1063"/>
      <c r="X25" s="1063"/>
      <c r="Y25" s="1063"/>
      <c r="Z25" s="1063"/>
      <c r="AA25" s="1063"/>
      <c r="AB25" s="1063"/>
      <c r="AC25" s="1063"/>
      <c r="AD25" s="1063"/>
      <c r="AE25" s="1063"/>
      <c r="AF25" s="1063"/>
      <c r="AG25" s="1063"/>
      <c r="AH25" s="1063"/>
      <c r="AI25" s="1063"/>
      <c r="AJ25" s="1063"/>
      <c r="AK25" s="1063"/>
      <c r="AL25" s="1063"/>
      <c r="AM25" s="1063"/>
      <c r="AN25" s="1063"/>
      <c r="AO25" s="1063"/>
    </row>
    <row r="26" spans="1:41" x14ac:dyDescent="0.25">
      <c r="A26" s="376"/>
      <c r="B26" t="s">
        <v>44</v>
      </c>
    </row>
    <row r="27" spans="1:41" x14ac:dyDescent="0.25">
      <c r="A27" s="377"/>
      <c r="B27" t="s">
        <v>42</v>
      </c>
    </row>
    <row r="28" spans="1:41" x14ac:dyDescent="0.25">
      <c r="A28" s="378"/>
      <c r="B28" t="s">
        <v>43</v>
      </c>
    </row>
    <row r="29" spans="1:41" ht="16.3" x14ac:dyDescent="0.3">
      <c r="A29" s="792" t="s">
        <v>28</v>
      </c>
    </row>
  </sheetData>
  <mergeCells count="18">
    <mergeCell ref="A25:AO25"/>
    <mergeCell ref="C16:E16"/>
    <mergeCell ref="C17:E17"/>
    <mergeCell ref="A18:AO18"/>
    <mergeCell ref="A23:AO23"/>
    <mergeCell ref="A24:R24"/>
    <mergeCell ref="C15:E15"/>
    <mergeCell ref="Z1:AC1"/>
    <mergeCell ref="AD1:AG1"/>
    <mergeCell ref="AH1:AK1"/>
    <mergeCell ref="AL1:AO1"/>
    <mergeCell ref="N1:O1"/>
    <mergeCell ref="P1:R1"/>
    <mergeCell ref="BC2:BD2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  <ignoredErrors>
    <ignoredError sqref="F15:AO15 S16:X16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26"/>
  <sheetViews>
    <sheetView zoomScale="90" zoomScaleNormal="90" workbookViewId="0">
      <pane ySplit="2" topLeftCell="A3" activePane="bottomLeft" state="frozen"/>
      <selection activeCell="D8" sqref="A8:AO21"/>
      <selection pane="bottomLeft" activeCell="W27" sqref="W27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2" bestFit="1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19.875" bestFit="1" customWidth="1"/>
    <col min="22" max="22" width="17.875" bestFit="1" customWidth="1"/>
    <col min="23" max="23" width="17.875" customWidth="1"/>
    <col min="24" max="24" width="23.125" bestFit="1" customWidth="1"/>
    <col min="25" max="25" width="20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202" t="s">
        <v>325</v>
      </c>
      <c r="B1" s="1203"/>
      <c r="C1" s="1203"/>
      <c r="D1" s="459"/>
      <c r="E1" s="1204" t="s">
        <v>24</v>
      </c>
      <c r="F1" s="1205"/>
      <c r="G1" s="1206"/>
      <c r="H1" s="1204" t="s">
        <v>23</v>
      </c>
      <c r="I1" s="1206"/>
      <c r="J1" s="1199" t="s">
        <v>6</v>
      </c>
      <c r="K1" s="1201"/>
      <c r="L1" s="1201"/>
      <c r="M1" s="1200"/>
      <c r="N1" s="1199" t="s">
        <v>7</v>
      </c>
      <c r="O1" s="1200"/>
      <c r="P1" s="1199" t="s">
        <v>25</v>
      </c>
      <c r="Q1" s="1201"/>
      <c r="R1" s="1200"/>
      <c r="S1" s="460" t="s">
        <v>8</v>
      </c>
      <c r="T1" s="460" t="s">
        <v>9</v>
      </c>
      <c r="U1" s="461" t="s">
        <v>10</v>
      </c>
      <c r="V1" s="462" t="s">
        <v>11</v>
      </c>
      <c r="W1" s="462" t="s">
        <v>211</v>
      </c>
      <c r="X1" s="462" t="s">
        <v>26</v>
      </c>
      <c r="Y1" s="462" t="s">
        <v>27</v>
      </c>
      <c r="Z1" s="1196" t="s">
        <v>20</v>
      </c>
      <c r="AA1" s="1197"/>
      <c r="AB1" s="1197"/>
      <c r="AC1" s="1198"/>
      <c r="AD1" s="1196" t="s">
        <v>61</v>
      </c>
      <c r="AE1" s="1197"/>
      <c r="AF1" s="1197"/>
      <c r="AG1" s="1198"/>
      <c r="AH1" s="1196" t="s">
        <v>62</v>
      </c>
      <c r="AI1" s="1197"/>
      <c r="AJ1" s="1197"/>
      <c r="AK1" s="1198"/>
      <c r="AL1" s="1196" t="s">
        <v>63</v>
      </c>
      <c r="AM1" s="1197"/>
      <c r="AN1" s="1197"/>
      <c r="AO1" s="1198"/>
      <c r="AQ1" s="472" t="s">
        <v>116</v>
      </c>
      <c r="AR1" s="218"/>
      <c r="AS1" s="218"/>
      <c r="AT1" s="472" t="s">
        <v>116</v>
      </c>
    </row>
    <row r="2" spans="1:47" ht="14.95" customHeight="1" thickBot="1" x14ac:dyDescent="0.3">
      <c r="A2" s="463" t="s">
        <v>19</v>
      </c>
      <c r="B2" s="464" t="s">
        <v>18</v>
      </c>
      <c r="C2" s="465" t="s">
        <v>17</v>
      </c>
      <c r="D2" s="465" t="s">
        <v>41</v>
      </c>
      <c r="E2" s="466" t="s">
        <v>16</v>
      </c>
      <c r="F2" s="466" t="s">
        <v>4</v>
      </c>
      <c r="G2" s="466" t="s">
        <v>5</v>
      </c>
      <c r="H2" s="467" t="s">
        <v>12</v>
      </c>
      <c r="I2" s="467" t="s">
        <v>3</v>
      </c>
      <c r="J2" s="467" t="s">
        <v>12</v>
      </c>
      <c r="K2" s="467" t="s">
        <v>13</v>
      </c>
      <c r="L2" s="467" t="s">
        <v>2</v>
      </c>
      <c r="M2" s="467" t="s">
        <v>14</v>
      </c>
      <c r="N2" s="467" t="s">
        <v>15</v>
      </c>
      <c r="O2" s="467" t="s">
        <v>16</v>
      </c>
      <c r="P2" s="467" t="s">
        <v>21</v>
      </c>
      <c r="Q2" s="467" t="s">
        <v>22</v>
      </c>
      <c r="R2" s="467" t="s">
        <v>12</v>
      </c>
      <c r="S2" s="468"/>
      <c r="T2" s="469"/>
      <c r="U2" s="470"/>
      <c r="V2" s="470"/>
      <c r="W2" s="470"/>
      <c r="X2" s="470"/>
      <c r="Y2" s="470"/>
      <c r="Z2" s="471" t="s">
        <v>0</v>
      </c>
      <c r="AA2" s="471" t="s">
        <v>1</v>
      </c>
      <c r="AB2" s="471" t="s">
        <v>2</v>
      </c>
      <c r="AC2" s="471" t="s">
        <v>3</v>
      </c>
      <c r="AD2" s="471" t="s">
        <v>0</v>
      </c>
      <c r="AE2" s="471" t="s">
        <v>1</v>
      </c>
      <c r="AF2" s="471" t="s">
        <v>2</v>
      </c>
      <c r="AG2" s="471" t="s">
        <v>3</v>
      </c>
      <c r="AH2" s="471" t="s">
        <v>0</v>
      </c>
      <c r="AI2" s="471" t="s">
        <v>1</v>
      </c>
      <c r="AJ2" s="471" t="s">
        <v>2</v>
      </c>
      <c r="AK2" s="471" t="s">
        <v>3</v>
      </c>
      <c r="AL2" s="471" t="s">
        <v>0</v>
      </c>
      <c r="AM2" s="471" t="s">
        <v>1</v>
      </c>
      <c r="AN2" s="471" t="s">
        <v>2</v>
      </c>
      <c r="AO2" s="471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5">
      <c r="A3" s="304" t="s">
        <v>283</v>
      </c>
      <c r="B3" s="290" t="s">
        <v>183</v>
      </c>
      <c r="C3" s="290" t="s">
        <v>323</v>
      </c>
      <c r="D3" s="290" t="s">
        <v>176</v>
      </c>
      <c r="E3" s="291" t="s">
        <v>1</v>
      </c>
      <c r="F3" s="291">
        <v>110</v>
      </c>
      <c r="G3" s="291">
        <v>0</v>
      </c>
      <c r="H3" s="692">
        <v>1</v>
      </c>
      <c r="I3" s="692">
        <v>0</v>
      </c>
      <c r="J3" s="692">
        <v>16</v>
      </c>
      <c r="K3" s="692">
        <v>15</v>
      </c>
      <c r="L3" s="692">
        <v>0</v>
      </c>
      <c r="M3" s="692">
        <v>0</v>
      </c>
      <c r="N3" s="692">
        <v>0</v>
      </c>
      <c r="O3" s="692">
        <v>0</v>
      </c>
      <c r="P3" s="692">
        <v>0</v>
      </c>
      <c r="Q3" s="692">
        <v>0</v>
      </c>
      <c r="R3" s="692">
        <v>0</v>
      </c>
      <c r="S3" s="292">
        <v>3500</v>
      </c>
      <c r="T3" s="302" t="s">
        <v>326</v>
      </c>
      <c r="U3" s="294" t="s">
        <v>327</v>
      </c>
      <c r="V3" s="292" t="s">
        <v>157</v>
      </c>
      <c r="W3" s="294" t="s">
        <v>157</v>
      </c>
      <c r="X3" s="294" t="s">
        <v>328</v>
      </c>
      <c r="Y3" s="296" t="s">
        <v>329</v>
      </c>
      <c r="Z3" s="716">
        <v>1</v>
      </c>
      <c r="AA3" s="716">
        <v>1</v>
      </c>
      <c r="AB3" s="716">
        <v>0</v>
      </c>
      <c r="AC3" s="717">
        <v>0</v>
      </c>
      <c r="AD3" s="716">
        <v>1</v>
      </c>
      <c r="AE3" s="716">
        <v>1</v>
      </c>
      <c r="AF3" s="716">
        <v>0</v>
      </c>
      <c r="AG3" s="717">
        <v>0</v>
      </c>
      <c r="AH3" s="716">
        <v>0</v>
      </c>
      <c r="AI3" s="716">
        <v>0</v>
      </c>
      <c r="AJ3" s="716">
        <v>0</v>
      </c>
      <c r="AK3" s="717">
        <v>0</v>
      </c>
      <c r="AL3" s="716">
        <v>0</v>
      </c>
      <c r="AM3" s="716">
        <v>0</v>
      </c>
      <c r="AN3" s="716">
        <v>0</v>
      </c>
      <c r="AO3" s="717">
        <v>0</v>
      </c>
      <c r="AQ3" s="214" t="s">
        <v>101</v>
      </c>
      <c r="AR3" s="215">
        <f>Georgiaalltestshistplayed</f>
        <v>288</v>
      </c>
      <c r="AT3" s="214" t="s">
        <v>101</v>
      </c>
      <c r="AU3" s="215">
        <f>GeorgiaRWChistplayed</f>
        <v>24</v>
      </c>
    </row>
    <row r="4" spans="1:47" ht="14.95" customHeight="1" thickBot="1" x14ac:dyDescent="0.35">
      <c r="A4" s="304" t="s">
        <v>284</v>
      </c>
      <c r="B4" s="290" t="s">
        <v>183</v>
      </c>
      <c r="C4" s="290" t="s">
        <v>172</v>
      </c>
      <c r="D4" s="290" t="s">
        <v>176</v>
      </c>
      <c r="E4" s="291" t="s">
        <v>1</v>
      </c>
      <c r="F4" s="291">
        <v>40</v>
      </c>
      <c r="G4" s="291">
        <v>7</v>
      </c>
      <c r="H4" s="692">
        <v>1</v>
      </c>
      <c r="I4" s="692">
        <v>0</v>
      </c>
      <c r="J4" s="692">
        <v>6</v>
      </c>
      <c r="K4" s="692">
        <v>5</v>
      </c>
      <c r="L4" s="692">
        <v>0</v>
      </c>
      <c r="M4" s="692">
        <v>0</v>
      </c>
      <c r="N4" s="692">
        <v>0</v>
      </c>
      <c r="O4" s="692">
        <v>1</v>
      </c>
      <c r="P4" s="692">
        <v>0</v>
      </c>
      <c r="Q4" s="692">
        <v>0</v>
      </c>
      <c r="R4" s="692">
        <v>1</v>
      </c>
      <c r="S4" s="292">
        <v>2000</v>
      </c>
      <c r="T4" s="302" t="s">
        <v>344</v>
      </c>
      <c r="U4" s="294" t="s">
        <v>345</v>
      </c>
      <c r="V4" s="292" t="s">
        <v>157</v>
      </c>
      <c r="W4" s="292" t="s">
        <v>157</v>
      </c>
      <c r="X4" s="295" t="s">
        <v>346</v>
      </c>
      <c r="Y4" s="295" t="s">
        <v>347</v>
      </c>
      <c r="Z4" s="716">
        <v>1</v>
      </c>
      <c r="AA4" s="716">
        <v>1</v>
      </c>
      <c r="AB4" s="716">
        <v>0</v>
      </c>
      <c r="AC4" s="717">
        <v>0</v>
      </c>
      <c r="AD4" s="716">
        <v>1</v>
      </c>
      <c r="AE4" s="716">
        <v>1</v>
      </c>
      <c r="AF4" s="716">
        <v>0</v>
      </c>
      <c r="AG4" s="717">
        <v>0</v>
      </c>
      <c r="AH4" s="716">
        <v>0</v>
      </c>
      <c r="AI4" s="716">
        <v>0</v>
      </c>
      <c r="AJ4" s="716">
        <v>0</v>
      </c>
      <c r="AK4" s="717">
        <v>0</v>
      </c>
      <c r="AL4" s="716">
        <v>0</v>
      </c>
      <c r="AM4" s="716">
        <v>0</v>
      </c>
      <c r="AN4" s="716">
        <v>0</v>
      </c>
      <c r="AO4" s="717">
        <v>0</v>
      </c>
      <c r="AQ4" s="216" t="s">
        <v>102</v>
      </c>
      <c r="AR4" s="217">
        <f>Georgiaalltestshistwon</f>
        <v>179</v>
      </c>
      <c r="AT4" s="216" t="s">
        <v>102</v>
      </c>
      <c r="AU4" s="217">
        <f>GeorgiaRWChistwon</f>
        <v>5</v>
      </c>
    </row>
    <row r="5" spans="1:47" ht="14.95" customHeight="1" thickBot="1" x14ac:dyDescent="0.35">
      <c r="A5" s="284" t="s">
        <v>369</v>
      </c>
      <c r="B5" s="270" t="s">
        <v>183</v>
      </c>
      <c r="C5" s="270" t="s">
        <v>95</v>
      </c>
      <c r="D5" s="270" t="s">
        <v>268</v>
      </c>
      <c r="E5" s="271" t="s">
        <v>1</v>
      </c>
      <c r="F5" s="271">
        <v>62</v>
      </c>
      <c r="G5" s="271">
        <v>32</v>
      </c>
      <c r="H5" s="691">
        <v>1</v>
      </c>
      <c r="I5" s="691">
        <v>0</v>
      </c>
      <c r="J5" s="691">
        <v>10</v>
      </c>
      <c r="K5" s="691">
        <v>6</v>
      </c>
      <c r="L5" s="691">
        <v>0</v>
      </c>
      <c r="M5" s="691">
        <v>0</v>
      </c>
      <c r="N5" s="691">
        <v>3</v>
      </c>
      <c r="O5" s="691">
        <v>1</v>
      </c>
      <c r="P5" s="691">
        <v>1</v>
      </c>
      <c r="Q5" s="691">
        <v>0</v>
      </c>
      <c r="R5" s="691">
        <v>4</v>
      </c>
      <c r="S5" s="277">
        <v>6000</v>
      </c>
      <c r="T5" s="278" t="s">
        <v>373</v>
      </c>
      <c r="U5" s="279" t="s">
        <v>182</v>
      </c>
      <c r="V5" s="273" t="s">
        <v>157</v>
      </c>
      <c r="W5" s="273" t="s">
        <v>157</v>
      </c>
      <c r="X5" s="273" t="s">
        <v>371</v>
      </c>
      <c r="Y5" s="273" t="s">
        <v>372</v>
      </c>
      <c r="Z5" s="718">
        <v>1</v>
      </c>
      <c r="AA5" s="718">
        <v>1</v>
      </c>
      <c r="AB5" s="718">
        <v>0</v>
      </c>
      <c r="AC5" s="719">
        <v>0</v>
      </c>
      <c r="AD5" s="718">
        <v>0</v>
      </c>
      <c r="AE5" s="718">
        <v>0</v>
      </c>
      <c r="AF5" s="718">
        <v>0</v>
      </c>
      <c r="AG5" s="719">
        <v>0</v>
      </c>
      <c r="AH5" s="718">
        <v>1</v>
      </c>
      <c r="AI5" s="718">
        <v>1</v>
      </c>
      <c r="AJ5" s="718">
        <v>0</v>
      </c>
      <c r="AK5" s="719">
        <v>0</v>
      </c>
      <c r="AL5" s="718">
        <v>0</v>
      </c>
      <c r="AM5" s="718">
        <v>0</v>
      </c>
      <c r="AN5" s="718">
        <v>0</v>
      </c>
      <c r="AO5" s="719">
        <v>0</v>
      </c>
      <c r="AQ5" s="216" t="s">
        <v>107</v>
      </c>
      <c r="AR5" s="217">
        <f>Georgiaalltestshistdrawn</f>
        <v>10</v>
      </c>
      <c r="AT5" s="216" t="s">
        <v>107</v>
      </c>
      <c r="AU5" s="217">
        <f>GeorgiaRWChistdrawn</f>
        <v>1</v>
      </c>
    </row>
    <row r="6" spans="1:47" ht="14.95" customHeight="1" thickBot="1" x14ac:dyDescent="0.35">
      <c r="A6" s="304" t="s">
        <v>219</v>
      </c>
      <c r="B6" s="290" t="s">
        <v>221</v>
      </c>
      <c r="C6" s="290" t="s">
        <v>94</v>
      </c>
      <c r="D6" s="290" t="s">
        <v>176</v>
      </c>
      <c r="E6" s="291" t="s">
        <v>1</v>
      </c>
      <c r="F6" s="291">
        <v>43</v>
      </c>
      <c r="G6" s="291">
        <v>5</v>
      </c>
      <c r="H6" s="692" t="s">
        <v>80</v>
      </c>
      <c r="I6" s="692" t="s">
        <v>80</v>
      </c>
      <c r="J6" s="692">
        <v>7</v>
      </c>
      <c r="K6" s="692">
        <v>4</v>
      </c>
      <c r="L6" s="692">
        <v>0</v>
      </c>
      <c r="M6" s="692">
        <v>0</v>
      </c>
      <c r="N6" s="692">
        <v>0</v>
      </c>
      <c r="O6" s="692">
        <v>0</v>
      </c>
      <c r="P6" s="692" t="s">
        <v>80</v>
      </c>
      <c r="Q6" s="692" t="s">
        <v>80</v>
      </c>
      <c r="R6" s="692">
        <v>1</v>
      </c>
      <c r="S6" s="292">
        <v>2975</v>
      </c>
      <c r="T6" s="302" t="s">
        <v>381</v>
      </c>
      <c r="U6" s="294" t="s">
        <v>273</v>
      </c>
      <c r="V6" s="292" t="s">
        <v>178</v>
      </c>
      <c r="W6" s="292" t="s">
        <v>157</v>
      </c>
      <c r="X6" s="295" t="s">
        <v>372</v>
      </c>
      <c r="Y6" s="296" t="s">
        <v>382</v>
      </c>
      <c r="Z6" s="716">
        <v>1</v>
      </c>
      <c r="AA6" s="716">
        <v>1</v>
      </c>
      <c r="AB6" s="716">
        <v>0</v>
      </c>
      <c r="AC6" s="717">
        <v>0</v>
      </c>
      <c r="AD6" s="716">
        <v>1</v>
      </c>
      <c r="AE6" s="716">
        <v>1</v>
      </c>
      <c r="AF6" s="716">
        <v>0</v>
      </c>
      <c r="AG6" s="717">
        <v>0</v>
      </c>
      <c r="AH6" s="716">
        <v>0</v>
      </c>
      <c r="AI6" s="716">
        <v>0</v>
      </c>
      <c r="AJ6" s="716">
        <v>0</v>
      </c>
      <c r="AK6" s="717">
        <v>0</v>
      </c>
      <c r="AL6" s="716">
        <v>0</v>
      </c>
      <c r="AM6" s="716">
        <v>0</v>
      </c>
      <c r="AN6" s="716">
        <v>0</v>
      </c>
      <c r="AO6" s="717">
        <v>0</v>
      </c>
      <c r="AQ6" s="216" t="s">
        <v>103</v>
      </c>
      <c r="AR6" s="217">
        <f>Georgiaalltestshistlost</f>
        <v>99</v>
      </c>
      <c r="AT6" s="216" t="s">
        <v>103</v>
      </c>
      <c r="AU6" s="217">
        <f>GeorgiaRWChistlost</f>
        <v>18</v>
      </c>
    </row>
    <row r="7" spans="1:47" ht="14.95" customHeight="1" thickBot="1" x14ac:dyDescent="0.35">
      <c r="A7" s="304" t="s">
        <v>387</v>
      </c>
      <c r="B7" s="290" t="s">
        <v>224</v>
      </c>
      <c r="C7" s="290" t="s">
        <v>95</v>
      </c>
      <c r="D7" s="290" t="s">
        <v>192</v>
      </c>
      <c r="E7" s="291" t="s">
        <v>1</v>
      </c>
      <c r="F7" s="291">
        <v>46</v>
      </c>
      <c r="G7" s="291">
        <v>28</v>
      </c>
      <c r="H7" s="692" t="s">
        <v>80</v>
      </c>
      <c r="I7" s="692" t="s">
        <v>80</v>
      </c>
      <c r="J7" s="692">
        <v>8</v>
      </c>
      <c r="K7" s="692">
        <v>3</v>
      </c>
      <c r="L7" s="692">
        <v>0</v>
      </c>
      <c r="M7" s="692">
        <v>0</v>
      </c>
      <c r="N7" s="692">
        <v>0</v>
      </c>
      <c r="O7" s="692">
        <v>0</v>
      </c>
      <c r="P7" s="692" t="s">
        <v>80</v>
      </c>
      <c r="Q7" s="692" t="s">
        <v>80</v>
      </c>
      <c r="R7" s="692">
        <v>3</v>
      </c>
      <c r="S7" s="292">
        <v>14900</v>
      </c>
      <c r="T7" s="302" t="s">
        <v>389</v>
      </c>
      <c r="U7" s="294" t="s">
        <v>252</v>
      </c>
      <c r="V7" s="292" t="s">
        <v>157</v>
      </c>
      <c r="W7" s="292" t="s">
        <v>157</v>
      </c>
      <c r="X7" s="295" t="s">
        <v>390</v>
      </c>
      <c r="Y7" s="296" t="s">
        <v>391</v>
      </c>
      <c r="Z7" s="716">
        <v>1</v>
      </c>
      <c r="AA7" s="716">
        <v>1</v>
      </c>
      <c r="AB7" s="716">
        <v>0</v>
      </c>
      <c r="AC7" s="717">
        <v>0</v>
      </c>
      <c r="AD7" s="716">
        <v>1</v>
      </c>
      <c r="AE7" s="716">
        <v>1</v>
      </c>
      <c r="AF7" s="716">
        <v>0</v>
      </c>
      <c r="AG7" s="717">
        <v>0</v>
      </c>
      <c r="AH7" s="716">
        <v>0</v>
      </c>
      <c r="AI7" s="716">
        <v>0</v>
      </c>
      <c r="AJ7" s="716">
        <v>0</v>
      </c>
      <c r="AK7" s="717">
        <v>0</v>
      </c>
      <c r="AL7" s="716">
        <v>0</v>
      </c>
      <c r="AM7" s="716">
        <v>0</v>
      </c>
      <c r="AN7" s="716">
        <v>0</v>
      </c>
      <c r="AO7" s="717">
        <v>0</v>
      </c>
      <c r="AQ7" s="216" t="s">
        <v>108</v>
      </c>
      <c r="AR7" s="217">
        <f>Georgiaalltestshistptsscored</f>
        <v>7106</v>
      </c>
      <c r="AT7" s="216" t="s">
        <v>108</v>
      </c>
      <c r="AU7" s="217">
        <f>GeorgiaRWChistptsscored</f>
        <v>326</v>
      </c>
    </row>
    <row r="8" spans="1:47" ht="14.95" customHeight="1" thickBot="1" x14ac:dyDescent="0.3">
      <c r="A8" s="304" t="s">
        <v>229</v>
      </c>
      <c r="B8" s="290" t="s">
        <v>45</v>
      </c>
      <c r="C8" s="290" t="s">
        <v>39</v>
      </c>
      <c r="D8" s="290" t="s">
        <v>192</v>
      </c>
      <c r="E8" s="291" t="s">
        <v>3</v>
      </c>
      <c r="F8" s="291">
        <v>5</v>
      </c>
      <c r="G8" s="291">
        <v>34</v>
      </c>
      <c r="H8" s="692" t="s">
        <v>80</v>
      </c>
      <c r="I8" s="692" t="s">
        <v>80</v>
      </c>
      <c r="J8" s="692">
        <v>1</v>
      </c>
      <c r="K8" s="692">
        <v>0</v>
      </c>
      <c r="L8" s="692">
        <v>0</v>
      </c>
      <c r="M8" s="692">
        <v>0</v>
      </c>
      <c r="N8" s="692">
        <v>0</v>
      </c>
      <c r="O8" s="692">
        <v>0</v>
      </c>
      <c r="P8" s="692" t="s">
        <v>80</v>
      </c>
      <c r="Q8" s="692" t="s">
        <v>80</v>
      </c>
      <c r="R8" s="692">
        <v>4</v>
      </c>
      <c r="S8" s="292">
        <v>25000</v>
      </c>
      <c r="T8" s="293" t="s">
        <v>420</v>
      </c>
      <c r="U8" s="294" t="s">
        <v>187</v>
      </c>
      <c r="V8" s="292" t="s">
        <v>251</v>
      </c>
      <c r="W8" s="292" t="s">
        <v>157</v>
      </c>
      <c r="X8" s="295" t="s">
        <v>421</v>
      </c>
      <c r="Y8" s="296" t="s">
        <v>168</v>
      </c>
      <c r="Z8" s="716">
        <v>1</v>
      </c>
      <c r="AA8" s="716">
        <v>0</v>
      </c>
      <c r="AB8" s="716">
        <v>0</v>
      </c>
      <c r="AC8" s="717">
        <v>1</v>
      </c>
      <c r="AD8" s="716">
        <v>0</v>
      </c>
      <c r="AE8" s="716">
        <v>0</v>
      </c>
      <c r="AF8" s="716">
        <v>0</v>
      </c>
      <c r="AG8" s="717">
        <v>0</v>
      </c>
      <c r="AH8" s="716">
        <v>1</v>
      </c>
      <c r="AI8" s="716">
        <v>0</v>
      </c>
      <c r="AJ8" s="716">
        <v>0</v>
      </c>
      <c r="AK8" s="717">
        <v>1</v>
      </c>
      <c r="AL8" s="716">
        <v>0</v>
      </c>
      <c r="AM8" s="716">
        <v>0</v>
      </c>
      <c r="AN8" s="716">
        <v>0</v>
      </c>
      <c r="AO8" s="717">
        <v>0</v>
      </c>
      <c r="AQ8" s="216" t="s">
        <v>109</v>
      </c>
      <c r="AR8" s="217">
        <f>Georgiaalltestshistptsagainst</f>
        <v>5294</v>
      </c>
      <c r="AT8" s="216" t="s">
        <v>109</v>
      </c>
      <c r="AU8" s="217">
        <f>GeorgiaRWChistptsagainst</f>
        <v>759</v>
      </c>
    </row>
    <row r="9" spans="1:47" ht="14.95" customHeight="1" thickBot="1" x14ac:dyDescent="0.3">
      <c r="A9" s="284" t="s">
        <v>239</v>
      </c>
      <c r="B9" s="270" t="s">
        <v>45</v>
      </c>
      <c r="C9" s="270" t="s">
        <v>138</v>
      </c>
      <c r="D9" s="270" t="s">
        <v>505</v>
      </c>
      <c r="E9" s="271" t="s">
        <v>3</v>
      </c>
      <c r="F9" s="271">
        <v>10</v>
      </c>
      <c r="G9" s="271">
        <v>55</v>
      </c>
      <c r="H9" s="691" t="s">
        <v>80</v>
      </c>
      <c r="I9" s="691" t="s">
        <v>80</v>
      </c>
      <c r="J9" s="691">
        <v>1</v>
      </c>
      <c r="K9" s="691">
        <v>1</v>
      </c>
      <c r="L9" s="691">
        <v>0</v>
      </c>
      <c r="M9" s="691">
        <v>1</v>
      </c>
      <c r="N9" s="691">
        <v>0</v>
      </c>
      <c r="O9" s="691">
        <v>0</v>
      </c>
      <c r="P9" s="691" t="s">
        <v>80</v>
      </c>
      <c r="Q9" s="691" t="s">
        <v>80</v>
      </c>
      <c r="R9" s="691">
        <v>9</v>
      </c>
      <c r="S9" s="277">
        <v>36842</v>
      </c>
      <c r="T9" s="281" t="s">
        <v>507</v>
      </c>
      <c r="U9" s="279" t="s">
        <v>167</v>
      </c>
      <c r="V9" s="277" t="s">
        <v>228</v>
      </c>
      <c r="W9" s="273" t="s">
        <v>256</v>
      </c>
      <c r="X9" s="280" t="s">
        <v>175</v>
      </c>
      <c r="Y9" s="273" t="s">
        <v>421</v>
      </c>
      <c r="Z9" s="718">
        <v>1</v>
      </c>
      <c r="AA9" s="718">
        <v>0</v>
      </c>
      <c r="AB9" s="718">
        <v>0</v>
      </c>
      <c r="AC9" s="719">
        <v>1</v>
      </c>
      <c r="AD9" s="718">
        <v>0</v>
      </c>
      <c r="AE9" s="718">
        <v>0</v>
      </c>
      <c r="AF9" s="718">
        <v>0</v>
      </c>
      <c r="AG9" s="719">
        <v>0</v>
      </c>
      <c r="AH9" s="718">
        <v>1</v>
      </c>
      <c r="AI9" s="718">
        <v>0</v>
      </c>
      <c r="AJ9" s="718">
        <v>0</v>
      </c>
      <c r="AK9" s="719">
        <v>1</v>
      </c>
      <c r="AL9" s="718">
        <v>0</v>
      </c>
      <c r="AM9" s="718">
        <v>0</v>
      </c>
      <c r="AN9" s="718">
        <v>0</v>
      </c>
      <c r="AO9" s="719">
        <v>0</v>
      </c>
      <c r="AQ9" s="216" t="s">
        <v>100</v>
      </c>
      <c r="AR9" s="217">
        <f>Georgiaalltestshisttriesscored</f>
        <v>888</v>
      </c>
      <c r="AT9" s="216" t="s">
        <v>100</v>
      </c>
      <c r="AU9" s="217">
        <f>GeorgiaRWChisttriesscored</f>
        <v>30</v>
      </c>
    </row>
    <row r="10" spans="1:47" ht="14.95" customHeight="1" thickBot="1" x14ac:dyDescent="0.35">
      <c r="A10" s="304" t="s">
        <v>263</v>
      </c>
      <c r="B10" s="290" t="s">
        <v>45</v>
      </c>
      <c r="C10" s="290" t="s">
        <v>60</v>
      </c>
      <c r="D10" s="290" t="s">
        <v>719</v>
      </c>
      <c r="E10" s="291" t="s">
        <v>1</v>
      </c>
      <c r="F10" s="291">
        <v>43</v>
      </c>
      <c r="G10" s="291">
        <v>30</v>
      </c>
      <c r="H10" s="692" t="s">
        <v>80</v>
      </c>
      <c r="I10" s="692" t="s">
        <v>80</v>
      </c>
      <c r="J10" s="692">
        <v>6</v>
      </c>
      <c r="K10" s="692">
        <v>5</v>
      </c>
      <c r="L10" s="692">
        <v>0</v>
      </c>
      <c r="M10" s="692">
        <v>1</v>
      </c>
      <c r="N10" s="692">
        <v>0</v>
      </c>
      <c r="O10" s="692">
        <v>0</v>
      </c>
      <c r="P10" s="692" t="s">
        <v>80</v>
      </c>
      <c r="Q10" s="692" t="s">
        <v>80</v>
      </c>
      <c r="R10" s="692">
        <v>3</v>
      </c>
      <c r="S10" s="292">
        <v>15480</v>
      </c>
      <c r="T10" s="302" t="s">
        <v>773</v>
      </c>
      <c r="U10" s="294" t="s">
        <v>163</v>
      </c>
      <c r="V10" s="292" t="s">
        <v>774</v>
      </c>
      <c r="W10" s="292" t="s">
        <v>157</v>
      </c>
      <c r="X10" s="292" t="s">
        <v>421</v>
      </c>
      <c r="Y10" s="296" t="s">
        <v>775</v>
      </c>
      <c r="Z10" s="295">
        <v>1</v>
      </c>
      <c r="AA10" s="295">
        <v>1</v>
      </c>
      <c r="AB10" s="295">
        <v>0</v>
      </c>
      <c r="AC10" s="307">
        <v>0</v>
      </c>
      <c r="AD10" s="295">
        <v>1</v>
      </c>
      <c r="AE10" s="295">
        <v>1</v>
      </c>
      <c r="AF10" s="295">
        <v>0</v>
      </c>
      <c r="AG10" s="307">
        <v>0</v>
      </c>
      <c r="AH10" s="295">
        <v>0</v>
      </c>
      <c r="AI10" s="295">
        <v>0</v>
      </c>
      <c r="AJ10" s="295">
        <v>0</v>
      </c>
      <c r="AK10" s="307">
        <v>0</v>
      </c>
      <c r="AL10" s="295">
        <v>0</v>
      </c>
      <c r="AM10" s="295">
        <v>0</v>
      </c>
      <c r="AN10" s="295">
        <v>0</v>
      </c>
      <c r="AO10" s="307">
        <v>0</v>
      </c>
    </row>
    <row r="11" spans="1:47" ht="14.95" customHeight="1" thickBot="1" x14ac:dyDescent="0.35">
      <c r="A11" s="289" t="s">
        <v>264</v>
      </c>
      <c r="B11" s="290" t="s">
        <v>45</v>
      </c>
      <c r="C11" s="290" t="s">
        <v>40</v>
      </c>
      <c r="D11" s="290" t="s">
        <v>719</v>
      </c>
      <c r="E11" s="291" t="s">
        <v>1</v>
      </c>
      <c r="F11" s="291">
        <v>38</v>
      </c>
      <c r="G11" s="291">
        <v>17</v>
      </c>
      <c r="H11" s="692" t="s">
        <v>80</v>
      </c>
      <c r="I11" s="692" t="s">
        <v>80</v>
      </c>
      <c r="J11" s="692">
        <v>6</v>
      </c>
      <c r="K11" s="692">
        <v>4</v>
      </c>
      <c r="L11" s="692">
        <v>0</v>
      </c>
      <c r="M11" s="692">
        <v>0</v>
      </c>
      <c r="N11" s="692">
        <v>3</v>
      </c>
      <c r="O11" s="692">
        <v>0</v>
      </c>
      <c r="P11" s="692" t="s">
        <v>80</v>
      </c>
      <c r="Q11" s="692" t="s">
        <v>80</v>
      </c>
      <c r="R11" s="692">
        <v>2</v>
      </c>
      <c r="S11" s="292">
        <v>15482</v>
      </c>
      <c r="T11" s="302" t="s">
        <v>790</v>
      </c>
      <c r="U11" s="294" t="s">
        <v>164</v>
      </c>
      <c r="V11" s="292" t="s">
        <v>782</v>
      </c>
      <c r="W11" s="292" t="s">
        <v>157</v>
      </c>
      <c r="X11" s="295" t="s">
        <v>252</v>
      </c>
      <c r="Y11" s="296" t="s">
        <v>791</v>
      </c>
      <c r="Z11" s="295">
        <v>1</v>
      </c>
      <c r="AA11" s="295">
        <v>1</v>
      </c>
      <c r="AB11" s="295">
        <v>0</v>
      </c>
      <c r="AC11" s="307">
        <v>0</v>
      </c>
      <c r="AD11" s="295">
        <v>1</v>
      </c>
      <c r="AE11" s="295">
        <v>1</v>
      </c>
      <c r="AF11" s="295">
        <v>0</v>
      </c>
      <c r="AG11" s="307">
        <v>0</v>
      </c>
      <c r="AH11" s="295">
        <v>0</v>
      </c>
      <c r="AI11" s="295">
        <v>0</v>
      </c>
      <c r="AJ11" s="295">
        <v>0</v>
      </c>
      <c r="AK11" s="307">
        <v>0</v>
      </c>
      <c r="AL11" s="295">
        <v>0</v>
      </c>
      <c r="AM11" s="295">
        <v>0</v>
      </c>
      <c r="AN11" s="295">
        <v>0</v>
      </c>
      <c r="AO11" s="307">
        <v>0</v>
      </c>
    </row>
    <row r="12" spans="1:47" ht="14.95" customHeight="1" thickBot="1" x14ac:dyDescent="0.3">
      <c r="A12" s="289" t="s">
        <v>266</v>
      </c>
      <c r="B12" s="290" t="s">
        <v>45</v>
      </c>
      <c r="C12" s="290" t="s">
        <v>36</v>
      </c>
      <c r="D12" s="290" t="s">
        <v>192</v>
      </c>
      <c r="E12" s="291" t="s">
        <v>3</v>
      </c>
      <c r="F12" s="291">
        <v>23</v>
      </c>
      <c r="G12" s="291">
        <v>25</v>
      </c>
      <c r="H12" s="692" t="s">
        <v>80</v>
      </c>
      <c r="I12" s="692" t="s">
        <v>80</v>
      </c>
      <c r="J12" s="692">
        <v>2</v>
      </c>
      <c r="K12" s="692">
        <v>2</v>
      </c>
      <c r="L12" s="692">
        <v>0</v>
      </c>
      <c r="M12" s="692">
        <v>3</v>
      </c>
      <c r="N12" s="692">
        <v>1</v>
      </c>
      <c r="O12" s="692">
        <v>0</v>
      </c>
      <c r="P12" s="692" t="s">
        <v>80</v>
      </c>
      <c r="Q12" s="692" t="s">
        <v>80</v>
      </c>
      <c r="R12" s="692">
        <v>1</v>
      </c>
      <c r="S12" s="292">
        <v>22548</v>
      </c>
      <c r="T12" s="406" t="s">
        <v>826</v>
      </c>
      <c r="U12" s="294" t="s">
        <v>182</v>
      </c>
      <c r="V12" s="292" t="s">
        <v>763</v>
      </c>
      <c r="W12" s="292" t="s">
        <v>157</v>
      </c>
      <c r="X12" s="295" t="s">
        <v>456</v>
      </c>
      <c r="Y12" s="296" t="s">
        <v>273</v>
      </c>
      <c r="Z12" s="295">
        <v>1</v>
      </c>
      <c r="AA12" s="295">
        <v>0</v>
      </c>
      <c r="AB12" s="295">
        <v>0</v>
      </c>
      <c r="AC12" s="307">
        <v>1</v>
      </c>
      <c r="AD12" s="295">
        <v>1</v>
      </c>
      <c r="AE12" s="295">
        <v>0</v>
      </c>
      <c r="AF12" s="295">
        <v>0</v>
      </c>
      <c r="AG12" s="307">
        <v>1</v>
      </c>
      <c r="AH12" s="295">
        <v>0</v>
      </c>
      <c r="AI12" s="295">
        <v>0</v>
      </c>
      <c r="AJ12" s="295">
        <v>0</v>
      </c>
      <c r="AK12" s="307">
        <v>0</v>
      </c>
      <c r="AL12" s="295">
        <v>0</v>
      </c>
      <c r="AM12" s="295">
        <v>0</v>
      </c>
      <c r="AN12" s="295">
        <v>0</v>
      </c>
      <c r="AO12" s="307">
        <v>0</v>
      </c>
    </row>
    <row r="13" spans="1:47" ht="14.95" customHeight="1" thickBot="1" x14ac:dyDescent="0.3">
      <c r="A13" s="179"/>
      <c r="B13" s="180"/>
      <c r="C13" s="1128" t="s">
        <v>83</v>
      </c>
      <c r="D13" s="1157"/>
      <c r="E13" s="1158"/>
      <c r="F13" s="178">
        <f>SUM(F3:F7)</f>
        <v>301</v>
      </c>
      <c r="G13" s="178">
        <f t="shared" ref="G13:R13" si="0">SUM(G3:G7)</f>
        <v>72</v>
      </c>
      <c r="H13" s="178">
        <f t="shared" si="0"/>
        <v>3</v>
      </c>
      <c r="I13" s="178">
        <f t="shared" si="0"/>
        <v>0</v>
      </c>
      <c r="J13" s="178">
        <f t="shared" si="0"/>
        <v>47</v>
      </c>
      <c r="K13" s="178">
        <f t="shared" si="0"/>
        <v>33</v>
      </c>
      <c r="L13" s="178">
        <f t="shared" si="0"/>
        <v>0</v>
      </c>
      <c r="M13" s="178">
        <f t="shared" si="0"/>
        <v>0</v>
      </c>
      <c r="N13" s="178">
        <f t="shared" si="0"/>
        <v>3</v>
      </c>
      <c r="O13" s="178">
        <f t="shared" si="0"/>
        <v>2</v>
      </c>
      <c r="P13" s="178">
        <f t="shared" si="0"/>
        <v>1</v>
      </c>
      <c r="Q13" s="178">
        <f t="shared" si="0"/>
        <v>0</v>
      </c>
      <c r="R13" s="178">
        <f t="shared" si="0"/>
        <v>9</v>
      </c>
      <c r="X13" s="175"/>
      <c r="Y13" s="249" t="s">
        <v>147</v>
      </c>
      <c r="Z13" s="349">
        <f t="shared" ref="Z13:AO13" si="1">SUM(Z3:Z7)</f>
        <v>5</v>
      </c>
      <c r="AA13" s="349">
        <f t="shared" si="1"/>
        <v>5</v>
      </c>
      <c r="AB13" s="349">
        <f t="shared" si="1"/>
        <v>0</v>
      </c>
      <c r="AC13" s="349">
        <f t="shared" si="1"/>
        <v>0</v>
      </c>
      <c r="AD13" s="350">
        <f t="shared" si="1"/>
        <v>4</v>
      </c>
      <c r="AE13" s="350">
        <f t="shared" si="1"/>
        <v>4</v>
      </c>
      <c r="AF13" s="350">
        <f t="shared" si="1"/>
        <v>0</v>
      </c>
      <c r="AG13" s="350">
        <f t="shared" si="1"/>
        <v>0</v>
      </c>
      <c r="AH13" s="351">
        <f t="shared" si="1"/>
        <v>1</v>
      </c>
      <c r="AI13" s="351">
        <f t="shared" si="1"/>
        <v>1</v>
      </c>
      <c r="AJ13" s="351">
        <f t="shared" si="1"/>
        <v>0</v>
      </c>
      <c r="AK13" s="351">
        <f t="shared" si="1"/>
        <v>0</v>
      </c>
      <c r="AL13" s="349">
        <f t="shared" si="1"/>
        <v>0</v>
      </c>
      <c r="AM13" s="349">
        <f t="shared" si="1"/>
        <v>0</v>
      </c>
      <c r="AN13" s="349">
        <f t="shared" si="1"/>
        <v>0</v>
      </c>
      <c r="AO13" s="349">
        <f t="shared" si="1"/>
        <v>0</v>
      </c>
    </row>
    <row r="14" spans="1:47" ht="14.95" customHeight="1" thickBot="1" x14ac:dyDescent="0.3">
      <c r="A14" s="179"/>
      <c r="B14" s="180"/>
      <c r="C14" s="1078" t="s">
        <v>238</v>
      </c>
      <c r="D14" s="1079"/>
      <c r="E14" s="1080"/>
      <c r="F14" s="325">
        <f>SUM(F8:F9)</f>
        <v>15</v>
      </c>
      <c r="G14" s="325">
        <f>SUM(G8:G9)</f>
        <v>89</v>
      </c>
      <c r="H14" s="325" t="s">
        <v>80</v>
      </c>
      <c r="I14" s="325" t="s">
        <v>80</v>
      </c>
      <c r="J14" s="325">
        <f t="shared" ref="J14:O14" si="2">SUM(J8:J9)</f>
        <v>2</v>
      </c>
      <c r="K14" s="325">
        <f t="shared" si="2"/>
        <v>1</v>
      </c>
      <c r="L14" s="325">
        <f t="shared" si="2"/>
        <v>0</v>
      </c>
      <c r="M14" s="325">
        <f t="shared" si="2"/>
        <v>1</v>
      </c>
      <c r="N14" s="325">
        <f t="shared" si="2"/>
        <v>0</v>
      </c>
      <c r="O14" s="325">
        <f t="shared" si="2"/>
        <v>0</v>
      </c>
      <c r="P14" s="325" t="s">
        <v>80</v>
      </c>
      <c r="Q14" s="325" t="s">
        <v>80</v>
      </c>
      <c r="R14" s="325">
        <f>SUM(R8:R9)</f>
        <v>13</v>
      </c>
      <c r="S14" s="326"/>
      <c r="T14" s="326"/>
      <c r="U14" s="326"/>
      <c r="V14" s="326"/>
      <c r="W14" s="326"/>
      <c r="X14" s="327"/>
      <c r="Y14" s="328" t="s">
        <v>238</v>
      </c>
      <c r="Z14" s="352">
        <f t="shared" ref="Z14:AO14" si="3">SUM(Z8:Z9)</f>
        <v>2</v>
      </c>
      <c r="AA14" s="353">
        <f t="shared" si="3"/>
        <v>0</v>
      </c>
      <c r="AB14" s="353">
        <f t="shared" si="3"/>
        <v>0</v>
      </c>
      <c r="AC14" s="353">
        <f t="shared" si="3"/>
        <v>2</v>
      </c>
      <c r="AD14" s="354">
        <f t="shared" si="3"/>
        <v>0</v>
      </c>
      <c r="AE14" s="354">
        <f t="shared" si="3"/>
        <v>0</v>
      </c>
      <c r="AF14" s="354">
        <f t="shared" si="3"/>
        <v>0</v>
      </c>
      <c r="AG14" s="354">
        <f t="shared" si="3"/>
        <v>0</v>
      </c>
      <c r="AH14" s="355">
        <f t="shared" si="3"/>
        <v>2</v>
      </c>
      <c r="AI14" s="355">
        <f t="shared" si="3"/>
        <v>0</v>
      </c>
      <c r="AJ14" s="355">
        <f t="shared" si="3"/>
        <v>0</v>
      </c>
      <c r="AK14" s="355">
        <f t="shared" si="3"/>
        <v>2</v>
      </c>
      <c r="AL14" s="353">
        <f t="shared" si="3"/>
        <v>0</v>
      </c>
      <c r="AM14" s="353">
        <f t="shared" si="3"/>
        <v>0</v>
      </c>
      <c r="AN14" s="353">
        <f t="shared" si="3"/>
        <v>0</v>
      </c>
      <c r="AO14" s="353">
        <f t="shared" si="3"/>
        <v>0</v>
      </c>
    </row>
    <row r="15" spans="1:47" ht="14.95" customHeight="1" thickBot="1" x14ac:dyDescent="0.3">
      <c r="A15" s="179"/>
      <c r="B15" s="180"/>
      <c r="C15" s="1207" t="s">
        <v>512</v>
      </c>
      <c r="D15" s="1208"/>
      <c r="E15" s="1209"/>
      <c r="F15" s="554">
        <f>SUM(F10:F12)</f>
        <v>104</v>
      </c>
      <c r="G15" s="554">
        <f>SUM(G10:G12)</f>
        <v>72</v>
      </c>
      <c r="H15" s="554" t="s">
        <v>80</v>
      </c>
      <c r="I15" s="554" t="s">
        <v>80</v>
      </c>
      <c r="J15" s="554">
        <f t="shared" ref="J15:O15" si="4">SUM(J10:J12)</f>
        <v>14</v>
      </c>
      <c r="K15" s="554">
        <f t="shared" si="4"/>
        <v>11</v>
      </c>
      <c r="L15" s="554">
        <f t="shared" si="4"/>
        <v>0</v>
      </c>
      <c r="M15" s="554">
        <f t="shared" si="4"/>
        <v>4</v>
      </c>
      <c r="N15" s="554">
        <f t="shared" si="4"/>
        <v>4</v>
      </c>
      <c r="O15" s="554">
        <f t="shared" si="4"/>
        <v>0</v>
      </c>
      <c r="P15" s="554" t="s">
        <v>690</v>
      </c>
      <c r="Q15" s="554" t="s">
        <v>80</v>
      </c>
      <c r="R15" s="554">
        <f>SUM(R10:R12)</f>
        <v>6</v>
      </c>
      <c r="S15" s="531"/>
      <c r="T15" s="531"/>
      <c r="U15" s="531"/>
      <c r="V15" s="531"/>
      <c r="W15" s="531"/>
      <c r="X15" s="532"/>
      <c r="Y15" s="533" t="s">
        <v>512</v>
      </c>
      <c r="Z15" s="819">
        <f t="shared" ref="Z15:AO15" si="5">SUM(Z10:Z12)</f>
        <v>3</v>
      </c>
      <c r="AA15" s="819">
        <f t="shared" si="5"/>
        <v>2</v>
      </c>
      <c r="AB15" s="819">
        <f t="shared" si="5"/>
        <v>0</v>
      </c>
      <c r="AC15" s="819">
        <f t="shared" si="5"/>
        <v>1</v>
      </c>
      <c r="AD15" s="820">
        <f t="shared" si="5"/>
        <v>3</v>
      </c>
      <c r="AE15" s="820">
        <f t="shared" si="5"/>
        <v>2</v>
      </c>
      <c r="AF15" s="820">
        <f t="shared" si="5"/>
        <v>0</v>
      </c>
      <c r="AG15" s="820">
        <f t="shared" si="5"/>
        <v>1</v>
      </c>
      <c r="AH15" s="821">
        <f t="shared" si="5"/>
        <v>0</v>
      </c>
      <c r="AI15" s="821">
        <f t="shared" si="5"/>
        <v>0</v>
      </c>
      <c r="AJ15" s="821">
        <f t="shared" si="5"/>
        <v>0</v>
      </c>
      <c r="AK15" s="821">
        <f t="shared" si="5"/>
        <v>0</v>
      </c>
      <c r="AL15" s="819">
        <f t="shared" si="5"/>
        <v>0</v>
      </c>
      <c r="AM15" s="819">
        <f t="shared" si="5"/>
        <v>0</v>
      </c>
      <c r="AN15" s="819">
        <f t="shared" si="5"/>
        <v>0</v>
      </c>
      <c r="AO15" s="819">
        <f t="shared" si="5"/>
        <v>0</v>
      </c>
    </row>
    <row r="16" spans="1:47" ht="14.95" customHeight="1" thickBot="1" x14ac:dyDescent="0.3">
      <c r="A16" s="179"/>
      <c r="B16" s="180"/>
      <c r="C16" s="1087" t="s">
        <v>81</v>
      </c>
      <c r="D16" s="1088"/>
      <c r="E16" s="1089"/>
      <c r="F16" s="231">
        <f t="shared" ref="F16:R16" si="6">SUM(F3:F12)</f>
        <v>420</v>
      </c>
      <c r="G16" s="231">
        <f t="shared" si="6"/>
        <v>233</v>
      </c>
      <c r="H16" s="231">
        <f t="shared" si="6"/>
        <v>3</v>
      </c>
      <c r="I16" s="231">
        <f t="shared" si="6"/>
        <v>0</v>
      </c>
      <c r="J16" s="231">
        <f t="shared" si="6"/>
        <v>63</v>
      </c>
      <c r="K16" s="231">
        <f t="shared" si="6"/>
        <v>45</v>
      </c>
      <c r="L16" s="231">
        <f t="shared" si="6"/>
        <v>0</v>
      </c>
      <c r="M16" s="231">
        <f t="shared" si="6"/>
        <v>5</v>
      </c>
      <c r="N16" s="231">
        <f t="shared" si="6"/>
        <v>7</v>
      </c>
      <c r="O16" s="231">
        <f t="shared" si="6"/>
        <v>2</v>
      </c>
      <c r="P16" s="231">
        <f t="shared" si="6"/>
        <v>1</v>
      </c>
      <c r="Q16" s="231">
        <f t="shared" si="6"/>
        <v>0</v>
      </c>
      <c r="R16" s="231">
        <f t="shared" si="6"/>
        <v>28</v>
      </c>
      <c r="S16" s="228"/>
      <c r="T16" s="228"/>
      <c r="U16" s="228"/>
      <c r="V16" s="228"/>
      <c r="W16" s="228"/>
      <c r="X16" s="13"/>
      <c r="Y16" s="246" t="s">
        <v>81</v>
      </c>
      <c r="Z16" s="346">
        <f t="shared" ref="Z16:AO16" si="7">SUM(Z3:Z12)</f>
        <v>10</v>
      </c>
      <c r="AA16" s="346">
        <f t="shared" si="7"/>
        <v>7</v>
      </c>
      <c r="AB16" s="346">
        <f t="shared" si="7"/>
        <v>0</v>
      </c>
      <c r="AC16" s="346">
        <f t="shared" si="7"/>
        <v>3</v>
      </c>
      <c r="AD16" s="347">
        <f t="shared" si="7"/>
        <v>7</v>
      </c>
      <c r="AE16" s="347">
        <f t="shared" si="7"/>
        <v>6</v>
      </c>
      <c r="AF16" s="347">
        <f t="shared" si="7"/>
        <v>0</v>
      </c>
      <c r="AG16" s="347">
        <f t="shared" si="7"/>
        <v>1</v>
      </c>
      <c r="AH16" s="348">
        <f t="shared" si="7"/>
        <v>3</v>
      </c>
      <c r="AI16" s="348">
        <f t="shared" si="7"/>
        <v>1</v>
      </c>
      <c r="AJ16" s="348">
        <f t="shared" si="7"/>
        <v>0</v>
      </c>
      <c r="AK16" s="348">
        <f t="shared" si="7"/>
        <v>2</v>
      </c>
      <c r="AL16" s="346">
        <f t="shared" si="7"/>
        <v>0</v>
      </c>
      <c r="AM16" s="346">
        <f t="shared" si="7"/>
        <v>0</v>
      </c>
      <c r="AN16" s="346">
        <f t="shared" si="7"/>
        <v>0</v>
      </c>
      <c r="AO16" s="346">
        <f t="shared" si="7"/>
        <v>0</v>
      </c>
    </row>
    <row r="17" spans="1:41" ht="14.95" customHeight="1" x14ac:dyDescent="0.25">
      <c r="A17" s="179"/>
      <c r="B17" s="180"/>
      <c r="C17" s="402"/>
      <c r="D17" s="402"/>
      <c r="E17" s="402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4"/>
      <c r="T17" s="404"/>
      <c r="U17" s="404"/>
      <c r="V17" s="404"/>
      <c r="W17" s="404"/>
      <c r="X17" s="13"/>
      <c r="Y17" s="13"/>
      <c r="Z17" s="405"/>
      <c r="AA17" s="405"/>
      <c r="AB17" s="405"/>
      <c r="AC17" s="405"/>
      <c r="AD17" s="405"/>
      <c r="AE17" s="405"/>
      <c r="AF17" s="405"/>
      <c r="AG17" s="405"/>
      <c r="AH17" s="405"/>
      <c r="AI17" s="405"/>
      <c r="AJ17" s="405"/>
      <c r="AK17" s="405"/>
      <c r="AL17" s="405"/>
      <c r="AM17" s="405"/>
      <c r="AN17" s="405"/>
      <c r="AO17" s="405"/>
    </row>
    <row r="18" spans="1:41" ht="14.95" customHeight="1" x14ac:dyDescent="0.25">
      <c r="A18" s="1108" t="s">
        <v>388</v>
      </c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</row>
    <row r="19" spans="1:41" ht="14.95" customHeight="1" x14ac:dyDescent="0.25">
      <c r="A19" t="s">
        <v>720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1" ht="14.95" customHeight="1" x14ac:dyDescent="0.25">
      <c r="A20" t="s">
        <v>217</v>
      </c>
    </row>
    <row r="21" spans="1:41" ht="14.95" customHeight="1" x14ac:dyDescent="0.25">
      <c r="A21" t="s">
        <v>58</v>
      </c>
    </row>
    <row r="22" spans="1:41" ht="14.95" customHeight="1" x14ac:dyDescent="0.25">
      <c r="A22" t="s">
        <v>281</v>
      </c>
    </row>
    <row r="23" spans="1:41" ht="14.95" customHeight="1" x14ac:dyDescent="0.25">
      <c r="A23" s="376"/>
      <c r="B23" t="s">
        <v>44</v>
      </c>
    </row>
    <row r="24" spans="1:41" ht="14.95" customHeight="1" x14ac:dyDescent="0.25">
      <c r="A24" s="377"/>
      <c r="B24" t="s">
        <v>42</v>
      </c>
    </row>
    <row r="25" spans="1:41" ht="14.95" customHeight="1" x14ac:dyDescent="0.25">
      <c r="A25" s="378"/>
      <c r="B25" t="s">
        <v>43</v>
      </c>
    </row>
    <row r="26" spans="1:41" ht="14.95" customHeight="1" x14ac:dyDescent="0.3">
      <c r="A26" s="792" t="s">
        <v>28</v>
      </c>
    </row>
  </sheetData>
  <mergeCells count="15">
    <mergeCell ref="A18:R18"/>
    <mergeCell ref="Z1:AC1"/>
    <mergeCell ref="AD1:AG1"/>
    <mergeCell ref="AH1:AK1"/>
    <mergeCell ref="AL1:AO1"/>
    <mergeCell ref="C16:E16"/>
    <mergeCell ref="N1:O1"/>
    <mergeCell ref="P1:R1"/>
    <mergeCell ref="A1:C1"/>
    <mergeCell ref="E1:G1"/>
    <mergeCell ref="H1:I1"/>
    <mergeCell ref="J1:M1"/>
    <mergeCell ref="C13:E13"/>
    <mergeCell ref="C14:E14"/>
    <mergeCell ref="C15:E15"/>
  </mergeCells>
  <pageMargins left="0.7" right="0.7" top="0.75" bottom="0.75" header="0.3" footer="0.3"/>
  <pageSetup paperSize="9" orientation="portrait" r:id="rId1"/>
  <ignoredErrors>
    <ignoredError sqref="D14:E14 S13:V13 X13:Y13 X14 H14:I14 P14:Q14 S14:V14 F13:R13 F14:G14 W14 R14 J14:O14 Y14:AO14 Z13:AO13 W13 F15:G15 R15:AO15 J15:O15" formulaRange="1"/>
    <ignoredError sqref="T8:T9 T12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D30"/>
  <sheetViews>
    <sheetView zoomScale="90" zoomScaleNormal="90" workbookViewId="0">
      <pane ySplit="2" topLeftCell="A3" activePane="bottomLeft" state="frozen"/>
      <selection activeCell="D8" sqref="A8:AO21"/>
      <selection pane="bottomLeft" activeCell="L12" sqref="L12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1.375" customWidth="1"/>
    <col min="4" max="4" width="4.125" customWidth="1"/>
    <col min="5" max="5" width="3.625" customWidth="1"/>
    <col min="6" max="7" width="4" bestFit="1" customWidth="1"/>
    <col min="8" max="13" width="3.625" customWidth="1"/>
    <col min="14" max="14" width="4.125" customWidth="1"/>
    <col min="15" max="18" width="3.625" customWidth="1"/>
    <col min="19" max="20" width="6.375" customWidth="1"/>
    <col min="21" max="21" width="19.375" bestFit="1" customWidth="1"/>
    <col min="22" max="22" width="19.875" bestFit="1" customWidth="1"/>
    <col min="23" max="23" width="16.875" bestFit="1" customWidth="1"/>
    <col min="24" max="24" width="21.125" bestFit="1" customWidth="1"/>
    <col min="25" max="25" width="21.625" bestFit="1" customWidth="1"/>
    <col min="26" max="41" width="3.625" customWidth="1"/>
    <col min="42" max="42" width="2.625" customWidth="1"/>
    <col min="43" max="43" width="13.125" bestFit="1" customWidth="1"/>
    <col min="45" max="45" width="2.625" customWidth="1"/>
    <col min="46" max="46" width="13.125" bestFit="1" customWidth="1"/>
    <col min="48" max="48" width="1.625" customWidth="1"/>
    <col min="49" max="49" width="12.75" bestFit="1" customWidth="1"/>
    <col min="51" max="51" width="1.625" customWidth="1"/>
    <col min="52" max="52" width="12.75" bestFit="1" customWidth="1"/>
    <col min="54" max="54" width="1.625" customWidth="1"/>
    <col min="55" max="55" width="12.75" bestFit="1" customWidth="1"/>
  </cols>
  <sheetData>
    <row r="1" spans="1:56" ht="14.95" customHeight="1" thickBot="1" x14ac:dyDescent="0.3">
      <c r="A1" s="1217" t="s">
        <v>900</v>
      </c>
      <c r="B1" s="1218"/>
      <c r="C1" s="1218"/>
      <c r="D1" s="99"/>
      <c r="E1" s="1210" t="s">
        <v>24</v>
      </c>
      <c r="F1" s="1211"/>
      <c r="G1" s="1212"/>
      <c r="H1" s="1210" t="s">
        <v>23</v>
      </c>
      <c r="I1" s="1212"/>
      <c r="J1" s="1213" t="s">
        <v>6</v>
      </c>
      <c r="K1" s="1214"/>
      <c r="L1" s="1214"/>
      <c r="M1" s="1215"/>
      <c r="N1" s="1213" t="s">
        <v>7</v>
      </c>
      <c r="O1" s="1215"/>
      <c r="P1" s="1213" t="s">
        <v>25</v>
      </c>
      <c r="Q1" s="1214"/>
      <c r="R1" s="1215"/>
      <c r="S1" s="233" t="s">
        <v>8</v>
      </c>
      <c r="T1" s="233" t="s">
        <v>9</v>
      </c>
      <c r="U1" s="28" t="s">
        <v>10</v>
      </c>
      <c r="V1" s="27" t="s">
        <v>11</v>
      </c>
      <c r="W1" s="28" t="s">
        <v>211</v>
      </c>
      <c r="X1" s="29" t="s">
        <v>26</v>
      </c>
      <c r="Y1" s="109" t="s">
        <v>27</v>
      </c>
      <c r="Z1" s="1216" t="s">
        <v>20</v>
      </c>
      <c r="AA1" s="1177"/>
      <c r="AB1" s="1177"/>
      <c r="AC1" s="1178"/>
      <c r="AD1" s="1216" t="s">
        <v>61</v>
      </c>
      <c r="AE1" s="1177"/>
      <c r="AF1" s="1177"/>
      <c r="AG1" s="1178"/>
      <c r="AH1" s="1216" t="s">
        <v>62</v>
      </c>
      <c r="AI1" s="1177"/>
      <c r="AJ1" s="1177"/>
      <c r="AK1" s="1178"/>
      <c r="AL1" s="1216" t="s">
        <v>63</v>
      </c>
      <c r="AM1" s="1177"/>
      <c r="AN1" s="1177"/>
      <c r="AO1" s="1178"/>
      <c r="AQ1" s="219" t="s">
        <v>117</v>
      </c>
      <c r="AR1" s="218"/>
      <c r="AS1" s="218"/>
      <c r="AT1" s="219" t="s">
        <v>117</v>
      </c>
      <c r="AW1" s="219" t="s">
        <v>117</v>
      </c>
      <c r="AZ1" s="219" t="s">
        <v>117</v>
      </c>
      <c r="BC1" s="219" t="s">
        <v>117</v>
      </c>
    </row>
    <row r="2" spans="1:56" ht="14.95" customHeight="1" thickBot="1" x14ac:dyDescent="0.3">
      <c r="A2" s="30" t="s">
        <v>19</v>
      </c>
      <c r="B2" s="31" t="s">
        <v>18</v>
      </c>
      <c r="C2" s="32" t="s">
        <v>17</v>
      </c>
      <c r="D2" s="32" t="s">
        <v>41</v>
      </c>
      <c r="E2" s="33" t="s">
        <v>16</v>
      </c>
      <c r="F2" s="33" t="s">
        <v>4</v>
      </c>
      <c r="G2" s="33" t="s">
        <v>5</v>
      </c>
      <c r="H2" s="34" t="s">
        <v>12</v>
      </c>
      <c r="I2" s="34" t="s">
        <v>3</v>
      </c>
      <c r="J2" s="34" t="s">
        <v>12</v>
      </c>
      <c r="K2" s="34" t="s">
        <v>13</v>
      </c>
      <c r="L2" s="34" t="s">
        <v>2</v>
      </c>
      <c r="M2" s="34" t="s">
        <v>14</v>
      </c>
      <c r="N2" s="34" t="s">
        <v>15</v>
      </c>
      <c r="O2" s="34" t="s">
        <v>16</v>
      </c>
      <c r="P2" s="34" t="s">
        <v>21</v>
      </c>
      <c r="Q2" s="34" t="s">
        <v>22</v>
      </c>
      <c r="R2" s="34" t="s">
        <v>12</v>
      </c>
      <c r="S2" s="35"/>
      <c r="T2" s="36"/>
      <c r="U2" s="37"/>
      <c r="V2" s="35"/>
      <c r="W2" s="37"/>
      <c r="X2" s="38"/>
      <c r="Y2" s="39"/>
      <c r="Z2" s="192" t="s">
        <v>0</v>
      </c>
      <c r="AA2" s="192" t="s">
        <v>1</v>
      </c>
      <c r="AB2" s="192" t="s">
        <v>2</v>
      </c>
      <c r="AC2" s="192" t="s">
        <v>3</v>
      </c>
      <c r="AD2" s="192" t="s">
        <v>0</v>
      </c>
      <c r="AE2" s="192" t="s">
        <v>1</v>
      </c>
      <c r="AF2" s="192" t="s">
        <v>2</v>
      </c>
      <c r="AG2" s="192" t="s">
        <v>3</v>
      </c>
      <c r="AH2" s="192" t="s">
        <v>0</v>
      </c>
      <c r="AI2" s="192" t="s">
        <v>1</v>
      </c>
      <c r="AJ2" s="192" t="s">
        <v>2</v>
      </c>
      <c r="AK2" s="192" t="s">
        <v>3</v>
      </c>
      <c r="AL2" s="192" t="s">
        <v>0</v>
      </c>
      <c r="AM2" s="192" t="s">
        <v>1</v>
      </c>
      <c r="AN2" s="192" t="s">
        <v>2</v>
      </c>
      <c r="AO2" s="192" t="s">
        <v>3</v>
      </c>
      <c r="AQ2" s="205" t="s">
        <v>81</v>
      </c>
      <c r="AR2" s="138"/>
      <c r="AT2" s="225" t="s">
        <v>99</v>
      </c>
      <c r="AU2" s="138"/>
      <c r="AW2" s="905" t="s">
        <v>903</v>
      </c>
      <c r="AX2" s="904"/>
      <c r="AZ2" s="897" t="s">
        <v>82</v>
      </c>
      <c r="BA2" s="204"/>
      <c r="BC2" s="1180" t="s">
        <v>902</v>
      </c>
      <c r="BD2" s="1181"/>
    </row>
    <row r="3" spans="1:56" ht="14.95" customHeight="1" thickBot="1" x14ac:dyDescent="0.3">
      <c r="A3" s="268" t="s">
        <v>867</v>
      </c>
      <c r="B3" s="270" t="s">
        <v>46</v>
      </c>
      <c r="C3" s="270" t="s">
        <v>34</v>
      </c>
      <c r="D3" s="270" t="s">
        <v>85</v>
      </c>
      <c r="E3" s="271" t="s">
        <v>3</v>
      </c>
      <c r="F3" s="271">
        <v>14</v>
      </c>
      <c r="G3" s="271">
        <v>36</v>
      </c>
      <c r="H3" s="691">
        <v>0</v>
      </c>
      <c r="I3" s="691">
        <v>0</v>
      </c>
      <c r="J3" s="691">
        <v>2</v>
      </c>
      <c r="K3" s="691">
        <v>2</v>
      </c>
      <c r="L3" s="691">
        <v>0</v>
      </c>
      <c r="M3" s="691">
        <v>0</v>
      </c>
      <c r="N3" s="691">
        <v>0</v>
      </c>
      <c r="O3" s="691">
        <v>0</v>
      </c>
      <c r="P3" s="691">
        <v>1</v>
      </c>
      <c r="Q3" s="691">
        <v>0</v>
      </c>
      <c r="R3" s="691">
        <v>5</v>
      </c>
      <c r="S3" s="277">
        <v>81338</v>
      </c>
      <c r="T3" s="281" t="s">
        <v>496</v>
      </c>
      <c r="U3" s="279" t="s">
        <v>161</v>
      </c>
      <c r="V3" s="277" t="s">
        <v>196</v>
      </c>
      <c r="W3" s="277" t="s">
        <v>240</v>
      </c>
      <c r="X3" s="273" t="s">
        <v>162</v>
      </c>
      <c r="Y3" s="280" t="s">
        <v>170</v>
      </c>
      <c r="Z3" s="273">
        <v>1</v>
      </c>
      <c r="AA3" s="273">
        <v>0</v>
      </c>
      <c r="AB3" s="273">
        <v>0</v>
      </c>
      <c r="AC3" s="287">
        <v>1</v>
      </c>
      <c r="AD3" s="273">
        <v>0</v>
      </c>
      <c r="AE3" s="273">
        <v>0</v>
      </c>
      <c r="AF3" s="273">
        <v>0</v>
      </c>
      <c r="AG3" s="287">
        <v>0</v>
      </c>
      <c r="AH3" s="273">
        <v>1</v>
      </c>
      <c r="AI3" s="273">
        <v>0</v>
      </c>
      <c r="AJ3" s="273">
        <v>0</v>
      </c>
      <c r="AK3" s="287">
        <v>1</v>
      </c>
      <c r="AL3" s="273">
        <v>0</v>
      </c>
      <c r="AM3" s="273">
        <v>0</v>
      </c>
      <c r="AN3" s="273">
        <v>0</v>
      </c>
      <c r="AO3" s="287">
        <v>0</v>
      </c>
      <c r="AQ3" s="214" t="s">
        <v>101</v>
      </c>
      <c r="AR3" s="215">
        <f>Irelandalltestshistplayed</f>
        <v>773</v>
      </c>
      <c r="AT3" s="214" t="s">
        <v>101</v>
      </c>
      <c r="AU3" s="215">
        <f>IrelandRWChistplayed</f>
        <v>45</v>
      </c>
      <c r="AW3" s="214" t="s">
        <v>101</v>
      </c>
      <c r="AX3" s="215"/>
      <c r="AZ3" s="214" t="s">
        <v>101</v>
      </c>
      <c r="BA3" s="215">
        <f>Ireland6nationsplayed</f>
        <v>134</v>
      </c>
      <c r="BC3" s="214" t="s">
        <v>101</v>
      </c>
      <c r="BD3" s="215">
        <f>Irelandchampionshipplayed</f>
        <v>511</v>
      </c>
    </row>
    <row r="4" spans="1:56" ht="14.95" customHeight="1" thickBot="1" x14ac:dyDescent="0.3">
      <c r="A4" s="289" t="s">
        <v>883</v>
      </c>
      <c r="B4" s="290" t="s">
        <v>46</v>
      </c>
      <c r="C4" s="290" t="s">
        <v>33</v>
      </c>
      <c r="D4" s="290" t="s">
        <v>87</v>
      </c>
      <c r="E4" s="291" t="s">
        <v>1</v>
      </c>
      <c r="F4" s="291">
        <v>20</v>
      </c>
      <c r="G4" s="291">
        <v>13</v>
      </c>
      <c r="H4" s="692">
        <v>0</v>
      </c>
      <c r="I4" s="692">
        <v>0</v>
      </c>
      <c r="J4" s="692">
        <v>3</v>
      </c>
      <c r="K4" s="692">
        <v>1</v>
      </c>
      <c r="L4" s="692">
        <v>0</v>
      </c>
      <c r="M4" s="692">
        <v>1</v>
      </c>
      <c r="N4" s="692">
        <v>1</v>
      </c>
      <c r="O4" s="692">
        <v>0</v>
      </c>
      <c r="P4" s="692">
        <v>0</v>
      </c>
      <c r="Q4" s="692">
        <v>1</v>
      </c>
      <c r="R4" s="692">
        <v>1</v>
      </c>
      <c r="S4" s="292">
        <v>51700</v>
      </c>
      <c r="T4" s="303" t="s">
        <v>932</v>
      </c>
      <c r="U4" s="294" t="s">
        <v>175</v>
      </c>
      <c r="V4" s="292" t="s">
        <v>196</v>
      </c>
      <c r="W4" s="292" t="s">
        <v>256</v>
      </c>
      <c r="X4" s="295" t="s">
        <v>167</v>
      </c>
      <c r="Y4" s="296" t="s">
        <v>194</v>
      </c>
      <c r="Z4" s="295">
        <v>1</v>
      </c>
      <c r="AA4" s="295">
        <v>1</v>
      </c>
      <c r="AB4" s="295">
        <v>0</v>
      </c>
      <c r="AC4" s="307">
        <v>0</v>
      </c>
      <c r="AD4" s="295">
        <v>1</v>
      </c>
      <c r="AE4" s="295">
        <v>1</v>
      </c>
      <c r="AF4" s="295">
        <v>0</v>
      </c>
      <c r="AG4" s="307">
        <v>0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Irelandalltestshistwon</f>
        <v>372</v>
      </c>
      <c r="AT4" s="216" t="s">
        <v>102</v>
      </c>
      <c r="AU4" s="217">
        <f>IrelandRWChistwon</f>
        <v>28</v>
      </c>
      <c r="AW4" s="216" t="s">
        <v>102</v>
      </c>
      <c r="AX4" s="217"/>
      <c r="AZ4" s="216" t="s">
        <v>102</v>
      </c>
      <c r="BA4" s="217">
        <f>Ireland6nationswon</f>
        <v>92</v>
      </c>
      <c r="BC4" s="216" t="s">
        <v>102</v>
      </c>
      <c r="BD4" s="217">
        <f>Irelandchampionshipwon</f>
        <v>234</v>
      </c>
    </row>
    <row r="5" spans="1:56" ht="14.95" customHeight="1" thickBot="1" x14ac:dyDescent="0.35">
      <c r="A5" s="268" t="s">
        <v>884</v>
      </c>
      <c r="B5" s="270" t="s">
        <v>46</v>
      </c>
      <c r="C5" s="270" t="s">
        <v>30</v>
      </c>
      <c r="D5" s="270" t="s">
        <v>88</v>
      </c>
      <c r="E5" s="271" t="s">
        <v>1</v>
      </c>
      <c r="F5" s="271">
        <v>42</v>
      </c>
      <c r="G5" s="271">
        <v>21</v>
      </c>
      <c r="H5" s="691">
        <v>1</v>
      </c>
      <c r="I5" s="691">
        <v>0</v>
      </c>
      <c r="J5" s="691">
        <v>5</v>
      </c>
      <c r="K5" s="691">
        <v>4</v>
      </c>
      <c r="L5" s="691">
        <v>0</v>
      </c>
      <c r="M5" s="691">
        <v>3</v>
      </c>
      <c r="N5" s="691">
        <v>1</v>
      </c>
      <c r="O5" s="691">
        <v>0</v>
      </c>
      <c r="P5" s="691">
        <v>0</v>
      </c>
      <c r="Q5" s="691">
        <v>0</v>
      </c>
      <c r="R5" s="691">
        <v>3</v>
      </c>
      <c r="S5" s="277">
        <v>81953</v>
      </c>
      <c r="T5" s="278" t="s">
        <v>1024</v>
      </c>
      <c r="U5" s="279" t="s">
        <v>1021</v>
      </c>
      <c r="V5" s="277" t="s">
        <v>251</v>
      </c>
      <c r="W5" s="277" t="s">
        <v>235</v>
      </c>
      <c r="X5" s="273" t="s">
        <v>1023</v>
      </c>
      <c r="Y5" s="280" t="s">
        <v>214</v>
      </c>
      <c r="Z5" s="273">
        <v>1</v>
      </c>
      <c r="AA5" s="273">
        <v>1</v>
      </c>
      <c r="AB5" s="273">
        <v>0</v>
      </c>
      <c r="AC5" s="287">
        <v>0</v>
      </c>
      <c r="AD5" s="273">
        <v>0</v>
      </c>
      <c r="AE5" s="273">
        <v>0</v>
      </c>
      <c r="AF5" s="273">
        <v>0</v>
      </c>
      <c r="AG5" s="287">
        <v>0</v>
      </c>
      <c r="AH5" s="273">
        <v>1</v>
      </c>
      <c r="AI5" s="273">
        <v>1</v>
      </c>
      <c r="AJ5" s="273">
        <v>0</v>
      </c>
      <c r="AK5" s="287">
        <v>0</v>
      </c>
      <c r="AL5" s="273">
        <v>0</v>
      </c>
      <c r="AM5" s="273">
        <v>0</v>
      </c>
      <c r="AN5" s="273">
        <v>0</v>
      </c>
      <c r="AO5" s="287">
        <v>0</v>
      </c>
      <c r="AQ5" s="216" t="s">
        <v>107</v>
      </c>
      <c r="AR5" s="217">
        <f>Irelandalltestshistdrawn</f>
        <v>32</v>
      </c>
      <c r="AT5" s="216" t="s">
        <v>107</v>
      </c>
      <c r="AU5" s="217">
        <f>IrelandRWChistdrawn</f>
        <v>0</v>
      </c>
      <c r="AW5" s="216" t="s">
        <v>107</v>
      </c>
      <c r="AX5" s="217"/>
      <c r="AZ5" s="216" t="s">
        <v>107</v>
      </c>
      <c r="BA5" s="217">
        <f>Ireland6nationsdrawn</f>
        <v>3</v>
      </c>
      <c r="BC5" s="216" t="s">
        <v>107</v>
      </c>
      <c r="BD5" s="217">
        <f>Irelandchampionshipdrawn</f>
        <v>26</v>
      </c>
    </row>
    <row r="6" spans="1:56" ht="14.95" customHeight="1" thickBot="1" x14ac:dyDescent="0.35">
      <c r="A6" s="289" t="s">
        <v>885</v>
      </c>
      <c r="B6" s="290" t="s">
        <v>46</v>
      </c>
      <c r="C6" s="290" t="s">
        <v>32</v>
      </c>
      <c r="D6" s="290" t="s">
        <v>87</v>
      </c>
      <c r="E6" s="291" t="s">
        <v>1</v>
      </c>
      <c r="F6" s="291">
        <v>27</v>
      </c>
      <c r="G6" s="291">
        <v>17</v>
      </c>
      <c r="H6" s="692">
        <v>1</v>
      </c>
      <c r="I6" s="692">
        <v>0</v>
      </c>
      <c r="J6" s="692">
        <v>4</v>
      </c>
      <c r="K6" s="692">
        <v>2</v>
      </c>
      <c r="L6" s="692">
        <v>0</v>
      </c>
      <c r="M6" s="692">
        <v>1</v>
      </c>
      <c r="N6" s="692">
        <v>0</v>
      </c>
      <c r="O6" s="692">
        <v>0</v>
      </c>
      <c r="P6" s="692">
        <v>0</v>
      </c>
      <c r="Q6" s="692">
        <v>0</v>
      </c>
      <c r="R6" s="692">
        <v>2</v>
      </c>
      <c r="S6" s="292">
        <v>51700</v>
      </c>
      <c r="T6" s="302" t="s">
        <v>1057</v>
      </c>
      <c r="U6" s="294" t="s">
        <v>161</v>
      </c>
      <c r="V6" s="292" t="s">
        <v>228</v>
      </c>
      <c r="W6" s="292" t="s">
        <v>256</v>
      </c>
      <c r="X6" s="295" t="s">
        <v>184</v>
      </c>
      <c r="Y6" s="296" t="s">
        <v>241</v>
      </c>
      <c r="Z6" s="295">
        <v>1</v>
      </c>
      <c r="AA6" s="295">
        <v>1</v>
      </c>
      <c r="AB6" s="295">
        <v>0</v>
      </c>
      <c r="AC6" s="307">
        <v>0</v>
      </c>
      <c r="AD6" s="295">
        <v>1</v>
      </c>
      <c r="AE6" s="295">
        <v>1</v>
      </c>
      <c r="AF6" s="295">
        <v>0</v>
      </c>
      <c r="AG6" s="307">
        <v>0</v>
      </c>
      <c r="AH6" s="295">
        <v>0</v>
      </c>
      <c r="AI6" s="295">
        <v>0</v>
      </c>
      <c r="AJ6" s="295">
        <v>0</v>
      </c>
      <c r="AK6" s="295">
        <v>0</v>
      </c>
      <c r="AL6" s="295">
        <v>0</v>
      </c>
      <c r="AM6" s="295">
        <v>0</v>
      </c>
      <c r="AN6" s="295">
        <v>0</v>
      </c>
      <c r="AO6" s="295">
        <v>0</v>
      </c>
      <c r="AQ6" s="216" t="s">
        <v>103</v>
      </c>
      <c r="AR6" s="217">
        <f>Irelandalltestshistlost</f>
        <v>369</v>
      </c>
      <c r="AT6" s="216" t="s">
        <v>103</v>
      </c>
      <c r="AU6" s="217">
        <f>IrelandRWChistlost</f>
        <v>17</v>
      </c>
      <c r="AW6" s="216" t="s">
        <v>103</v>
      </c>
      <c r="AX6" s="217"/>
      <c r="AZ6" s="216" t="s">
        <v>103</v>
      </c>
      <c r="BA6" s="217">
        <f>Ireland6nationslost</f>
        <v>39</v>
      </c>
      <c r="BC6" s="216" t="s">
        <v>103</v>
      </c>
      <c r="BD6" s="217">
        <f>Irelandchampionshiplost</f>
        <v>251</v>
      </c>
    </row>
    <row r="7" spans="1:56" ht="14.95" customHeight="1" thickBot="1" x14ac:dyDescent="0.35">
      <c r="A7" s="289" t="s">
        <v>872</v>
      </c>
      <c r="B7" s="290" t="s">
        <v>46</v>
      </c>
      <c r="C7" s="290" t="s">
        <v>35</v>
      </c>
      <c r="D7" s="290" t="s">
        <v>87</v>
      </c>
      <c r="E7" s="291"/>
      <c r="F7" s="291"/>
      <c r="G7" s="291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295"/>
      <c r="T7" s="310"/>
      <c r="U7" s="295"/>
      <c r="V7" s="295"/>
      <c r="W7" s="295"/>
      <c r="X7" s="295"/>
      <c r="Y7" s="296"/>
      <c r="Z7" s="295"/>
      <c r="AA7" s="295"/>
      <c r="AB7" s="295"/>
      <c r="AC7" s="307"/>
      <c r="AD7" s="295"/>
      <c r="AE7" s="295"/>
      <c r="AF7" s="295"/>
      <c r="AG7" s="307"/>
      <c r="AH7" s="295"/>
      <c r="AI7" s="295"/>
      <c r="AJ7" s="295"/>
      <c r="AK7" s="295"/>
      <c r="AL7" s="295"/>
      <c r="AM7" s="295"/>
      <c r="AN7" s="295"/>
      <c r="AO7" s="295"/>
      <c r="AQ7" s="216" t="s">
        <v>108</v>
      </c>
      <c r="AR7" s="217">
        <f>Irelandalltestshistptsscored</f>
        <v>12880</v>
      </c>
      <c r="AT7" s="216" t="s">
        <v>108</v>
      </c>
      <c r="AU7" s="217">
        <f>IrelandRWChistptsscored</f>
        <v>1322</v>
      </c>
      <c r="AW7" s="216" t="s">
        <v>108</v>
      </c>
      <c r="AX7" s="217"/>
      <c r="AZ7" s="216" t="s">
        <v>108</v>
      </c>
      <c r="BA7" s="217">
        <f>Ireland6nationsptsscored</f>
        <v>3436</v>
      </c>
      <c r="BC7" s="216" t="s">
        <v>108</v>
      </c>
      <c r="BD7" s="217">
        <f>Irelandchampionshipptsscored</f>
        <v>6597</v>
      </c>
    </row>
    <row r="8" spans="1:56" ht="14.95" customHeight="1" thickBot="1" x14ac:dyDescent="0.35">
      <c r="A8" s="268" t="s">
        <v>873</v>
      </c>
      <c r="B8" s="270" t="s">
        <v>876</v>
      </c>
      <c r="C8" s="270" t="s">
        <v>29</v>
      </c>
      <c r="D8" s="270" t="s">
        <v>635</v>
      </c>
      <c r="E8" s="271"/>
      <c r="F8" s="271"/>
      <c r="G8" s="27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273"/>
      <c r="T8" s="316"/>
      <c r="U8" s="273"/>
      <c r="V8" s="273"/>
      <c r="W8" s="273"/>
      <c r="X8" s="273"/>
      <c r="Y8" s="273"/>
      <c r="Z8" s="273"/>
      <c r="AA8" s="273"/>
      <c r="AB8" s="273"/>
      <c r="AC8" s="287"/>
      <c r="AD8" s="273"/>
      <c r="AE8" s="273"/>
      <c r="AF8" s="273"/>
      <c r="AG8" s="287"/>
      <c r="AH8" s="273"/>
      <c r="AI8" s="273"/>
      <c r="AJ8" s="273"/>
      <c r="AK8" s="273"/>
      <c r="AL8" s="273"/>
      <c r="AM8" s="273"/>
      <c r="AN8" s="273"/>
      <c r="AO8" s="273"/>
      <c r="AQ8" s="216" t="s">
        <v>109</v>
      </c>
      <c r="AR8" s="217">
        <f>Irelandalltestshistptsagainst</f>
        <v>11171</v>
      </c>
      <c r="AT8" s="216" t="s">
        <v>109</v>
      </c>
      <c r="AU8" s="217">
        <f>IrelandRWChistptsagainst</f>
        <v>809</v>
      </c>
      <c r="AW8" s="216" t="s">
        <v>109</v>
      </c>
      <c r="AX8" s="217"/>
      <c r="AZ8" s="216" t="s">
        <v>109</v>
      </c>
      <c r="BA8" s="217">
        <f>Ireland6nationsptsconceded</f>
        <v>2384</v>
      </c>
      <c r="BC8" s="216" t="s">
        <v>109</v>
      </c>
      <c r="BD8" s="217">
        <f>Irelandchampionshipptsconceded</f>
        <v>6536</v>
      </c>
    </row>
    <row r="9" spans="1:56" ht="14.95" customHeight="1" thickBot="1" x14ac:dyDescent="0.35">
      <c r="A9" s="268" t="s">
        <v>875</v>
      </c>
      <c r="B9" s="270" t="s">
        <v>876</v>
      </c>
      <c r="C9" s="270" t="s">
        <v>36</v>
      </c>
      <c r="D9" s="270" t="s">
        <v>874</v>
      </c>
      <c r="E9" s="271"/>
      <c r="F9" s="271"/>
      <c r="G9" s="27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273"/>
      <c r="T9" s="316"/>
      <c r="U9" s="273"/>
      <c r="V9" s="273"/>
      <c r="W9" s="273"/>
      <c r="X9" s="273"/>
      <c r="Y9" s="273"/>
      <c r="Z9" s="273"/>
      <c r="AA9" s="273"/>
      <c r="AB9" s="273"/>
      <c r="AC9" s="287"/>
      <c r="AD9" s="273"/>
      <c r="AE9" s="273"/>
      <c r="AF9" s="273"/>
      <c r="AG9" s="287"/>
      <c r="AH9" s="273"/>
      <c r="AI9" s="273"/>
      <c r="AJ9" s="273"/>
      <c r="AK9" s="273"/>
      <c r="AL9" s="273"/>
      <c r="AM9" s="273"/>
      <c r="AN9" s="273"/>
      <c r="AO9" s="273"/>
      <c r="AQ9" s="216" t="s">
        <v>100</v>
      </c>
      <c r="AR9" s="217">
        <f>Irelandalltestshisttriesscored</f>
        <v>1609</v>
      </c>
      <c r="AT9" s="216" t="s">
        <v>100</v>
      </c>
      <c r="AU9" s="217">
        <f>IrelandRWChisttriesscored</f>
        <v>164</v>
      </c>
      <c r="AW9" s="216" t="s">
        <v>100</v>
      </c>
      <c r="AX9" s="217"/>
      <c r="AZ9" s="216" t="s">
        <v>100</v>
      </c>
      <c r="BA9" s="217">
        <f>Ireland6nationstriesscored</f>
        <v>382</v>
      </c>
      <c r="BC9" s="216" t="s">
        <v>100</v>
      </c>
      <c r="BD9" s="217">
        <f>Irelandchampionshiptriesscored</f>
        <v>859</v>
      </c>
    </row>
    <row r="10" spans="1:56" ht="14.95" customHeight="1" thickBot="1" x14ac:dyDescent="0.35">
      <c r="A10" s="268" t="s">
        <v>498</v>
      </c>
      <c r="B10" s="270" t="s">
        <v>876</v>
      </c>
      <c r="C10" s="283" t="s">
        <v>90</v>
      </c>
      <c r="D10" s="283" t="s">
        <v>495</v>
      </c>
      <c r="E10" s="285"/>
      <c r="F10" s="271"/>
      <c r="G10" s="271"/>
      <c r="H10" s="691"/>
      <c r="I10" s="691"/>
      <c r="J10" s="691"/>
      <c r="K10" s="691"/>
      <c r="L10" s="691"/>
      <c r="M10" s="691"/>
      <c r="N10" s="691"/>
      <c r="O10" s="701"/>
      <c r="P10" s="691"/>
      <c r="Q10" s="691"/>
      <c r="R10" s="691"/>
      <c r="S10" s="273"/>
      <c r="T10" s="575"/>
      <c r="U10" s="273"/>
      <c r="V10" s="273"/>
      <c r="W10" s="273"/>
      <c r="X10" s="273"/>
      <c r="Y10" s="273"/>
      <c r="Z10" s="273"/>
      <c r="AA10" s="273"/>
      <c r="AB10" s="273"/>
      <c r="AC10" s="287"/>
      <c r="AD10" s="273"/>
      <c r="AE10" s="273"/>
      <c r="AF10" s="273"/>
      <c r="AG10" s="287"/>
      <c r="AH10" s="273"/>
      <c r="AI10" s="273"/>
      <c r="AJ10" s="273"/>
      <c r="AK10" s="273"/>
      <c r="AL10" s="273"/>
      <c r="AM10" s="273"/>
      <c r="AN10" s="273"/>
      <c r="AO10" s="273"/>
    </row>
    <row r="11" spans="1:56" ht="14.95" customHeight="1" thickBot="1" x14ac:dyDescent="0.35">
      <c r="A11" s="289" t="s">
        <v>1069</v>
      </c>
      <c r="B11" s="290" t="s">
        <v>876</v>
      </c>
      <c r="C11" s="308" t="s">
        <v>37</v>
      </c>
      <c r="D11" s="305" t="s">
        <v>87</v>
      </c>
      <c r="E11" s="306"/>
      <c r="F11" s="291"/>
      <c r="G11" s="291"/>
      <c r="H11" s="692"/>
      <c r="I11" s="692"/>
      <c r="J11" s="692"/>
      <c r="K11" s="692"/>
      <c r="L11" s="692"/>
      <c r="M11" s="692"/>
      <c r="N11" s="692"/>
      <c r="O11" s="692"/>
      <c r="P11" s="692"/>
      <c r="Q11" s="692"/>
      <c r="R11" s="692"/>
      <c r="S11" s="295"/>
      <c r="T11" s="310"/>
      <c r="U11" s="295"/>
      <c r="V11" s="295"/>
      <c r="W11" s="295"/>
      <c r="X11" s="295"/>
      <c r="Y11" s="295"/>
      <c r="Z11" s="295"/>
      <c r="AA11" s="295"/>
      <c r="AB11" s="295"/>
      <c r="AC11" s="307"/>
      <c r="AD11" s="295"/>
      <c r="AE11" s="295"/>
      <c r="AF11" s="295"/>
      <c r="AG11" s="307"/>
      <c r="AH11" s="295"/>
      <c r="AI11" s="295"/>
      <c r="AJ11" s="295"/>
      <c r="AK11" s="295"/>
      <c r="AL11" s="295"/>
      <c r="AM11" s="295"/>
      <c r="AN11" s="295"/>
      <c r="AO11" s="295"/>
    </row>
    <row r="12" spans="1:56" ht="14.95" customHeight="1" thickBot="1" x14ac:dyDescent="0.35">
      <c r="A12" s="289" t="s">
        <v>1067</v>
      </c>
      <c r="B12" s="290" t="s">
        <v>876</v>
      </c>
      <c r="C12" s="308" t="s">
        <v>31</v>
      </c>
      <c r="D12" s="309" t="s">
        <v>87</v>
      </c>
      <c r="E12" s="229"/>
      <c r="F12" s="291"/>
      <c r="G12" s="291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2"/>
      <c r="S12" s="240"/>
      <c r="T12" s="698"/>
      <c r="U12" s="240"/>
      <c r="V12" s="240"/>
      <c r="W12" s="299"/>
      <c r="X12" s="299"/>
      <c r="Y12" s="295"/>
      <c r="Z12" s="295"/>
      <c r="AA12" s="295"/>
      <c r="AB12" s="295"/>
      <c r="AC12" s="307"/>
      <c r="AD12" s="295"/>
      <c r="AE12" s="295"/>
      <c r="AF12" s="295"/>
      <c r="AG12" s="307"/>
      <c r="AH12" s="295"/>
      <c r="AI12" s="295"/>
      <c r="AJ12" s="295"/>
      <c r="AK12" s="295"/>
      <c r="AL12" s="295"/>
      <c r="AM12" s="295"/>
      <c r="AN12" s="295"/>
      <c r="AO12" s="295"/>
    </row>
    <row r="13" spans="1:56" ht="14.95" customHeight="1" thickBot="1" x14ac:dyDescent="0.35">
      <c r="A13" s="289" t="s">
        <v>881</v>
      </c>
      <c r="B13" s="290" t="s">
        <v>876</v>
      </c>
      <c r="C13" s="308" t="s">
        <v>138</v>
      </c>
      <c r="D13" s="309" t="s">
        <v>87</v>
      </c>
      <c r="E13" s="229"/>
      <c r="F13" s="291"/>
      <c r="G13" s="291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240"/>
      <c r="T13" s="698"/>
      <c r="U13" s="240"/>
      <c r="V13" s="240"/>
      <c r="W13" s="299"/>
      <c r="X13" s="299"/>
      <c r="Y13" s="295"/>
      <c r="Z13" s="295"/>
      <c r="AA13" s="295"/>
      <c r="AB13" s="295"/>
      <c r="AC13" s="307"/>
      <c r="AD13" s="295"/>
      <c r="AE13" s="295"/>
      <c r="AF13" s="295"/>
      <c r="AG13" s="307"/>
      <c r="AH13" s="295"/>
      <c r="AI13" s="295"/>
      <c r="AJ13" s="295"/>
      <c r="AK13" s="295"/>
      <c r="AL13" s="295"/>
      <c r="AM13" s="295"/>
      <c r="AN13" s="295"/>
      <c r="AO13" s="295"/>
    </row>
    <row r="14" spans="1:56" ht="14.95" customHeight="1" thickBot="1" x14ac:dyDescent="0.3">
      <c r="A14" s="888" t="s">
        <v>874</v>
      </c>
      <c r="B14" s="887" t="s">
        <v>879</v>
      </c>
      <c r="C14" s="887"/>
      <c r="D14" s="887"/>
      <c r="E14" s="877"/>
      <c r="F14" s="878"/>
      <c r="G14" s="878"/>
      <c r="H14" s="879"/>
      <c r="I14" s="879"/>
      <c r="J14" s="879"/>
      <c r="K14" s="879"/>
      <c r="L14" s="879"/>
      <c r="M14" s="879"/>
      <c r="N14" s="879"/>
      <c r="O14" s="884"/>
      <c r="P14" s="879"/>
      <c r="Q14" s="879"/>
      <c r="R14" s="879"/>
      <c r="S14" s="880"/>
      <c r="T14" s="885"/>
      <c r="U14" s="880"/>
      <c r="V14" s="880"/>
      <c r="W14" s="880"/>
      <c r="X14" s="880"/>
      <c r="Y14" s="880"/>
      <c r="Z14" s="880"/>
      <c r="AA14" s="880"/>
      <c r="AB14" s="880"/>
      <c r="AC14" s="880"/>
      <c r="AD14" s="880"/>
      <c r="AE14" s="880"/>
      <c r="AF14" s="880"/>
      <c r="AG14" s="880"/>
      <c r="AH14" s="880"/>
      <c r="AI14" s="880"/>
      <c r="AJ14" s="880"/>
      <c r="AK14" s="880"/>
      <c r="AL14" s="880"/>
      <c r="AM14" s="880"/>
      <c r="AN14" s="880"/>
      <c r="AO14" s="880"/>
    </row>
    <row r="15" spans="1:56" ht="14.95" customHeight="1" thickBot="1" x14ac:dyDescent="0.3">
      <c r="A15" s="179"/>
      <c r="B15" s="180"/>
      <c r="C15" s="1151" t="s">
        <v>82</v>
      </c>
      <c r="D15" s="1152"/>
      <c r="E15" s="1153"/>
      <c r="F15" s="869">
        <f>SUM(F3:F7)</f>
        <v>103</v>
      </c>
      <c r="G15" s="869">
        <f t="shared" ref="G15:R15" si="0">SUM(G3:G7)</f>
        <v>87</v>
      </c>
      <c r="H15" s="869">
        <f t="shared" si="0"/>
        <v>2</v>
      </c>
      <c r="I15" s="869">
        <f t="shared" si="0"/>
        <v>0</v>
      </c>
      <c r="J15" s="869">
        <f t="shared" si="0"/>
        <v>14</v>
      </c>
      <c r="K15" s="869">
        <f t="shared" si="0"/>
        <v>9</v>
      </c>
      <c r="L15" s="869">
        <f t="shared" si="0"/>
        <v>0</v>
      </c>
      <c r="M15" s="869">
        <f t="shared" si="0"/>
        <v>5</v>
      </c>
      <c r="N15" s="869">
        <f t="shared" si="0"/>
        <v>2</v>
      </c>
      <c r="O15" s="869">
        <f t="shared" si="0"/>
        <v>0</v>
      </c>
      <c r="P15" s="869">
        <f t="shared" si="0"/>
        <v>1</v>
      </c>
      <c r="Q15" s="869">
        <f t="shared" si="0"/>
        <v>1</v>
      </c>
      <c r="R15" s="869">
        <f t="shared" si="0"/>
        <v>11</v>
      </c>
      <c r="S15" s="870"/>
      <c r="T15" s="870"/>
      <c r="U15" s="870"/>
      <c r="V15" s="870"/>
      <c r="W15" s="870"/>
      <c r="X15" s="871"/>
      <c r="Y15" s="875" t="s">
        <v>82</v>
      </c>
      <c r="Z15" s="869">
        <f t="shared" ref="Z15:AO15" si="1">SUM(Z3:Z7)</f>
        <v>4</v>
      </c>
      <c r="AA15" s="869">
        <f t="shared" si="1"/>
        <v>3</v>
      </c>
      <c r="AB15" s="869">
        <f t="shared" si="1"/>
        <v>0</v>
      </c>
      <c r="AC15" s="869">
        <f t="shared" si="1"/>
        <v>1</v>
      </c>
      <c r="AD15" s="873">
        <f t="shared" si="1"/>
        <v>2</v>
      </c>
      <c r="AE15" s="873">
        <f t="shared" si="1"/>
        <v>2</v>
      </c>
      <c r="AF15" s="873">
        <f t="shared" si="1"/>
        <v>0</v>
      </c>
      <c r="AG15" s="873">
        <f t="shared" si="1"/>
        <v>0</v>
      </c>
      <c r="AH15" s="874">
        <f t="shared" si="1"/>
        <v>2</v>
      </c>
      <c r="AI15" s="874">
        <f t="shared" si="1"/>
        <v>1</v>
      </c>
      <c r="AJ15" s="874">
        <f t="shared" si="1"/>
        <v>0</v>
      </c>
      <c r="AK15" s="874">
        <f t="shared" si="1"/>
        <v>1</v>
      </c>
      <c r="AL15" s="869">
        <f t="shared" si="1"/>
        <v>0</v>
      </c>
      <c r="AM15" s="869">
        <f t="shared" si="1"/>
        <v>0</v>
      </c>
      <c r="AN15" s="869">
        <f t="shared" si="1"/>
        <v>0</v>
      </c>
      <c r="AO15" s="869">
        <f t="shared" si="1"/>
        <v>0</v>
      </c>
    </row>
    <row r="16" spans="1:56" ht="14.95" customHeight="1" thickBot="1" x14ac:dyDescent="0.3">
      <c r="A16" s="332"/>
      <c r="B16" s="333"/>
      <c r="C16" s="1128" t="s">
        <v>878</v>
      </c>
      <c r="D16" s="1129"/>
      <c r="E16" s="1130"/>
      <c r="F16" s="547">
        <f>SUM(F8:F14)</f>
        <v>0</v>
      </c>
      <c r="G16" s="547">
        <f>SUM(G8:G14)</f>
        <v>0</v>
      </c>
      <c r="H16" s="547">
        <f t="shared" ref="H16:R16" si="2">SUM(H8:H14)</f>
        <v>0</v>
      </c>
      <c r="I16" s="547">
        <f t="shared" si="2"/>
        <v>0</v>
      </c>
      <c r="J16" s="547">
        <f t="shared" si="2"/>
        <v>0</v>
      </c>
      <c r="K16" s="547">
        <f t="shared" si="2"/>
        <v>0</v>
      </c>
      <c r="L16" s="547">
        <f t="shared" si="2"/>
        <v>0</v>
      </c>
      <c r="M16" s="547">
        <f t="shared" si="2"/>
        <v>0</v>
      </c>
      <c r="N16" s="547">
        <f t="shared" si="2"/>
        <v>0</v>
      </c>
      <c r="O16" s="547">
        <f t="shared" si="2"/>
        <v>0</v>
      </c>
      <c r="P16" s="547">
        <f t="shared" si="2"/>
        <v>0</v>
      </c>
      <c r="Q16" s="547">
        <f t="shared" si="2"/>
        <v>0</v>
      </c>
      <c r="R16" s="547">
        <f t="shared" si="2"/>
        <v>0</v>
      </c>
      <c r="S16" s="564"/>
      <c r="T16" s="564"/>
      <c r="U16" s="564"/>
      <c r="V16" s="564"/>
      <c r="W16" s="564"/>
      <c r="X16" s="175"/>
      <c r="Y16" s="250" t="s">
        <v>878</v>
      </c>
      <c r="Z16" s="547">
        <f t="shared" ref="Z16:AO16" si="3">SUM(Z8:Z14)</f>
        <v>0</v>
      </c>
      <c r="AA16" s="547">
        <f t="shared" si="3"/>
        <v>0</v>
      </c>
      <c r="AB16" s="547">
        <f t="shared" si="3"/>
        <v>0</v>
      </c>
      <c r="AC16" s="547">
        <f t="shared" si="3"/>
        <v>0</v>
      </c>
      <c r="AD16" s="549">
        <f t="shared" si="3"/>
        <v>0</v>
      </c>
      <c r="AE16" s="549">
        <f t="shared" si="3"/>
        <v>0</v>
      </c>
      <c r="AF16" s="549">
        <f t="shared" si="3"/>
        <v>0</v>
      </c>
      <c r="AG16" s="549">
        <f t="shared" si="3"/>
        <v>0</v>
      </c>
      <c r="AH16" s="550">
        <f t="shared" si="3"/>
        <v>0</v>
      </c>
      <c r="AI16" s="550">
        <f t="shared" si="3"/>
        <v>0</v>
      </c>
      <c r="AJ16" s="550">
        <f t="shared" si="3"/>
        <v>0</v>
      </c>
      <c r="AK16" s="550">
        <f t="shared" si="3"/>
        <v>0</v>
      </c>
      <c r="AL16" s="547">
        <f t="shared" si="3"/>
        <v>0</v>
      </c>
      <c r="AM16" s="547">
        <f t="shared" si="3"/>
        <v>0</v>
      </c>
      <c r="AN16" s="547">
        <f t="shared" si="3"/>
        <v>0</v>
      </c>
      <c r="AO16" s="547">
        <f t="shared" si="3"/>
        <v>0</v>
      </c>
    </row>
    <row r="17" spans="1:41" ht="14.95" customHeight="1" thickBot="1" x14ac:dyDescent="0.3">
      <c r="A17" s="179"/>
      <c r="B17" s="180"/>
      <c r="C17" s="1087" t="s">
        <v>81</v>
      </c>
      <c r="D17" s="1088"/>
      <c r="E17" s="1089"/>
      <c r="F17" s="231">
        <f t="shared" ref="F17:R17" si="4">SUM(F3:F14)</f>
        <v>103</v>
      </c>
      <c r="G17" s="231">
        <f t="shared" si="4"/>
        <v>87</v>
      </c>
      <c r="H17" s="231">
        <f t="shared" si="4"/>
        <v>2</v>
      </c>
      <c r="I17" s="231">
        <f t="shared" si="4"/>
        <v>0</v>
      </c>
      <c r="J17" s="231">
        <f t="shared" si="4"/>
        <v>14</v>
      </c>
      <c r="K17" s="231">
        <f t="shared" si="4"/>
        <v>9</v>
      </c>
      <c r="L17" s="231">
        <f t="shared" si="4"/>
        <v>0</v>
      </c>
      <c r="M17" s="231">
        <f t="shared" si="4"/>
        <v>5</v>
      </c>
      <c r="N17" s="231">
        <f t="shared" si="4"/>
        <v>2</v>
      </c>
      <c r="O17" s="231">
        <f t="shared" si="4"/>
        <v>0</v>
      </c>
      <c r="P17" s="231">
        <f t="shared" si="4"/>
        <v>1</v>
      </c>
      <c r="Q17" s="231">
        <f t="shared" si="4"/>
        <v>1</v>
      </c>
      <c r="R17" s="231">
        <f t="shared" si="4"/>
        <v>11</v>
      </c>
      <c r="S17" s="228"/>
      <c r="T17" s="228"/>
      <c r="U17" s="228"/>
      <c r="V17" s="228"/>
      <c r="W17" s="228"/>
      <c r="X17" s="13"/>
      <c r="Y17" s="246" t="s">
        <v>81</v>
      </c>
      <c r="Z17" s="231">
        <f t="shared" ref="Z17:AO17" si="5">SUM(Z3:Z14)</f>
        <v>4</v>
      </c>
      <c r="AA17" s="231">
        <f t="shared" si="5"/>
        <v>3</v>
      </c>
      <c r="AB17" s="231">
        <f t="shared" si="5"/>
        <v>0</v>
      </c>
      <c r="AC17" s="231">
        <f t="shared" si="5"/>
        <v>1</v>
      </c>
      <c r="AD17" s="229">
        <f t="shared" si="5"/>
        <v>2</v>
      </c>
      <c r="AE17" s="229">
        <f t="shared" si="5"/>
        <v>2</v>
      </c>
      <c r="AF17" s="229">
        <f t="shared" si="5"/>
        <v>0</v>
      </c>
      <c r="AG17" s="229">
        <f t="shared" si="5"/>
        <v>0</v>
      </c>
      <c r="AH17" s="230">
        <f t="shared" si="5"/>
        <v>2</v>
      </c>
      <c r="AI17" s="230">
        <f t="shared" si="5"/>
        <v>1</v>
      </c>
      <c r="AJ17" s="230">
        <f t="shared" si="5"/>
        <v>0</v>
      </c>
      <c r="AK17" s="230">
        <f t="shared" si="5"/>
        <v>1</v>
      </c>
      <c r="AL17" s="231">
        <f t="shared" si="5"/>
        <v>0</v>
      </c>
      <c r="AM17" s="231">
        <f t="shared" si="5"/>
        <v>0</v>
      </c>
      <c r="AN17" s="231">
        <f t="shared" si="5"/>
        <v>0</v>
      </c>
      <c r="AO17" s="231">
        <f t="shared" si="5"/>
        <v>0</v>
      </c>
    </row>
    <row r="18" spans="1:41" ht="14.95" customHeight="1" x14ac:dyDescent="0.25">
      <c r="A18" s="1108" t="s">
        <v>939</v>
      </c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  <c r="Z18" s="1063"/>
      <c r="AA18" s="1063"/>
      <c r="AB18" s="1063"/>
      <c r="AC18" s="1063"/>
      <c r="AD18" s="1063"/>
      <c r="AE18" s="1063"/>
      <c r="AF18" s="1063"/>
      <c r="AG18" s="1063"/>
      <c r="AH18" s="1063"/>
      <c r="AI18" s="1063"/>
      <c r="AJ18" s="1063"/>
      <c r="AK18" s="1063"/>
      <c r="AL18" s="1063"/>
      <c r="AM18" s="1063"/>
      <c r="AN18" s="1063"/>
      <c r="AO18" s="1063"/>
    </row>
    <row r="19" spans="1:41" ht="14.95" customHeight="1" x14ac:dyDescent="0.25">
      <c r="A19" t="s">
        <v>886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1" ht="14.95" customHeight="1" x14ac:dyDescent="0.25">
      <c r="A20" t="s">
        <v>1025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3" spans="1:41" ht="14.95" customHeight="1" x14ac:dyDescent="0.25">
      <c r="A23" s="1108" t="s">
        <v>877</v>
      </c>
      <c r="B23" s="1063"/>
      <c r="C23" s="1063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  <c r="Q23" s="1063"/>
      <c r="R23" s="1063"/>
      <c r="S23" s="1063"/>
      <c r="T23" s="1063"/>
      <c r="U23" s="1063"/>
      <c r="V23" s="1063"/>
      <c r="W23" s="1063"/>
      <c r="X23" s="1063"/>
      <c r="Y23" s="1063"/>
      <c r="Z23" s="1063"/>
      <c r="AA23" s="1063"/>
      <c r="AB23" s="1063"/>
      <c r="AC23" s="1063"/>
      <c r="AD23" s="1063"/>
      <c r="AE23" s="1063"/>
      <c r="AF23" s="1063"/>
      <c r="AG23" s="1063"/>
      <c r="AH23" s="1063"/>
      <c r="AI23" s="1063"/>
      <c r="AJ23" s="1063"/>
      <c r="AK23" s="1063"/>
      <c r="AL23" s="1063"/>
      <c r="AM23" s="1063"/>
      <c r="AN23" s="1063"/>
      <c r="AO23" s="1063"/>
    </row>
    <row r="24" spans="1:41" ht="14.95" customHeight="1" x14ac:dyDescent="0.25">
      <c r="A24" s="1108" t="s">
        <v>880</v>
      </c>
      <c r="B24" s="1063"/>
      <c r="C24" s="1063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  <c r="O24" s="1063"/>
      <c r="P24" s="1063"/>
      <c r="Q24" s="1063"/>
      <c r="R24" s="1063"/>
    </row>
    <row r="25" spans="1:41" ht="14.95" customHeight="1" x14ac:dyDescent="0.25">
      <c r="A25" s="1108"/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</row>
    <row r="26" spans="1:41" ht="14.95" customHeight="1" x14ac:dyDescent="0.25">
      <c r="A26" t="s">
        <v>133</v>
      </c>
    </row>
    <row r="27" spans="1:41" ht="14.95" customHeight="1" x14ac:dyDescent="0.25">
      <c r="A27" s="376"/>
      <c r="B27" t="s">
        <v>44</v>
      </c>
    </row>
    <row r="28" spans="1:41" ht="14.95" customHeight="1" x14ac:dyDescent="0.25">
      <c r="A28" s="377"/>
      <c r="B28" t="s">
        <v>42</v>
      </c>
    </row>
    <row r="29" spans="1:41" ht="14.95" customHeight="1" x14ac:dyDescent="0.25">
      <c r="A29" s="378"/>
      <c r="B29" t="s">
        <v>43</v>
      </c>
    </row>
    <row r="30" spans="1:41" ht="14.95" customHeight="1" x14ac:dyDescent="0.3">
      <c r="A30" s="792" t="s">
        <v>28</v>
      </c>
    </row>
  </sheetData>
  <mergeCells count="18">
    <mergeCell ref="C17:E17"/>
    <mergeCell ref="A1:C1"/>
    <mergeCell ref="A24:R24"/>
    <mergeCell ref="E1:G1"/>
    <mergeCell ref="BC2:BD2"/>
    <mergeCell ref="H1:I1"/>
    <mergeCell ref="A25:R25"/>
    <mergeCell ref="A23:AO23"/>
    <mergeCell ref="J1:M1"/>
    <mergeCell ref="N1:O1"/>
    <mergeCell ref="C16:E16"/>
    <mergeCell ref="A18:AO18"/>
    <mergeCell ref="Z1:AC1"/>
    <mergeCell ref="AD1:AG1"/>
    <mergeCell ref="AH1:AK1"/>
    <mergeCell ref="AL1:AO1"/>
    <mergeCell ref="P1:R1"/>
    <mergeCell ref="C15:E1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29"/>
  <sheetViews>
    <sheetView zoomScale="90" zoomScaleNormal="90" workbookViewId="0">
      <pane ySplit="2" topLeftCell="A3" activePane="bottomLeft" state="frozen"/>
      <selection pane="bottomLeft" activeCell="U11" sqref="U11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1.375" customWidth="1"/>
    <col min="4" max="4" width="4.375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19.375" bestFit="1" customWidth="1"/>
    <col min="22" max="22" width="16.875" bestFit="1" customWidth="1"/>
    <col min="23" max="23" width="30.125" bestFit="1" customWidth="1"/>
    <col min="24" max="24" width="19.75" bestFit="1" customWidth="1"/>
    <col min="25" max="25" width="21.25" bestFit="1" customWidth="1"/>
    <col min="26" max="41" width="3.625" customWidth="1"/>
    <col min="42" max="42" width="1.625" customWidth="1"/>
    <col min="43" max="43" width="13.125" bestFit="1" customWidth="1"/>
    <col min="45" max="45" width="2.625" customWidth="1"/>
    <col min="46" max="46" width="13.125" bestFit="1" customWidth="1"/>
    <col min="48" max="48" width="2.625" customWidth="1"/>
    <col min="49" max="49" width="12.75" bestFit="1" customWidth="1"/>
    <col min="51" max="51" width="1.625" customWidth="1"/>
    <col min="52" max="52" width="12.75" bestFit="1" customWidth="1"/>
  </cols>
  <sheetData>
    <row r="1" spans="1:53" ht="14.95" customHeight="1" thickBot="1" x14ac:dyDescent="0.3">
      <c r="A1" s="1219" t="s">
        <v>896</v>
      </c>
      <c r="B1" s="1220"/>
      <c r="C1" s="1220"/>
      <c r="D1" s="1009"/>
      <c r="E1" s="1221" t="s">
        <v>24</v>
      </c>
      <c r="F1" s="1222"/>
      <c r="G1" s="1223"/>
      <c r="H1" s="1221" t="s">
        <v>23</v>
      </c>
      <c r="I1" s="1223"/>
      <c r="J1" s="1224" t="s">
        <v>6</v>
      </c>
      <c r="K1" s="1225"/>
      <c r="L1" s="1225"/>
      <c r="M1" s="1226"/>
      <c r="N1" s="1224" t="s">
        <v>7</v>
      </c>
      <c r="O1" s="1226"/>
      <c r="P1" s="1224" t="s">
        <v>25</v>
      </c>
      <c r="Q1" s="1225"/>
      <c r="R1" s="1226"/>
      <c r="S1" s="1010" t="s">
        <v>8</v>
      </c>
      <c r="T1" s="1010" t="s">
        <v>9</v>
      </c>
      <c r="U1" s="1011" t="s">
        <v>10</v>
      </c>
      <c r="V1" s="1012" t="s">
        <v>11</v>
      </c>
      <c r="W1" s="1011" t="s">
        <v>211</v>
      </c>
      <c r="X1" s="1013" t="s">
        <v>26</v>
      </c>
      <c r="Y1" s="1014" t="s">
        <v>27</v>
      </c>
      <c r="Z1" s="1227" t="s">
        <v>20</v>
      </c>
      <c r="AA1" s="1228"/>
      <c r="AB1" s="1228"/>
      <c r="AC1" s="1229"/>
      <c r="AD1" s="1227" t="s">
        <v>61</v>
      </c>
      <c r="AE1" s="1228"/>
      <c r="AF1" s="1228"/>
      <c r="AG1" s="1229"/>
      <c r="AH1" s="1227" t="s">
        <v>62</v>
      </c>
      <c r="AI1" s="1228"/>
      <c r="AJ1" s="1228"/>
      <c r="AK1" s="1229"/>
      <c r="AL1" s="1227" t="s">
        <v>63</v>
      </c>
      <c r="AM1" s="1228"/>
      <c r="AN1" s="1228"/>
      <c r="AO1" s="1229"/>
      <c r="AQ1" s="1026" t="s">
        <v>118</v>
      </c>
      <c r="AR1" s="218"/>
      <c r="AS1" s="218"/>
      <c r="AT1" s="1026" t="s">
        <v>118</v>
      </c>
      <c r="AW1" s="1026" t="s">
        <v>118</v>
      </c>
      <c r="AZ1" s="1026" t="s">
        <v>118</v>
      </c>
    </row>
    <row r="2" spans="1:53" ht="14.95" customHeight="1" thickBot="1" x14ac:dyDescent="0.3">
      <c r="A2" s="1015" t="s">
        <v>19</v>
      </c>
      <c r="B2" s="1016" t="s">
        <v>18</v>
      </c>
      <c r="C2" s="1017" t="s">
        <v>17</v>
      </c>
      <c r="D2" s="1017" t="s">
        <v>41</v>
      </c>
      <c r="E2" s="1018" t="s">
        <v>16</v>
      </c>
      <c r="F2" s="1018" t="s">
        <v>4</v>
      </c>
      <c r="G2" s="1018" t="s">
        <v>5</v>
      </c>
      <c r="H2" s="1019" t="s">
        <v>12</v>
      </c>
      <c r="I2" s="1019" t="s">
        <v>3</v>
      </c>
      <c r="J2" s="1019" t="s">
        <v>12</v>
      </c>
      <c r="K2" s="1019" t="s">
        <v>13</v>
      </c>
      <c r="L2" s="1019" t="s">
        <v>2</v>
      </c>
      <c r="M2" s="1019" t="s">
        <v>14</v>
      </c>
      <c r="N2" s="1019" t="s">
        <v>15</v>
      </c>
      <c r="O2" s="1019" t="s">
        <v>16</v>
      </c>
      <c r="P2" s="1019" t="s">
        <v>21</v>
      </c>
      <c r="Q2" s="1019" t="s">
        <v>22</v>
      </c>
      <c r="R2" s="1019" t="s">
        <v>12</v>
      </c>
      <c r="S2" s="1020"/>
      <c r="T2" s="1021"/>
      <c r="U2" s="1022"/>
      <c r="V2" s="1020"/>
      <c r="W2" s="1022"/>
      <c r="X2" s="1023"/>
      <c r="Y2" s="1024"/>
      <c r="Z2" s="1025" t="s">
        <v>0</v>
      </c>
      <c r="AA2" s="1025" t="s">
        <v>1</v>
      </c>
      <c r="AB2" s="1025" t="s">
        <v>2</v>
      </c>
      <c r="AC2" s="1025" t="s">
        <v>3</v>
      </c>
      <c r="AD2" s="1025" t="s">
        <v>0</v>
      </c>
      <c r="AE2" s="1025" t="s">
        <v>1</v>
      </c>
      <c r="AF2" s="1025" t="s">
        <v>2</v>
      </c>
      <c r="AG2" s="1025" t="s">
        <v>3</v>
      </c>
      <c r="AH2" s="1025" t="s">
        <v>0</v>
      </c>
      <c r="AI2" s="1025" t="s">
        <v>1</v>
      </c>
      <c r="AJ2" s="1025" t="s">
        <v>2</v>
      </c>
      <c r="AK2" s="1025" t="s">
        <v>3</v>
      </c>
      <c r="AL2" s="1025" t="s">
        <v>0</v>
      </c>
      <c r="AM2" s="1025" t="s">
        <v>1</v>
      </c>
      <c r="AN2" s="1025" t="s">
        <v>2</v>
      </c>
      <c r="AO2" s="1025" t="s">
        <v>3</v>
      </c>
      <c r="AQ2" s="205" t="s">
        <v>81</v>
      </c>
      <c r="AR2" s="138" t="s">
        <v>58</v>
      </c>
      <c r="AT2" s="225" t="s">
        <v>99</v>
      </c>
      <c r="AU2" s="138" t="s">
        <v>58</v>
      </c>
      <c r="AW2" s="905" t="s">
        <v>903</v>
      </c>
      <c r="AX2" s="904"/>
      <c r="AZ2" s="239" t="s">
        <v>209</v>
      </c>
      <c r="BA2" s="510"/>
    </row>
    <row r="3" spans="1:53" ht="14.95" customHeight="1" thickBot="1" x14ac:dyDescent="0.35">
      <c r="A3" s="289" t="s">
        <v>888</v>
      </c>
      <c r="B3" s="290" t="s">
        <v>46</v>
      </c>
      <c r="C3" s="290" t="s">
        <v>35</v>
      </c>
      <c r="D3" s="290" t="s">
        <v>86</v>
      </c>
      <c r="E3" s="291" t="s">
        <v>1</v>
      </c>
      <c r="F3" s="291">
        <v>18</v>
      </c>
      <c r="G3" s="291">
        <v>15</v>
      </c>
      <c r="H3" s="692">
        <v>0</v>
      </c>
      <c r="I3" s="692">
        <v>0</v>
      </c>
      <c r="J3" s="692">
        <v>2</v>
      </c>
      <c r="K3" s="692">
        <v>1</v>
      </c>
      <c r="L3" s="692">
        <v>0</v>
      </c>
      <c r="M3" s="692">
        <v>2</v>
      </c>
      <c r="N3" s="692">
        <v>0</v>
      </c>
      <c r="O3" s="692">
        <v>0</v>
      </c>
      <c r="P3" s="692">
        <v>0</v>
      </c>
      <c r="Q3" s="692">
        <v>1</v>
      </c>
      <c r="R3" s="692">
        <v>2</v>
      </c>
      <c r="S3" s="292">
        <v>68245</v>
      </c>
      <c r="T3" s="302" t="s">
        <v>442</v>
      </c>
      <c r="U3" s="294" t="s">
        <v>165</v>
      </c>
      <c r="V3" s="292" t="s">
        <v>240</v>
      </c>
      <c r="W3" s="292" t="s">
        <v>215</v>
      </c>
      <c r="X3" s="295" t="s">
        <v>917</v>
      </c>
      <c r="Y3" s="296" t="s">
        <v>590</v>
      </c>
      <c r="Z3" s="295">
        <v>1</v>
      </c>
      <c r="AA3" s="295">
        <v>1</v>
      </c>
      <c r="AB3" s="295">
        <v>0</v>
      </c>
      <c r="AC3" s="307">
        <v>0</v>
      </c>
      <c r="AD3" s="295">
        <v>1</v>
      </c>
      <c r="AE3" s="295">
        <v>1</v>
      </c>
      <c r="AF3" s="295">
        <v>0</v>
      </c>
      <c r="AG3" s="307">
        <v>0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Italyalltestshistplayed</f>
        <v>572</v>
      </c>
      <c r="AT3" s="214" t="s">
        <v>101</v>
      </c>
      <c r="AU3" s="215">
        <f>ItalyRWChistplayed</f>
        <v>35</v>
      </c>
      <c r="AW3" s="214" t="s">
        <v>101</v>
      </c>
      <c r="AX3" s="215"/>
      <c r="AZ3" s="214" t="s">
        <v>101</v>
      </c>
      <c r="BA3" s="215">
        <f>Italysixnationsplayed</f>
        <v>134</v>
      </c>
    </row>
    <row r="4" spans="1:53" ht="14.95" customHeight="1" thickBot="1" x14ac:dyDescent="0.35">
      <c r="A4" s="268" t="s">
        <v>883</v>
      </c>
      <c r="B4" s="270" t="s">
        <v>46</v>
      </c>
      <c r="C4" s="270" t="s">
        <v>39</v>
      </c>
      <c r="D4" s="270" t="s">
        <v>87</v>
      </c>
      <c r="E4" s="271" t="s">
        <v>3</v>
      </c>
      <c r="F4" s="271">
        <v>13</v>
      </c>
      <c r="G4" s="271">
        <v>20</v>
      </c>
      <c r="H4" s="691">
        <v>0</v>
      </c>
      <c r="I4" s="691">
        <v>1</v>
      </c>
      <c r="J4" s="691">
        <v>1</v>
      </c>
      <c r="K4" s="691">
        <v>1</v>
      </c>
      <c r="L4" s="691">
        <v>0</v>
      </c>
      <c r="M4" s="691">
        <v>2</v>
      </c>
      <c r="N4" s="691">
        <v>1</v>
      </c>
      <c r="O4" s="691">
        <v>0</v>
      </c>
      <c r="P4" s="691">
        <v>0</v>
      </c>
      <c r="Q4" s="691">
        <v>0</v>
      </c>
      <c r="R4" s="691">
        <v>3</v>
      </c>
      <c r="S4" s="277">
        <v>51700</v>
      </c>
      <c r="T4" s="365" t="s">
        <v>933</v>
      </c>
      <c r="U4" s="279" t="s">
        <v>175</v>
      </c>
      <c r="V4" s="277" t="s">
        <v>196</v>
      </c>
      <c r="W4" s="277" t="s">
        <v>256</v>
      </c>
      <c r="X4" s="273" t="s">
        <v>167</v>
      </c>
      <c r="Y4" s="280" t="s">
        <v>194</v>
      </c>
      <c r="Z4" s="273">
        <v>1</v>
      </c>
      <c r="AA4" s="273">
        <v>0</v>
      </c>
      <c r="AB4" s="273">
        <v>0</v>
      </c>
      <c r="AC4" s="287">
        <v>1</v>
      </c>
      <c r="AD4" s="273">
        <v>0</v>
      </c>
      <c r="AE4" s="273">
        <v>0</v>
      </c>
      <c r="AF4" s="273">
        <v>0</v>
      </c>
      <c r="AG4" s="287">
        <v>0</v>
      </c>
      <c r="AH4" s="273">
        <v>1</v>
      </c>
      <c r="AI4" s="273">
        <v>0</v>
      </c>
      <c r="AJ4" s="273">
        <v>0</v>
      </c>
      <c r="AK4" s="287">
        <v>1</v>
      </c>
      <c r="AL4" s="273">
        <v>0</v>
      </c>
      <c r="AM4" s="273">
        <v>0</v>
      </c>
      <c r="AN4" s="273">
        <v>0</v>
      </c>
      <c r="AO4" s="287">
        <v>0</v>
      </c>
      <c r="AQ4" s="216" t="s">
        <v>102</v>
      </c>
      <c r="AR4" s="217">
        <f>Italyalltestshistwon</f>
        <v>208</v>
      </c>
      <c r="AT4" s="216" t="s">
        <v>102</v>
      </c>
      <c r="AU4" s="217">
        <f>ItalyRWChistwon</f>
        <v>15</v>
      </c>
      <c r="AW4" s="216" t="s">
        <v>102</v>
      </c>
      <c r="AX4" s="217"/>
      <c r="AZ4" s="216" t="s">
        <v>102</v>
      </c>
      <c r="BA4" s="217">
        <f>Italysixnationswon</f>
        <v>18</v>
      </c>
    </row>
    <row r="5" spans="1:53" ht="14.95" customHeight="1" thickBot="1" x14ac:dyDescent="0.3">
      <c r="A5" s="268" t="s">
        <v>286</v>
      </c>
      <c r="B5" s="270" t="s">
        <v>46</v>
      </c>
      <c r="C5" s="270" t="s">
        <v>34</v>
      </c>
      <c r="D5" s="270" t="s">
        <v>869</v>
      </c>
      <c r="E5" s="271" t="s">
        <v>3</v>
      </c>
      <c r="F5" s="271">
        <v>8</v>
      </c>
      <c r="G5" s="271">
        <v>33</v>
      </c>
      <c r="H5" s="691">
        <v>0</v>
      </c>
      <c r="I5" s="691">
        <v>0</v>
      </c>
      <c r="J5" s="691">
        <v>1</v>
      </c>
      <c r="K5" s="691">
        <v>0</v>
      </c>
      <c r="L5" s="691">
        <v>0</v>
      </c>
      <c r="M5" s="691">
        <v>1</v>
      </c>
      <c r="N5" s="691">
        <v>1</v>
      </c>
      <c r="O5" s="691">
        <v>0</v>
      </c>
      <c r="P5" s="691">
        <v>1</v>
      </c>
      <c r="Q5" s="691">
        <v>0</v>
      </c>
      <c r="R5" s="691">
        <v>5</v>
      </c>
      <c r="S5" s="277">
        <v>48544</v>
      </c>
      <c r="T5" s="281" t="s">
        <v>1041</v>
      </c>
      <c r="U5" s="279" t="s">
        <v>177</v>
      </c>
      <c r="V5" s="277" t="s">
        <v>430</v>
      </c>
      <c r="W5" s="277" t="s">
        <v>168</v>
      </c>
      <c r="X5" s="273" t="s">
        <v>163</v>
      </c>
      <c r="Y5" s="280" t="s">
        <v>182</v>
      </c>
      <c r="Z5" s="273">
        <v>1</v>
      </c>
      <c r="AA5" s="273">
        <v>0</v>
      </c>
      <c r="AB5" s="273">
        <v>0</v>
      </c>
      <c r="AC5" s="287">
        <v>1</v>
      </c>
      <c r="AD5" s="273">
        <v>0</v>
      </c>
      <c r="AE5" s="273">
        <v>0</v>
      </c>
      <c r="AF5" s="273">
        <v>0</v>
      </c>
      <c r="AG5" s="287">
        <v>0</v>
      </c>
      <c r="AH5" s="273">
        <v>1</v>
      </c>
      <c r="AI5" s="273">
        <v>0</v>
      </c>
      <c r="AJ5" s="273">
        <v>0</v>
      </c>
      <c r="AK5" s="287">
        <v>1</v>
      </c>
      <c r="AL5" s="273">
        <v>0</v>
      </c>
      <c r="AM5" s="273">
        <v>0</v>
      </c>
      <c r="AN5" s="273">
        <v>0</v>
      </c>
      <c r="AO5" s="287">
        <v>0</v>
      </c>
      <c r="AQ5" s="216" t="s">
        <v>107</v>
      </c>
      <c r="AR5" s="217">
        <f>Italyalltestshistdrawn</f>
        <v>15</v>
      </c>
      <c r="AT5" s="216" t="s">
        <v>107</v>
      </c>
      <c r="AU5" s="217">
        <f>ItalyRWChistdrawn</f>
        <v>0</v>
      </c>
      <c r="AW5" s="216" t="s">
        <v>107</v>
      </c>
      <c r="AX5" s="217"/>
      <c r="AZ5" s="216" t="s">
        <v>107</v>
      </c>
      <c r="BA5" s="217">
        <f>Italysixnationsdrawn</f>
        <v>2</v>
      </c>
    </row>
    <row r="6" spans="1:53" ht="14.95" customHeight="1" thickBot="1" x14ac:dyDescent="0.3">
      <c r="A6" s="289" t="s">
        <v>870</v>
      </c>
      <c r="B6" s="290" t="s">
        <v>46</v>
      </c>
      <c r="C6" s="290" t="s">
        <v>30</v>
      </c>
      <c r="D6" s="290" t="s">
        <v>86</v>
      </c>
      <c r="E6" s="291" t="s">
        <v>1</v>
      </c>
      <c r="F6" s="291">
        <v>23</v>
      </c>
      <c r="G6" s="291">
        <v>18</v>
      </c>
      <c r="H6" s="692">
        <v>0</v>
      </c>
      <c r="I6" s="692">
        <v>0</v>
      </c>
      <c r="J6" s="692">
        <v>2</v>
      </c>
      <c r="K6" s="692">
        <v>2</v>
      </c>
      <c r="L6" s="692">
        <v>0</v>
      </c>
      <c r="M6" s="692">
        <v>3</v>
      </c>
      <c r="N6" s="692">
        <v>1</v>
      </c>
      <c r="O6" s="692">
        <v>0</v>
      </c>
      <c r="P6" s="692">
        <v>0</v>
      </c>
      <c r="Q6" s="692">
        <v>1</v>
      </c>
      <c r="R6" s="692">
        <v>2</v>
      </c>
      <c r="S6" s="292">
        <v>68985</v>
      </c>
      <c r="T6" s="303" t="s">
        <v>1058</v>
      </c>
      <c r="U6" s="294" t="s">
        <v>194</v>
      </c>
      <c r="V6" s="292" t="s">
        <v>181</v>
      </c>
      <c r="W6" s="292" t="s">
        <v>168</v>
      </c>
      <c r="X6" s="295" t="s">
        <v>190</v>
      </c>
      <c r="Y6" s="296" t="s">
        <v>254</v>
      </c>
      <c r="Z6" s="295">
        <v>1</v>
      </c>
      <c r="AA6" s="295">
        <v>1</v>
      </c>
      <c r="AB6" s="295">
        <v>0</v>
      </c>
      <c r="AC6" s="307">
        <v>0</v>
      </c>
      <c r="AD6" s="295">
        <v>1</v>
      </c>
      <c r="AE6" s="295">
        <v>1</v>
      </c>
      <c r="AF6" s="295">
        <v>0</v>
      </c>
      <c r="AG6" s="307">
        <v>0</v>
      </c>
      <c r="AH6" s="295">
        <v>0</v>
      </c>
      <c r="AI6" s="295">
        <v>0</v>
      </c>
      <c r="AJ6" s="295">
        <v>0</v>
      </c>
      <c r="AK6" s="307">
        <v>0</v>
      </c>
      <c r="AL6" s="295">
        <v>0</v>
      </c>
      <c r="AM6" s="295">
        <v>0</v>
      </c>
      <c r="AN6" s="295">
        <v>0</v>
      </c>
      <c r="AO6" s="307">
        <v>0</v>
      </c>
      <c r="AQ6" s="216" t="s">
        <v>103</v>
      </c>
      <c r="AR6" s="217">
        <f>Italyalltestshistlost</f>
        <v>349</v>
      </c>
      <c r="AT6" s="216" t="s">
        <v>103</v>
      </c>
      <c r="AU6" s="217">
        <f>ItalyRWChistlost</f>
        <v>20</v>
      </c>
      <c r="AW6" s="216" t="s">
        <v>103</v>
      </c>
      <c r="AX6" s="217"/>
      <c r="AZ6" s="216" t="s">
        <v>103</v>
      </c>
      <c r="BA6" s="217">
        <f>Italysixnationslost</f>
        <v>114</v>
      </c>
    </row>
    <row r="7" spans="1:53" ht="14.95" customHeight="1" thickBot="1" x14ac:dyDescent="0.35">
      <c r="A7" s="268" t="s">
        <v>872</v>
      </c>
      <c r="B7" s="270" t="s">
        <v>46</v>
      </c>
      <c r="C7" s="270" t="s">
        <v>32</v>
      </c>
      <c r="D7" s="270" t="s">
        <v>84</v>
      </c>
      <c r="E7" s="271"/>
      <c r="F7" s="271"/>
      <c r="G7" s="271"/>
      <c r="H7" s="691"/>
      <c r="I7" s="691"/>
      <c r="J7" s="691"/>
      <c r="K7" s="691"/>
      <c r="L7" s="691"/>
      <c r="M7" s="691"/>
      <c r="N7" s="691"/>
      <c r="O7" s="701"/>
      <c r="P7" s="691"/>
      <c r="Q7" s="691"/>
      <c r="R7" s="691"/>
      <c r="S7" s="277"/>
      <c r="T7" s="278"/>
      <c r="U7" s="279"/>
      <c r="V7" s="277"/>
      <c r="W7" s="277"/>
      <c r="X7" s="273"/>
      <c r="Y7" s="280"/>
      <c r="Z7" s="273"/>
      <c r="AA7" s="273"/>
      <c r="AB7" s="273"/>
      <c r="AC7" s="287"/>
      <c r="AD7" s="273"/>
      <c r="AE7" s="273"/>
      <c r="AF7" s="273"/>
      <c r="AG7" s="287"/>
      <c r="AH7" s="273"/>
      <c r="AI7" s="273"/>
      <c r="AJ7" s="273"/>
      <c r="AK7" s="287"/>
      <c r="AL7" s="273"/>
      <c r="AM7" s="273"/>
      <c r="AN7" s="273"/>
      <c r="AO7" s="287"/>
      <c r="AQ7" s="216" t="s">
        <v>108</v>
      </c>
      <c r="AR7" s="217">
        <f>Italyalltestshistptsscored</f>
        <v>10089</v>
      </c>
      <c r="AT7" s="216" t="s">
        <v>108</v>
      </c>
      <c r="AU7" s="217">
        <f>ItalyRWChistptsscored</f>
        <v>741</v>
      </c>
      <c r="AW7" s="216" t="s">
        <v>108</v>
      </c>
      <c r="AX7" s="217"/>
      <c r="AZ7" s="216" t="s">
        <v>108</v>
      </c>
      <c r="BA7" s="217">
        <f>Italysixnationsptsscored</f>
        <v>1968</v>
      </c>
    </row>
    <row r="8" spans="1:53" ht="14.95" customHeight="1" thickBot="1" x14ac:dyDescent="0.35">
      <c r="A8" s="268" t="s">
        <v>873</v>
      </c>
      <c r="B8" s="270" t="s">
        <v>876</v>
      </c>
      <c r="C8" s="270" t="s">
        <v>36</v>
      </c>
      <c r="D8" s="270" t="s">
        <v>1042</v>
      </c>
      <c r="E8" s="271"/>
      <c r="F8" s="271"/>
      <c r="G8" s="271"/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277"/>
      <c r="T8" s="278"/>
      <c r="U8" s="279"/>
      <c r="V8" s="277"/>
      <c r="W8" s="279"/>
      <c r="X8" s="279"/>
      <c r="Y8" s="279"/>
      <c r="Z8" s="279"/>
      <c r="AA8" s="273"/>
      <c r="AB8" s="273"/>
      <c r="AC8" s="287"/>
      <c r="AD8" s="273"/>
      <c r="AE8" s="273"/>
      <c r="AF8" s="273"/>
      <c r="AG8" s="287"/>
      <c r="AH8" s="273"/>
      <c r="AI8" s="273"/>
      <c r="AJ8" s="273"/>
      <c r="AK8" s="287"/>
      <c r="AL8" s="273"/>
      <c r="AM8" s="273"/>
      <c r="AN8" s="273"/>
      <c r="AO8" s="287"/>
      <c r="AQ8" s="216" t="s">
        <v>109</v>
      </c>
      <c r="AR8" s="217">
        <f>Italyalltestshistptsagainst</f>
        <v>13820</v>
      </c>
      <c r="AT8" s="216" t="s">
        <v>109</v>
      </c>
      <c r="AU8" s="217">
        <f>ItalyRWChistptsagainst</f>
        <v>1158</v>
      </c>
      <c r="AW8" s="216" t="s">
        <v>109</v>
      </c>
      <c r="AX8" s="217"/>
      <c r="AZ8" s="216" t="s">
        <v>109</v>
      </c>
      <c r="BA8" s="217">
        <f>Italysixnationsptsconceded</f>
        <v>4510</v>
      </c>
    </row>
    <row r="9" spans="1:53" ht="14.95" customHeight="1" thickBot="1" x14ac:dyDescent="0.3">
      <c r="A9" s="268" t="s">
        <v>875</v>
      </c>
      <c r="B9" s="270" t="s">
        <v>876</v>
      </c>
      <c r="C9" s="270" t="s">
        <v>90</v>
      </c>
      <c r="D9" s="270" t="s">
        <v>242</v>
      </c>
      <c r="E9" s="271"/>
      <c r="F9" s="271"/>
      <c r="G9" s="27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277"/>
      <c r="T9" s="281"/>
      <c r="U9" s="279"/>
      <c r="V9" s="277"/>
      <c r="W9" s="279"/>
      <c r="X9" s="273"/>
      <c r="Y9" s="280"/>
      <c r="Z9" s="273"/>
      <c r="AA9" s="273"/>
      <c r="AB9" s="273"/>
      <c r="AC9" s="287"/>
      <c r="AD9" s="273"/>
      <c r="AE9" s="273"/>
      <c r="AF9" s="273"/>
      <c r="AG9" s="287"/>
      <c r="AH9" s="273"/>
      <c r="AI9" s="273"/>
      <c r="AJ9" s="273"/>
      <c r="AK9" s="287"/>
      <c r="AL9" s="273"/>
      <c r="AM9" s="273"/>
      <c r="AN9" s="273"/>
      <c r="AO9" s="287"/>
      <c r="AQ9" s="216" t="s">
        <v>100</v>
      </c>
      <c r="AR9" s="217">
        <f>Italyalltestshisttriesscored</f>
        <v>1128</v>
      </c>
      <c r="AT9" s="216" t="s">
        <v>100</v>
      </c>
      <c r="AU9" s="217">
        <f>ItalyRWChisttriesscored</f>
        <v>83</v>
      </c>
      <c r="AW9" s="216" t="s">
        <v>100</v>
      </c>
      <c r="AX9" s="217"/>
      <c r="AZ9" s="216" t="s">
        <v>100</v>
      </c>
      <c r="BA9" s="217">
        <f>Italysixnationstriesscored</f>
        <v>184</v>
      </c>
    </row>
    <row r="10" spans="1:53" ht="14.95" customHeight="1" thickBot="1" x14ac:dyDescent="0.3">
      <c r="A10" s="268" t="s">
        <v>498</v>
      </c>
      <c r="B10" s="270" t="s">
        <v>876</v>
      </c>
      <c r="C10" s="270" t="s">
        <v>29</v>
      </c>
      <c r="D10" s="270" t="s">
        <v>703</v>
      </c>
      <c r="E10" s="271"/>
      <c r="F10" s="271"/>
      <c r="G10" s="27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277"/>
      <c r="T10" s="281"/>
      <c r="U10" s="279"/>
      <c r="V10" s="277"/>
      <c r="W10" s="279"/>
      <c r="X10" s="273"/>
      <c r="Y10" s="280"/>
      <c r="Z10" s="273"/>
      <c r="AA10" s="273"/>
      <c r="AB10" s="273"/>
      <c r="AC10" s="287"/>
      <c r="AD10" s="273"/>
      <c r="AE10" s="273"/>
      <c r="AF10" s="273"/>
      <c r="AG10" s="287"/>
      <c r="AH10" s="273"/>
      <c r="AI10" s="273"/>
      <c r="AJ10" s="273"/>
      <c r="AK10" s="287"/>
      <c r="AL10" s="273"/>
      <c r="AM10" s="273"/>
      <c r="AN10" s="273"/>
      <c r="AO10" s="287"/>
    </row>
    <row r="11" spans="1:53" ht="14.95" customHeight="1" thickBot="1" x14ac:dyDescent="0.3">
      <c r="A11" s="289" t="s">
        <v>1068</v>
      </c>
      <c r="B11" s="290" t="s">
        <v>876</v>
      </c>
      <c r="C11" s="305" t="s">
        <v>138</v>
      </c>
      <c r="D11" s="305" t="s">
        <v>874</v>
      </c>
      <c r="E11" s="291"/>
      <c r="F11" s="291"/>
      <c r="G11" s="291"/>
      <c r="H11" s="692"/>
      <c r="I11" s="692"/>
      <c r="J11" s="692"/>
      <c r="K11" s="692"/>
      <c r="L11" s="692"/>
      <c r="M11" s="692"/>
      <c r="N11" s="692"/>
      <c r="O11" s="692"/>
      <c r="P11" s="692"/>
      <c r="Q11" s="692"/>
      <c r="R11" s="692"/>
      <c r="S11" s="295"/>
      <c r="T11" s="577"/>
      <c r="U11" s="295"/>
      <c r="V11" s="295"/>
      <c r="W11" s="295"/>
      <c r="X11" s="295"/>
      <c r="Y11" s="295"/>
      <c r="Z11" s="295"/>
      <c r="AA11" s="295"/>
      <c r="AB11" s="295"/>
      <c r="AC11" s="307"/>
      <c r="AD11" s="295"/>
      <c r="AE11" s="295"/>
      <c r="AF11" s="295"/>
      <c r="AG11" s="307"/>
      <c r="AH11" s="295"/>
      <c r="AI11" s="295"/>
      <c r="AJ11" s="295"/>
      <c r="AK11" s="295"/>
      <c r="AL11" s="295"/>
      <c r="AM11" s="295"/>
      <c r="AN11" s="295"/>
      <c r="AO11" s="295"/>
    </row>
    <row r="12" spans="1:53" ht="14.95" customHeight="1" thickBot="1" x14ac:dyDescent="0.3">
      <c r="A12" s="289" t="s">
        <v>1067</v>
      </c>
      <c r="B12" s="290" t="s">
        <v>876</v>
      </c>
      <c r="C12" s="305" t="s">
        <v>37</v>
      </c>
      <c r="D12" s="305" t="s">
        <v>874</v>
      </c>
      <c r="E12" s="306"/>
      <c r="F12" s="291"/>
      <c r="G12" s="291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2"/>
      <c r="S12" s="295"/>
      <c r="T12" s="297"/>
      <c r="U12" s="295"/>
      <c r="V12" s="295"/>
      <c r="W12" s="292"/>
      <c r="X12" s="294"/>
      <c r="Y12" s="295"/>
      <c r="Z12" s="295"/>
      <c r="AA12" s="295"/>
      <c r="AB12" s="295"/>
      <c r="AC12" s="307"/>
      <c r="AD12" s="295"/>
      <c r="AE12" s="295"/>
      <c r="AF12" s="295"/>
      <c r="AG12" s="307"/>
      <c r="AH12" s="295"/>
      <c r="AI12" s="295"/>
      <c r="AJ12" s="295"/>
      <c r="AK12" s="295"/>
      <c r="AL12" s="295"/>
      <c r="AM12" s="295"/>
      <c r="AN12" s="295"/>
      <c r="AO12" s="295"/>
    </row>
    <row r="13" spans="1:53" ht="14.95" customHeight="1" thickBot="1" x14ac:dyDescent="0.3">
      <c r="A13" s="289" t="s">
        <v>881</v>
      </c>
      <c r="B13" s="290" t="s">
        <v>876</v>
      </c>
      <c r="C13" s="308" t="s">
        <v>31</v>
      </c>
      <c r="D13" s="305" t="s">
        <v>874</v>
      </c>
      <c r="E13" s="306"/>
      <c r="F13" s="291"/>
      <c r="G13" s="291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295"/>
      <c r="T13" s="297"/>
      <c r="U13" s="295"/>
      <c r="V13" s="295"/>
      <c r="W13" s="292"/>
      <c r="X13" s="296"/>
      <c r="Y13" s="295"/>
      <c r="Z13" s="295"/>
      <c r="AA13" s="295"/>
      <c r="AB13" s="295"/>
      <c r="AC13" s="307"/>
      <c r="AD13" s="295"/>
      <c r="AE13" s="295"/>
      <c r="AF13" s="295"/>
      <c r="AG13" s="307"/>
      <c r="AH13" s="295"/>
      <c r="AI13" s="295"/>
      <c r="AJ13" s="295"/>
      <c r="AK13" s="295"/>
      <c r="AL13" s="295"/>
      <c r="AM13" s="295"/>
      <c r="AN13" s="295"/>
      <c r="AO13" s="295"/>
    </row>
    <row r="14" spans="1:53" ht="14.95" customHeight="1" thickBot="1" x14ac:dyDescent="0.35">
      <c r="A14" s="882" t="s">
        <v>874</v>
      </c>
      <c r="B14" s="883" t="s">
        <v>879</v>
      </c>
      <c r="C14" s="876"/>
      <c r="D14" s="887" t="s">
        <v>88</v>
      </c>
      <c r="E14" s="891"/>
      <c r="F14" s="878"/>
      <c r="G14" s="878"/>
      <c r="H14" s="879"/>
      <c r="I14" s="879"/>
      <c r="J14" s="879"/>
      <c r="K14" s="879"/>
      <c r="L14" s="879"/>
      <c r="M14" s="879"/>
      <c r="N14" s="879"/>
      <c r="O14" s="879"/>
      <c r="P14" s="879"/>
      <c r="Q14" s="879"/>
      <c r="R14" s="879"/>
      <c r="S14" s="880"/>
      <c r="T14" s="892"/>
      <c r="U14" s="880"/>
      <c r="V14" s="880"/>
      <c r="W14" s="880"/>
      <c r="X14" s="880"/>
      <c r="Y14" s="880"/>
      <c r="Z14" s="880"/>
      <c r="AA14" s="880"/>
      <c r="AB14" s="880"/>
      <c r="AC14" s="881"/>
      <c r="AD14" s="880"/>
      <c r="AE14" s="880"/>
      <c r="AF14" s="880"/>
      <c r="AG14" s="881"/>
      <c r="AH14" s="880"/>
      <c r="AI14" s="880"/>
      <c r="AJ14" s="880"/>
      <c r="AK14" s="880"/>
      <c r="AL14" s="880"/>
      <c r="AM14" s="880"/>
      <c r="AN14" s="880"/>
      <c r="AO14" s="880"/>
    </row>
    <row r="15" spans="1:53" ht="14.95" customHeight="1" thickBot="1" x14ac:dyDescent="0.3">
      <c r="A15" s="179"/>
      <c r="B15" s="180"/>
      <c r="C15" s="1151" t="s">
        <v>82</v>
      </c>
      <c r="D15" s="1152"/>
      <c r="E15" s="1153"/>
      <c r="F15" s="869">
        <f>SUM(F3:F7)</f>
        <v>62</v>
      </c>
      <c r="G15" s="869">
        <f t="shared" ref="G15:R15" si="0">SUM(G3:G7)</f>
        <v>86</v>
      </c>
      <c r="H15" s="869">
        <f t="shared" si="0"/>
        <v>0</v>
      </c>
      <c r="I15" s="869">
        <f t="shared" si="0"/>
        <v>1</v>
      </c>
      <c r="J15" s="869">
        <f t="shared" si="0"/>
        <v>6</v>
      </c>
      <c r="K15" s="869">
        <f t="shared" si="0"/>
        <v>4</v>
      </c>
      <c r="L15" s="869">
        <f t="shared" si="0"/>
        <v>0</v>
      </c>
      <c r="M15" s="869">
        <f t="shared" si="0"/>
        <v>8</v>
      </c>
      <c r="N15" s="869">
        <f t="shared" si="0"/>
        <v>3</v>
      </c>
      <c r="O15" s="869">
        <f t="shared" si="0"/>
        <v>0</v>
      </c>
      <c r="P15" s="869">
        <f t="shared" si="0"/>
        <v>1</v>
      </c>
      <c r="Q15" s="869">
        <f t="shared" si="0"/>
        <v>2</v>
      </c>
      <c r="R15" s="869">
        <f t="shared" si="0"/>
        <v>12</v>
      </c>
      <c r="S15" s="870"/>
      <c r="T15" s="870"/>
      <c r="U15" s="870"/>
      <c r="V15" s="870"/>
      <c r="W15" s="870"/>
      <c r="X15" s="871"/>
      <c r="Y15" s="872" t="s">
        <v>82</v>
      </c>
      <c r="Z15" s="869">
        <f t="shared" ref="Z15:AO15" si="1">SUM(Z3:Z7)</f>
        <v>4</v>
      </c>
      <c r="AA15" s="869">
        <f t="shared" si="1"/>
        <v>2</v>
      </c>
      <c r="AB15" s="869">
        <f t="shared" si="1"/>
        <v>0</v>
      </c>
      <c r="AC15" s="869">
        <f t="shared" si="1"/>
        <v>2</v>
      </c>
      <c r="AD15" s="873">
        <f t="shared" si="1"/>
        <v>2</v>
      </c>
      <c r="AE15" s="873">
        <f t="shared" si="1"/>
        <v>2</v>
      </c>
      <c r="AF15" s="873">
        <f t="shared" si="1"/>
        <v>0</v>
      </c>
      <c r="AG15" s="873">
        <f t="shared" si="1"/>
        <v>0</v>
      </c>
      <c r="AH15" s="874">
        <f t="shared" si="1"/>
        <v>2</v>
      </c>
      <c r="AI15" s="874">
        <f t="shared" si="1"/>
        <v>0</v>
      </c>
      <c r="AJ15" s="874">
        <f t="shared" si="1"/>
        <v>0</v>
      </c>
      <c r="AK15" s="874">
        <f t="shared" si="1"/>
        <v>2</v>
      </c>
      <c r="AL15" s="869">
        <f t="shared" si="1"/>
        <v>0</v>
      </c>
      <c r="AM15" s="869">
        <f t="shared" si="1"/>
        <v>0</v>
      </c>
      <c r="AN15" s="869">
        <f t="shared" si="1"/>
        <v>0</v>
      </c>
      <c r="AO15" s="869">
        <f t="shared" si="1"/>
        <v>0</v>
      </c>
    </row>
    <row r="16" spans="1:53" ht="14.95" customHeight="1" thickBot="1" x14ac:dyDescent="0.3">
      <c r="A16" s="332"/>
      <c r="B16" s="333"/>
      <c r="C16" s="1128" t="s">
        <v>878</v>
      </c>
      <c r="D16" s="1129"/>
      <c r="E16" s="1130"/>
      <c r="F16" s="547">
        <f>SUM(F8:F14)</f>
        <v>0</v>
      </c>
      <c r="G16" s="547">
        <f t="shared" ref="G16:R16" si="2">SUM(G8:G14)</f>
        <v>0</v>
      </c>
      <c r="H16" s="547">
        <f t="shared" si="2"/>
        <v>0</v>
      </c>
      <c r="I16" s="547">
        <f t="shared" si="2"/>
        <v>0</v>
      </c>
      <c r="J16" s="547">
        <f t="shared" si="2"/>
        <v>0</v>
      </c>
      <c r="K16" s="547">
        <f t="shared" si="2"/>
        <v>0</v>
      </c>
      <c r="L16" s="547">
        <f t="shared" si="2"/>
        <v>0</v>
      </c>
      <c r="M16" s="547">
        <f t="shared" si="2"/>
        <v>0</v>
      </c>
      <c r="N16" s="547">
        <f t="shared" si="2"/>
        <v>0</v>
      </c>
      <c r="O16" s="547">
        <f t="shared" si="2"/>
        <v>0</v>
      </c>
      <c r="P16" s="547">
        <f t="shared" si="2"/>
        <v>0</v>
      </c>
      <c r="Q16" s="547">
        <f t="shared" si="2"/>
        <v>0</v>
      </c>
      <c r="R16" s="547">
        <f t="shared" si="2"/>
        <v>0</v>
      </c>
      <c r="S16" s="564"/>
      <c r="T16" s="564"/>
      <c r="U16" s="564"/>
      <c r="V16" s="564"/>
      <c r="W16" s="564"/>
      <c r="X16" s="175"/>
      <c r="Y16" s="250" t="s">
        <v>878</v>
      </c>
      <c r="Z16" s="547">
        <f t="shared" ref="Z16:AO16" si="3">SUM(Z8:Z14)</f>
        <v>0</v>
      </c>
      <c r="AA16" s="547">
        <f t="shared" si="3"/>
        <v>0</v>
      </c>
      <c r="AB16" s="547">
        <f t="shared" si="3"/>
        <v>0</v>
      </c>
      <c r="AC16" s="547">
        <f t="shared" si="3"/>
        <v>0</v>
      </c>
      <c r="AD16" s="549">
        <f t="shared" si="3"/>
        <v>0</v>
      </c>
      <c r="AE16" s="549">
        <f t="shared" si="3"/>
        <v>0</v>
      </c>
      <c r="AF16" s="549">
        <f t="shared" si="3"/>
        <v>0</v>
      </c>
      <c r="AG16" s="549">
        <f t="shared" si="3"/>
        <v>0</v>
      </c>
      <c r="AH16" s="550">
        <f t="shared" si="3"/>
        <v>0</v>
      </c>
      <c r="AI16" s="550">
        <f t="shared" si="3"/>
        <v>0</v>
      </c>
      <c r="AJ16" s="550">
        <f t="shared" si="3"/>
        <v>0</v>
      </c>
      <c r="AK16" s="550">
        <f t="shared" si="3"/>
        <v>0</v>
      </c>
      <c r="AL16" s="547">
        <f t="shared" si="3"/>
        <v>0</v>
      </c>
      <c r="AM16" s="547">
        <f t="shared" si="3"/>
        <v>0</v>
      </c>
      <c r="AN16" s="547">
        <f t="shared" si="3"/>
        <v>0</v>
      </c>
      <c r="AO16" s="547">
        <f t="shared" si="3"/>
        <v>0</v>
      </c>
    </row>
    <row r="17" spans="1:41" ht="14.95" customHeight="1" thickBot="1" x14ac:dyDescent="0.3">
      <c r="A17" s="179"/>
      <c r="B17" s="180"/>
      <c r="C17" s="1087" t="s">
        <v>81</v>
      </c>
      <c r="D17" s="1088"/>
      <c r="E17" s="1089"/>
      <c r="F17" s="231">
        <f t="shared" ref="F17:R17" si="4">SUM(F3:F14)</f>
        <v>62</v>
      </c>
      <c r="G17" s="231">
        <f t="shared" si="4"/>
        <v>86</v>
      </c>
      <c r="H17" s="231">
        <f t="shared" si="4"/>
        <v>0</v>
      </c>
      <c r="I17" s="231">
        <f t="shared" si="4"/>
        <v>1</v>
      </c>
      <c r="J17" s="231">
        <f t="shared" si="4"/>
        <v>6</v>
      </c>
      <c r="K17" s="231">
        <f t="shared" si="4"/>
        <v>4</v>
      </c>
      <c r="L17" s="231">
        <f t="shared" si="4"/>
        <v>0</v>
      </c>
      <c r="M17" s="231">
        <f t="shared" si="4"/>
        <v>8</v>
      </c>
      <c r="N17" s="231">
        <f t="shared" si="4"/>
        <v>3</v>
      </c>
      <c r="O17" s="231">
        <f t="shared" si="4"/>
        <v>0</v>
      </c>
      <c r="P17" s="231">
        <f t="shared" si="4"/>
        <v>1</v>
      </c>
      <c r="Q17" s="231">
        <f t="shared" si="4"/>
        <v>2</v>
      </c>
      <c r="R17" s="231">
        <f t="shared" si="4"/>
        <v>12</v>
      </c>
      <c r="S17" s="228"/>
      <c r="T17" s="228"/>
      <c r="U17" s="228"/>
      <c r="V17" s="228"/>
      <c r="W17" s="228"/>
      <c r="X17" s="13"/>
      <c r="Y17" s="246" t="s">
        <v>81</v>
      </c>
      <c r="Z17" s="231">
        <f t="shared" ref="Z17:AO17" si="5">SUM(Z3:Z14)</f>
        <v>4</v>
      </c>
      <c r="AA17" s="231">
        <f t="shared" si="5"/>
        <v>2</v>
      </c>
      <c r="AB17" s="231">
        <f t="shared" si="5"/>
        <v>0</v>
      </c>
      <c r="AC17" s="231">
        <f t="shared" si="5"/>
        <v>2</v>
      </c>
      <c r="AD17" s="229">
        <f t="shared" si="5"/>
        <v>2</v>
      </c>
      <c r="AE17" s="229">
        <f t="shared" si="5"/>
        <v>2</v>
      </c>
      <c r="AF17" s="229">
        <f t="shared" si="5"/>
        <v>0</v>
      </c>
      <c r="AG17" s="229">
        <f t="shared" si="5"/>
        <v>0</v>
      </c>
      <c r="AH17" s="230">
        <f t="shared" si="5"/>
        <v>2</v>
      </c>
      <c r="AI17" s="230">
        <f t="shared" si="5"/>
        <v>0</v>
      </c>
      <c r="AJ17" s="230">
        <f t="shared" si="5"/>
        <v>0</v>
      </c>
      <c r="AK17" s="230">
        <f t="shared" si="5"/>
        <v>2</v>
      </c>
      <c r="AL17" s="231">
        <f t="shared" si="5"/>
        <v>0</v>
      </c>
      <c r="AM17" s="231">
        <f t="shared" si="5"/>
        <v>0</v>
      </c>
      <c r="AN17" s="231">
        <f t="shared" si="5"/>
        <v>0</v>
      </c>
      <c r="AO17" s="231">
        <f t="shared" si="5"/>
        <v>0</v>
      </c>
    </row>
    <row r="18" spans="1:41" ht="14.95" customHeight="1" x14ac:dyDescent="0.25">
      <c r="A18" s="1108" t="s">
        <v>939</v>
      </c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  <c r="Z18" s="1063"/>
      <c r="AA18" s="1063"/>
      <c r="AB18" s="1063"/>
      <c r="AC18" s="1063"/>
      <c r="AD18" s="1063"/>
      <c r="AE18" s="1063"/>
      <c r="AF18" s="1063"/>
      <c r="AG18" s="1063"/>
      <c r="AH18" s="1063"/>
      <c r="AI18" s="1063"/>
      <c r="AJ18" s="1063"/>
      <c r="AK18" s="1063"/>
      <c r="AL18" s="1063"/>
      <c r="AM18" s="1063"/>
      <c r="AN18" s="1063"/>
      <c r="AO18" s="1063"/>
    </row>
    <row r="19" spans="1:41" ht="14.95" customHeight="1" x14ac:dyDescent="0.25">
      <c r="A19" t="s">
        <v>895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1" ht="14.95" customHeight="1" x14ac:dyDescent="0.25">
      <c r="A20" t="s">
        <v>961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1" ht="14.95" customHeight="1" x14ac:dyDescent="0.25">
      <c r="A21" t="s">
        <v>1043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1" ht="14.95" customHeight="1" x14ac:dyDescent="0.25">
      <c r="A22" s="1108" t="s">
        <v>1044</v>
      </c>
      <c r="B22" s="1063"/>
      <c r="C22" s="1063"/>
      <c r="D22" s="1063"/>
      <c r="E22" s="1063"/>
      <c r="F22" s="1063"/>
      <c r="G22" s="1063"/>
      <c r="H22" s="1063"/>
      <c r="I22" s="1063"/>
      <c r="J22" s="1063"/>
      <c r="K22" s="1063"/>
      <c r="L22" s="1063"/>
      <c r="M22" s="1063"/>
      <c r="N22" s="1063"/>
      <c r="O22" s="1063"/>
      <c r="P22" s="1063"/>
      <c r="Q22" s="1063"/>
      <c r="R22" s="1063"/>
      <c r="S22" s="1063"/>
      <c r="T22" s="1063"/>
      <c r="U22" s="1063"/>
      <c r="V22" s="1063"/>
      <c r="W22" s="1063"/>
      <c r="X22" s="1063"/>
      <c r="Y22" s="1063"/>
      <c r="Z22" s="1063"/>
      <c r="AA22" s="1063"/>
      <c r="AB22" s="1063"/>
      <c r="AC22" s="1063"/>
      <c r="AD22" s="1063"/>
      <c r="AE22" s="1063"/>
      <c r="AF22" s="1063"/>
      <c r="AG22" s="1063"/>
      <c r="AH22" s="1063"/>
      <c r="AI22" s="1063"/>
      <c r="AJ22" s="1063"/>
      <c r="AK22" s="1063"/>
      <c r="AL22" s="1063"/>
      <c r="AM22" s="1063"/>
      <c r="AN22" s="1063"/>
      <c r="AO22" s="1063"/>
    </row>
    <row r="23" spans="1:41" ht="14.95" customHeight="1" x14ac:dyDescent="0.25">
      <c r="A23" s="1108" t="s">
        <v>877</v>
      </c>
      <c r="B23" s="1063"/>
      <c r="C23" s="1063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  <c r="Q23" s="1063"/>
      <c r="R23" s="1063"/>
    </row>
    <row r="24" spans="1:41" ht="14.95" customHeight="1" x14ac:dyDescent="0.25">
      <c r="A24" s="1108" t="s">
        <v>880</v>
      </c>
      <c r="B24" s="1063"/>
      <c r="C24" s="1063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  <c r="O24" s="1063"/>
      <c r="P24" s="1063"/>
      <c r="Q24" s="1063"/>
      <c r="R24" s="1063"/>
      <c r="S24" s="1063"/>
      <c r="T24" s="1063"/>
      <c r="U24" s="1063"/>
      <c r="V24" s="1063"/>
      <c r="W24" s="1063"/>
      <c r="X24" s="1063"/>
      <c r="Y24" s="1063"/>
      <c r="Z24" s="1063"/>
      <c r="AA24" s="1063"/>
      <c r="AB24" s="1063"/>
      <c r="AC24" s="1063"/>
      <c r="AD24" s="1063"/>
      <c r="AE24" s="1063"/>
      <c r="AF24" s="1063"/>
      <c r="AG24" s="1063"/>
      <c r="AH24" s="1063"/>
      <c r="AI24" s="1063"/>
      <c r="AJ24" s="1063"/>
      <c r="AK24" s="1063"/>
      <c r="AL24" s="1063"/>
      <c r="AM24" s="1063"/>
      <c r="AN24" s="1063"/>
      <c r="AO24" s="1063"/>
    </row>
    <row r="25" spans="1:41" ht="14.95" customHeight="1" x14ac:dyDescent="0.25">
      <c r="A25" t="s">
        <v>133</v>
      </c>
    </row>
    <row r="26" spans="1:41" ht="14.95" customHeight="1" x14ac:dyDescent="0.25">
      <c r="A26" s="376"/>
      <c r="B26" t="s">
        <v>44</v>
      </c>
    </row>
    <row r="27" spans="1:41" ht="14.95" customHeight="1" x14ac:dyDescent="0.25">
      <c r="A27" s="377"/>
      <c r="B27" t="s">
        <v>42</v>
      </c>
    </row>
    <row r="28" spans="1:41" ht="14.95" customHeight="1" x14ac:dyDescent="0.25">
      <c r="A28" s="378"/>
      <c r="B28" t="s">
        <v>43</v>
      </c>
    </row>
    <row r="29" spans="1:41" ht="14.95" customHeight="1" x14ac:dyDescent="0.3">
      <c r="A29" s="792" t="s">
        <v>28</v>
      </c>
    </row>
  </sheetData>
  <mergeCells count="17">
    <mergeCell ref="P1:R1"/>
    <mergeCell ref="A1:C1"/>
    <mergeCell ref="A23:R23"/>
    <mergeCell ref="E1:G1"/>
    <mergeCell ref="H1:I1"/>
    <mergeCell ref="A24:AO24"/>
    <mergeCell ref="J1:M1"/>
    <mergeCell ref="A18:AO18"/>
    <mergeCell ref="N1:O1"/>
    <mergeCell ref="C16:E16"/>
    <mergeCell ref="A22:AO22"/>
    <mergeCell ref="Z1:AC1"/>
    <mergeCell ref="AD1:AG1"/>
    <mergeCell ref="AH1:AK1"/>
    <mergeCell ref="AL1:AO1"/>
    <mergeCell ref="C15:E15"/>
    <mergeCell ref="C17:E17"/>
  </mergeCells>
  <pageMargins left="0.7" right="0.7" top="0.75" bottom="0.75" header="0.3" footer="0.3"/>
  <pageSetup paperSize="9" orientation="portrait" r:id="rId1"/>
  <ignoredErrors>
    <ignoredError sqref="S15:Y15 F15:R15 Z15:AO15" formulaRange="1"/>
    <ignoredError sqref="T5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U29"/>
  <sheetViews>
    <sheetView zoomScale="90" zoomScaleNormal="90" workbookViewId="0">
      <pane ySplit="2" topLeftCell="A3" activePane="bottomLeft" state="frozen"/>
      <selection activeCell="T8" sqref="T8"/>
      <selection pane="bottomLeft" activeCell="T23" sqref="T23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0.25" bestFit="1" customWidth="1"/>
    <col min="22" max="22" width="28.375" bestFit="1" customWidth="1"/>
    <col min="23" max="23" width="21.625" bestFit="1" customWidth="1"/>
    <col min="24" max="24" width="20.25" bestFit="1" customWidth="1"/>
    <col min="25" max="25" width="23.125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239" t="s">
        <v>404</v>
      </c>
      <c r="B1" s="1240"/>
      <c r="C1" s="1240"/>
      <c r="D1" s="610"/>
      <c r="E1" s="1241" t="s">
        <v>24</v>
      </c>
      <c r="F1" s="1242"/>
      <c r="G1" s="1243"/>
      <c r="H1" s="1241" t="s">
        <v>23</v>
      </c>
      <c r="I1" s="1243"/>
      <c r="J1" s="1236" t="s">
        <v>6</v>
      </c>
      <c r="K1" s="1237"/>
      <c r="L1" s="1237"/>
      <c r="M1" s="1238"/>
      <c r="N1" s="1236" t="s">
        <v>7</v>
      </c>
      <c r="O1" s="1238"/>
      <c r="P1" s="1236" t="s">
        <v>25</v>
      </c>
      <c r="Q1" s="1237"/>
      <c r="R1" s="1238"/>
      <c r="S1" s="611" t="s">
        <v>8</v>
      </c>
      <c r="T1" s="611" t="s">
        <v>9</v>
      </c>
      <c r="U1" s="784" t="s">
        <v>10</v>
      </c>
      <c r="V1" s="611" t="s">
        <v>11</v>
      </c>
      <c r="W1" s="784" t="s">
        <v>211</v>
      </c>
      <c r="X1" s="793" t="s">
        <v>26</v>
      </c>
      <c r="Y1" s="794" t="s">
        <v>27</v>
      </c>
      <c r="Z1" s="1233" t="s">
        <v>20</v>
      </c>
      <c r="AA1" s="1234"/>
      <c r="AB1" s="1234"/>
      <c r="AC1" s="1235"/>
      <c r="AD1" s="1233" t="s">
        <v>61</v>
      </c>
      <c r="AE1" s="1234"/>
      <c r="AF1" s="1234"/>
      <c r="AG1" s="1235"/>
      <c r="AH1" s="1233" t="s">
        <v>62</v>
      </c>
      <c r="AI1" s="1234"/>
      <c r="AJ1" s="1234"/>
      <c r="AK1" s="1235"/>
      <c r="AL1" s="1233" t="s">
        <v>63</v>
      </c>
      <c r="AM1" s="1234"/>
      <c r="AN1" s="1234"/>
      <c r="AO1" s="1235"/>
      <c r="AQ1" s="623" t="s">
        <v>119</v>
      </c>
      <c r="AR1" s="218"/>
      <c r="AS1" s="218"/>
      <c r="AT1" s="623" t="s">
        <v>119</v>
      </c>
    </row>
    <row r="2" spans="1:47" ht="14.95" customHeight="1" thickBot="1" x14ac:dyDescent="0.35">
      <c r="A2" s="612" t="s">
        <v>19</v>
      </c>
      <c r="B2" s="604" t="s">
        <v>18</v>
      </c>
      <c r="C2" s="613" t="s">
        <v>17</v>
      </c>
      <c r="D2" s="613" t="s">
        <v>41</v>
      </c>
      <c r="E2" s="614" t="s">
        <v>16</v>
      </c>
      <c r="F2" s="614" t="s">
        <v>4</v>
      </c>
      <c r="G2" s="614" t="s">
        <v>5</v>
      </c>
      <c r="H2" s="615" t="s">
        <v>12</v>
      </c>
      <c r="I2" s="615" t="s">
        <v>3</v>
      </c>
      <c r="J2" s="615" t="s">
        <v>12</v>
      </c>
      <c r="K2" s="615" t="s">
        <v>13</v>
      </c>
      <c r="L2" s="615" t="s">
        <v>2</v>
      </c>
      <c r="M2" s="615" t="s">
        <v>14</v>
      </c>
      <c r="N2" s="615" t="s">
        <v>15</v>
      </c>
      <c r="O2" s="615" t="s">
        <v>16</v>
      </c>
      <c r="P2" s="615" t="s">
        <v>21</v>
      </c>
      <c r="Q2" s="615" t="s">
        <v>22</v>
      </c>
      <c r="R2" s="615" t="s">
        <v>12</v>
      </c>
      <c r="S2" s="616"/>
      <c r="T2" s="617"/>
      <c r="U2" s="618"/>
      <c r="V2" s="616"/>
      <c r="W2" s="619"/>
      <c r="X2" s="620"/>
      <c r="Y2" s="621"/>
      <c r="Z2" s="622" t="s">
        <v>0</v>
      </c>
      <c r="AA2" s="622" t="s">
        <v>1</v>
      </c>
      <c r="AB2" s="622" t="s">
        <v>2</v>
      </c>
      <c r="AC2" s="622" t="s">
        <v>3</v>
      </c>
      <c r="AD2" s="622" t="s">
        <v>0</v>
      </c>
      <c r="AE2" s="622" t="s">
        <v>1</v>
      </c>
      <c r="AF2" s="622" t="s">
        <v>2</v>
      </c>
      <c r="AG2" s="622" t="s">
        <v>3</v>
      </c>
      <c r="AH2" s="622" t="s">
        <v>0</v>
      </c>
      <c r="AI2" s="622" t="s">
        <v>1</v>
      </c>
      <c r="AJ2" s="622" t="s">
        <v>2</v>
      </c>
      <c r="AK2" s="622" t="s">
        <v>3</v>
      </c>
      <c r="AL2" s="622" t="s">
        <v>0</v>
      </c>
      <c r="AM2" s="622" t="s">
        <v>1</v>
      </c>
      <c r="AN2" s="622" t="s">
        <v>2</v>
      </c>
      <c r="AO2" s="622" t="s">
        <v>3</v>
      </c>
      <c r="AP2" s="709"/>
      <c r="AQ2" s="205" t="s">
        <v>81</v>
      </c>
      <c r="AR2" s="138"/>
      <c r="AT2" s="225" t="s">
        <v>99</v>
      </c>
      <c r="AU2" s="138"/>
    </row>
    <row r="3" spans="1:47" ht="14.95" customHeight="1" thickBot="1" x14ac:dyDescent="0.3">
      <c r="A3" s="289" t="s">
        <v>229</v>
      </c>
      <c r="B3" s="344" t="s">
        <v>45</v>
      </c>
      <c r="C3" s="290" t="s">
        <v>32</v>
      </c>
      <c r="D3" s="290" t="s">
        <v>342</v>
      </c>
      <c r="E3" s="291" t="s">
        <v>1</v>
      </c>
      <c r="F3" s="291">
        <v>24</v>
      </c>
      <c r="G3" s="291">
        <v>19</v>
      </c>
      <c r="H3" s="692" t="s">
        <v>80</v>
      </c>
      <c r="I3" s="692" t="s">
        <v>80</v>
      </c>
      <c r="J3" s="692">
        <v>3</v>
      </c>
      <c r="K3" s="692">
        <v>3</v>
      </c>
      <c r="L3" s="692">
        <v>0</v>
      </c>
      <c r="M3" s="692">
        <v>1</v>
      </c>
      <c r="N3" s="692">
        <v>1</v>
      </c>
      <c r="O3" s="692">
        <v>0</v>
      </c>
      <c r="P3" s="692" t="s">
        <v>80</v>
      </c>
      <c r="Q3" s="692" t="s">
        <v>80</v>
      </c>
      <c r="R3" s="692">
        <v>2</v>
      </c>
      <c r="S3" s="292">
        <v>13487</v>
      </c>
      <c r="T3" s="303" t="s">
        <v>414</v>
      </c>
      <c r="U3" s="294" t="s">
        <v>241</v>
      </c>
      <c r="V3" s="292" t="s">
        <v>196</v>
      </c>
      <c r="W3" s="292" t="s">
        <v>234</v>
      </c>
      <c r="X3" s="295" t="s">
        <v>161</v>
      </c>
      <c r="Y3" s="296" t="s">
        <v>163</v>
      </c>
      <c r="Z3" s="295">
        <v>1</v>
      </c>
      <c r="AA3" s="295">
        <v>1</v>
      </c>
      <c r="AB3" s="295">
        <v>0</v>
      </c>
      <c r="AC3" s="307">
        <v>0</v>
      </c>
      <c r="AD3" s="295">
        <v>1</v>
      </c>
      <c r="AE3" s="295">
        <v>1</v>
      </c>
      <c r="AF3" s="295">
        <v>0</v>
      </c>
      <c r="AG3" s="295">
        <v>0</v>
      </c>
      <c r="AH3" s="295">
        <v>0</v>
      </c>
      <c r="AI3" s="295">
        <v>0</v>
      </c>
      <c r="AJ3" s="295">
        <v>0</v>
      </c>
      <c r="AK3" s="295">
        <v>0</v>
      </c>
      <c r="AL3" s="295">
        <v>0</v>
      </c>
      <c r="AM3" s="295">
        <v>0</v>
      </c>
      <c r="AN3" s="295">
        <v>0</v>
      </c>
      <c r="AO3" s="295">
        <v>0</v>
      </c>
      <c r="AQ3" s="214" t="s">
        <v>101</v>
      </c>
      <c r="AR3" s="215">
        <f>Japanalltestshistplayed</f>
        <v>399</v>
      </c>
      <c r="AT3" s="214" t="s">
        <v>101</v>
      </c>
      <c r="AU3" s="215">
        <f>JapanRWChistplayed</f>
        <v>37</v>
      </c>
    </row>
    <row r="4" spans="1:47" ht="14.95" customHeight="1" thickBot="1" x14ac:dyDescent="0.3">
      <c r="A4" s="289" t="s">
        <v>232</v>
      </c>
      <c r="B4" s="344" t="s">
        <v>45</v>
      </c>
      <c r="C4" s="290" t="s">
        <v>32</v>
      </c>
      <c r="D4" s="290" t="s">
        <v>343</v>
      </c>
      <c r="E4" s="291" t="s">
        <v>3</v>
      </c>
      <c r="F4" s="291">
        <v>22</v>
      </c>
      <c r="G4" s="291">
        <v>31</v>
      </c>
      <c r="H4" s="692" t="s">
        <v>80</v>
      </c>
      <c r="I4" s="692" t="s">
        <v>80</v>
      </c>
      <c r="J4" s="692">
        <v>3</v>
      </c>
      <c r="K4" s="692">
        <v>2</v>
      </c>
      <c r="L4" s="692">
        <v>0</v>
      </c>
      <c r="M4" s="692">
        <v>1</v>
      </c>
      <c r="N4" s="692">
        <v>1</v>
      </c>
      <c r="O4" s="692">
        <v>0</v>
      </c>
      <c r="P4" s="692" t="s">
        <v>80</v>
      </c>
      <c r="Q4" s="692" t="s">
        <v>80</v>
      </c>
      <c r="R4" s="692">
        <v>4</v>
      </c>
      <c r="S4" s="292">
        <v>25074</v>
      </c>
      <c r="T4" s="293" t="s">
        <v>446</v>
      </c>
      <c r="U4" s="296" t="s">
        <v>163</v>
      </c>
      <c r="V4" s="292" t="s">
        <v>234</v>
      </c>
      <c r="W4" s="292" t="s">
        <v>196</v>
      </c>
      <c r="X4" s="295" t="s">
        <v>161</v>
      </c>
      <c r="Y4" s="294" t="s">
        <v>241</v>
      </c>
      <c r="Z4" s="295">
        <v>1</v>
      </c>
      <c r="AA4" s="295">
        <v>0</v>
      </c>
      <c r="AB4" s="295">
        <v>0</v>
      </c>
      <c r="AC4" s="307">
        <v>1</v>
      </c>
      <c r="AD4" s="295">
        <v>1</v>
      </c>
      <c r="AE4" s="295">
        <v>0</v>
      </c>
      <c r="AF4" s="295">
        <v>0</v>
      </c>
      <c r="AG4" s="307">
        <v>1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Japanalltestshistwon</f>
        <v>172</v>
      </c>
      <c r="AT4" s="216" t="s">
        <v>102</v>
      </c>
      <c r="AU4" s="217">
        <f>JapanRWChistwon</f>
        <v>10</v>
      </c>
    </row>
    <row r="5" spans="1:47" ht="14.95" customHeight="1" thickBot="1" x14ac:dyDescent="0.35">
      <c r="A5" s="289" t="s">
        <v>249</v>
      </c>
      <c r="B5" s="344" t="s">
        <v>257</v>
      </c>
      <c r="C5" s="290" t="s">
        <v>40</v>
      </c>
      <c r="D5" s="290" t="s">
        <v>592</v>
      </c>
      <c r="E5" s="291" t="s">
        <v>1</v>
      </c>
      <c r="F5" s="291">
        <v>57</v>
      </c>
      <c r="G5" s="291">
        <v>15</v>
      </c>
      <c r="H5" s="692">
        <v>1</v>
      </c>
      <c r="I5" s="692">
        <v>0</v>
      </c>
      <c r="J5" s="692">
        <v>8</v>
      </c>
      <c r="K5" s="692">
        <v>7</v>
      </c>
      <c r="L5" s="692">
        <v>0</v>
      </c>
      <c r="M5" s="692">
        <v>1</v>
      </c>
      <c r="N5" s="692">
        <v>1</v>
      </c>
      <c r="O5" s="692">
        <v>0</v>
      </c>
      <c r="P5" s="692">
        <v>0</v>
      </c>
      <c r="Q5" s="692">
        <v>0</v>
      </c>
      <c r="R5" s="692">
        <v>2</v>
      </c>
      <c r="S5" s="292">
        <v>11187</v>
      </c>
      <c r="T5" s="302" t="s">
        <v>589</v>
      </c>
      <c r="U5" s="294" t="s">
        <v>164</v>
      </c>
      <c r="V5" s="292" t="s">
        <v>234</v>
      </c>
      <c r="W5" s="292" t="s">
        <v>157</v>
      </c>
      <c r="X5" s="292" t="s">
        <v>170</v>
      </c>
      <c r="Y5" s="295" t="s">
        <v>237</v>
      </c>
      <c r="Z5" s="295">
        <v>1</v>
      </c>
      <c r="AA5" s="295">
        <v>1</v>
      </c>
      <c r="AB5" s="295">
        <v>0</v>
      </c>
      <c r="AC5" s="307">
        <v>0</v>
      </c>
      <c r="AD5" s="295">
        <v>1</v>
      </c>
      <c r="AE5" s="295">
        <v>1</v>
      </c>
      <c r="AF5" s="295">
        <v>0</v>
      </c>
      <c r="AG5" s="307">
        <v>0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Japanalltestshistdrawn</f>
        <v>10</v>
      </c>
      <c r="AT5" s="216" t="s">
        <v>107</v>
      </c>
      <c r="AU5" s="217">
        <f>JapanRWChistdrawn</f>
        <v>2</v>
      </c>
    </row>
    <row r="6" spans="1:47" ht="14.95" customHeight="1" thickBot="1" x14ac:dyDescent="0.35">
      <c r="A6" s="268" t="s">
        <v>253</v>
      </c>
      <c r="B6" s="282" t="s">
        <v>257</v>
      </c>
      <c r="C6" s="270" t="s">
        <v>60</v>
      </c>
      <c r="D6" s="270" t="s">
        <v>626</v>
      </c>
      <c r="E6" s="271" t="s">
        <v>1</v>
      </c>
      <c r="F6" s="271">
        <v>47</v>
      </c>
      <c r="G6" s="271">
        <v>21</v>
      </c>
      <c r="H6" s="691">
        <v>1</v>
      </c>
      <c r="I6" s="691">
        <v>0</v>
      </c>
      <c r="J6" s="691">
        <v>7</v>
      </c>
      <c r="K6" s="691">
        <v>6</v>
      </c>
      <c r="L6" s="691">
        <v>0</v>
      </c>
      <c r="M6" s="691">
        <v>0</v>
      </c>
      <c r="N6" s="691">
        <v>0</v>
      </c>
      <c r="O6" s="691">
        <v>0</v>
      </c>
      <c r="P6" s="691">
        <v>0</v>
      </c>
      <c r="Q6" s="691">
        <v>0</v>
      </c>
      <c r="R6" s="691">
        <v>3</v>
      </c>
      <c r="S6" s="273">
        <v>6079</v>
      </c>
      <c r="T6" s="316" t="s">
        <v>629</v>
      </c>
      <c r="U6" s="273" t="s">
        <v>186</v>
      </c>
      <c r="V6" s="273" t="s">
        <v>256</v>
      </c>
      <c r="W6" s="273" t="s">
        <v>157</v>
      </c>
      <c r="X6" s="273" t="s">
        <v>241</v>
      </c>
      <c r="Y6" s="273" t="s">
        <v>464</v>
      </c>
      <c r="Z6" s="273">
        <v>1</v>
      </c>
      <c r="AA6" s="273">
        <v>1</v>
      </c>
      <c r="AB6" s="273">
        <v>0</v>
      </c>
      <c r="AC6" s="287">
        <v>0</v>
      </c>
      <c r="AD6" s="273">
        <v>0</v>
      </c>
      <c r="AE6" s="273">
        <v>0</v>
      </c>
      <c r="AF6" s="273">
        <v>0</v>
      </c>
      <c r="AG6" s="287">
        <v>0</v>
      </c>
      <c r="AH6" s="273">
        <v>1</v>
      </c>
      <c r="AI6" s="273">
        <v>1</v>
      </c>
      <c r="AJ6" s="273">
        <v>0</v>
      </c>
      <c r="AK6" s="287">
        <v>0</v>
      </c>
      <c r="AL6" s="273">
        <v>0</v>
      </c>
      <c r="AM6" s="273">
        <v>0</v>
      </c>
      <c r="AN6" s="273">
        <v>0</v>
      </c>
      <c r="AO6" s="287">
        <v>0</v>
      </c>
      <c r="AQ6" s="216" t="s">
        <v>103</v>
      </c>
      <c r="AR6" s="217">
        <f>Japanalltestshistlost</f>
        <v>217</v>
      </c>
      <c r="AT6" s="216" t="s">
        <v>103</v>
      </c>
      <c r="AU6" s="217">
        <f>JapanRWChistlost</f>
        <v>25</v>
      </c>
    </row>
    <row r="7" spans="1:47" ht="14.95" customHeight="1" thickBot="1" x14ac:dyDescent="0.35">
      <c r="A7" s="318" t="s">
        <v>179</v>
      </c>
      <c r="B7" s="375" t="s">
        <v>226</v>
      </c>
      <c r="C7" s="319" t="s">
        <v>91</v>
      </c>
      <c r="D7" s="319" t="s">
        <v>642</v>
      </c>
      <c r="E7" s="314" t="s">
        <v>1</v>
      </c>
      <c r="F7" s="314">
        <v>62</v>
      </c>
      <c r="G7" s="314">
        <v>24</v>
      </c>
      <c r="H7" s="699" t="s">
        <v>80</v>
      </c>
      <c r="I7" s="699" t="s">
        <v>80</v>
      </c>
      <c r="J7" s="699">
        <v>8</v>
      </c>
      <c r="K7" s="699">
        <v>7</v>
      </c>
      <c r="L7" s="699">
        <v>0</v>
      </c>
      <c r="M7" s="699">
        <v>2</v>
      </c>
      <c r="N7" s="699">
        <v>0</v>
      </c>
      <c r="O7" s="699">
        <v>0</v>
      </c>
      <c r="P7" s="699" t="s">
        <v>80</v>
      </c>
      <c r="Q7" s="699" t="s">
        <v>80</v>
      </c>
      <c r="R7" s="699">
        <v>4</v>
      </c>
      <c r="S7" s="320">
        <v>6452</v>
      </c>
      <c r="T7" s="323" t="s">
        <v>655</v>
      </c>
      <c r="U7" s="321" t="s">
        <v>194</v>
      </c>
      <c r="V7" s="320" t="s">
        <v>215</v>
      </c>
      <c r="W7" s="320" t="s">
        <v>256</v>
      </c>
      <c r="X7" s="317" t="s">
        <v>177</v>
      </c>
      <c r="Y7" s="322" t="s">
        <v>464</v>
      </c>
      <c r="Z7" s="317">
        <v>1</v>
      </c>
      <c r="AA7" s="317">
        <v>1</v>
      </c>
      <c r="AB7" s="317">
        <v>0</v>
      </c>
      <c r="AC7" s="725">
        <v>0</v>
      </c>
      <c r="AD7" s="317">
        <v>0</v>
      </c>
      <c r="AE7" s="317">
        <v>0</v>
      </c>
      <c r="AF7" s="317">
        <v>0</v>
      </c>
      <c r="AG7" s="725">
        <v>0</v>
      </c>
      <c r="AH7" s="317">
        <v>0</v>
      </c>
      <c r="AI7" s="317">
        <v>0</v>
      </c>
      <c r="AJ7" s="317">
        <v>0</v>
      </c>
      <c r="AK7" s="725">
        <v>0</v>
      </c>
      <c r="AL7" s="317">
        <v>1</v>
      </c>
      <c r="AM7" s="317">
        <v>1</v>
      </c>
      <c r="AN7" s="317">
        <v>0</v>
      </c>
      <c r="AO7" s="725">
        <v>0</v>
      </c>
      <c r="AQ7" s="216" t="s">
        <v>108</v>
      </c>
      <c r="AR7" s="217">
        <f>Japanalltestshistptsscored</f>
        <v>11138</v>
      </c>
      <c r="AT7" s="216" t="s">
        <v>108</v>
      </c>
      <c r="AU7" s="217">
        <f>JapanRWChistptsscored</f>
        <v>753</v>
      </c>
    </row>
    <row r="8" spans="1:47" ht="14.95" customHeight="1" thickBot="1" x14ac:dyDescent="0.3">
      <c r="A8" s="289" t="s">
        <v>666</v>
      </c>
      <c r="B8" s="344" t="s">
        <v>227</v>
      </c>
      <c r="C8" s="290" t="s">
        <v>31</v>
      </c>
      <c r="D8" s="290" t="s">
        <v>667</v>
      </c>
      <c r="E8" s="291" t="s">
        <v>3</v>
      </c>
      <c r="F8" s="291">
        <v>27</v>
      </c>
      <c r="G8" s="291">
        <v>33</v>
      </c>
      <c r="H8" s="692" t="s">
        <v>80</v>
      </c>
      <c r="I8" s="692" t="s">
        <v>80</v>
      </c>
      <c r="J8" s="692">
        <v>3</v>
      </c>
      <c r="K8" s="692">
        <v>3</v>
      </c>
      <c r="L8" s="692">
        <v>0</v>
      </c>
      <c r="M8" s="692">
        <v>2</v>
      </c>
      <c r="N8" s="692">
        <v>0</v>
      </c>
      <c r="O8" s="692">
        <v>0</v>
      </c>
      <c r="P8" s="692" t="s">
        <v>80</v>
      </c>
      <c r="Q8" s="692" t="s">
        <v>80</v>
      </c>
      <c r="R8" s="692">
        <v>5</v>
      </c>
      <c r="S8" s="292">
        <v>8000</v>
      </c>
      <c r="T8" s="293" t="s">
        <v>677</v>
      </c>
      <c r="U8" s="294" t="s">
        <v>241</v>
      </c>
      <c r="V8" s="292" t="s">
        <v>215</v>
      </c>
      <c r="W8" s="292" t="s">
        <v>235</v>
      </c>
      <c r="X8" s="295" t="s">
        <v>163</v>
      </c>
      <c r="Y8" s="296" t="s">
        <v>464</v>
      </c>
      <c r="Z8" s="295">
        <v>1</v>
      </c>
      <c r="AA8" s="295">
        <v>0</v>
      </c>
      <c r="AB8" s="295">
        <v>0</v>
      </c>
      <c r="AC8" s="307">
        <v>1</v>
      </c>
      <c r="AD8" s="295">
        <v>0</v>
      </c>
      <c r="AE8" s="295">
        <v>0</v>
      </c>
      <c r="AF8" s="295">
        <v>0</v>
      </c>
      <c r="AG8" s="307">
        <v>0</v>
      </c>
      <c r="AH8" s="295">
        <v>0</v>
      </c>
      <c r="AI8" s="295">
        <v>0</v>
      </c>
      <c r="AJ8" s="295">
        <v>0</v>
      </c>
      <c r="AK8" s="307">
        <v>0</v>
      </c>
      <c r="AL8" s="295">
        <v>1</v>
      </c>
      <c r="AM8" s="295">
        <v>0</v>
      </c>
      <c r="AN8" s="295">
        <v>0</v>
      </c>
      <c r="AO8" s="307">
        <v>1</v>
      </c>
      <c r="AQ8" s="216" t="s">
        <v>109</v>
      </c>
      <c r="AR8" s="217">
        <f>Japanalltestshistptscon</f>
        <v>11268</v>
      </c>
      <c r="AT8" s="216" t="s">
        <v>109</v>
      </c>
      <c r="AU8" s="217">
        <f>JapanRWChistptsagainst</f>
        <v>1454</v>
      </c>
    </row>
    <row r="9" spans="1:47" ht="14.95" customHeight="1" thickBot="1" x14ac:dyDescent="0.3">
      <c r="A9" s="289" t="s">
        <v>711</v>
      </c>
      <c r="B9" s="344" t="s">
        <v>45</v>
      </c>
      <c r="C9" s="290" t="s">
        <v>29</v>
      </c>
      <c r="D9" s="290" t="s">
        <v>712</v>
      </c>
      <c r="E9" s="291" t="s">
        <v>3</v>
      </c>
      <c r="F9" s="291">
        <v>15</v>
      </c>
      <c r="G9" s="291">
        <v>19</v>
      </c>
      <c r="H9" s="692" t="s">
        <v>80</v>
      </c>
      <c r="I9" s="692" t="s">
        <v>80</v>
      </c>
      <c r="J9" s="692">
        <v>2</v>
      </c>
      <c r="K9" s="692">
        <v>1</v>
      </c>
      <c r="L9" s="692">
        <v>0</v>
      </c>
      <c r="M9" s="692">
        <v>1</v>
      </c>
      <c r="N9" s="692">
        <v>2</v>
      </c>
      <c r="O9" s="692">
        <v>0</v>
      </c>
      <c r="P9" s="692" t="s">
        <v>80</v>
      </c>
      <c r="Q9" s="692" t="s">
        <v>80</v>
      </c>
      <c r="R9" s="692">
        <v>2</v>
      </c>
      <c r="S9" s="292">
        <v>41612</v>
      </c>
      <c r="T9" s="293" t="s">
        <v>607</v>
      </c>
      <c r="U9" s="294" t="s">
        <v>165</v>
      </c>
      <c r="V9" s="292" t="s">
        <v>240</v>
      </c>
      <c r="W9" s="292" t="s">
        <v>715</v>
      </c>
      <c r="X9" s="292" t="s">
        <v>438</v>
      </c>
      <c r="Y9" s="296" t="s">
        <v>714</v>
      </c>
      <c r="Z9" s="295">
        <v>1</v>
      </c>
      <c r="AA9" s="295">
        <v>0</v>
      </c>
      <c r="AB9" s="295">
        <v>0</v>
      </c>
      <c r="AC9" s="307">
        <v>1</v>
      </c>
      <c r="AD9" s="295">
        <v>1</v>
      </c>
      <c r="AE9" s="295">
        <v>0</v>
      </c>
      <c r="AF9" s="295">
        <v>0</v>
      </c>
      <c r="AG9" s="307">
        <v>1</v>
      </c>
      <c r="AH9" s="295">
        <v>0</v>
      </c>
      <c r="AI9" s="295">
        <v>0</v>
      </c>
      <c r="AJ9" s="295">
        <v>0</v>
      </c>
      <c r="AK9" s="307">
        <v>0</v>
      </c>
      <c r="AL9" s="295">
        <v>0</v>
      </c>
      <c r="AM9" s="295">
        <v>0</v>
      </c>
      <c r="AN9" s="295">
        <v>0</v>
      </c>
      <c r="AO9" s="307">
        <v>0</v>
      </c>
      <c r="AQ9" s="216" t="s">
        <v>100</v>
      </c>
      <c r="AR9" s="217">
        <f>Japanalltestshisttriesscoredcorrect</f>
        <v>1506</v>
      </c>
      <c r="AT9" s="216" t="s">
        <v>100</v>
      </c>
      <c r="AU9" s="217">
        <f>JapanRWChisttriesscored</f>
        <v>85</v>
      </c>
    </row>
    <row r="10" spans="1:47" ht="14.95" customHeight="1" thickBot="1" x14ac:dyDescent="0.3">
      <c r="A10" s="340" t="s">
        <v>330</v>
      </c>
      <c r="B10" s="341" t="s">
        <v>45</v>
      </c>
      <c r="C10" s="341" t="s">
        <v>138</v>
      </c>
      <c r="D10" s="373" t="s">
        <v>716</v>
      </c>
      <c r="E10" s="314" t="s">
        <v>3</v>
      </c>
      <c r="F10" s="314">
        <v>7</v>
      </c>
      <c r="G10" s="314">
        <v>61</v>
      </c>
      <c r="H10" s="699" t="s">
        <v>80</v>
      </c>
      <c r="I10" s="699" t="s">
        <v>80</v>
      </c>
      <c r="J10" s="699">
        <v>1</v>
      </c>
      <c r="K10" s="699">
        <v>1</v>
      </c>
      <c r="L10" s="699">
        <v>0</v>
      </c>
      <c r="M10" s="699">
        <v>0</v>
      </c>
      <c r="N10" s="699">
        <v>2</v>
      </c>
      <c r="O10" s="699">
        <v>0</v>
      </c>
      <c r="P10" s="699" t="s">
        <v>80</v>
      </c>
      <c r="Q10" s="699" t="s">
        <v>80</v>
      </c>
      <c r="R10" s="699">
        <v>9</v>
      </c>
      <c r="S10" s="317">
        <v>23243</v>
      </c>
      <c r="T10" s="372" t="s">
        <v>761</v>
      </c>
      <c r="U10" s="321" t="s">
        <v>182</v>
      </c>
      <c r="V10" s="320" t="s">
        <v>235</v>
      </c>
      <c r="W10" s="320" t="s">
        <v>256</v>
      </c>
      <c r="X10" s="317" t="s">
        <v>165</v>
      </c>
      <c r="Y10" s="322" t="s">
        <v>421</v>
      </c>
      <c r="Z10" s="317">
        <v>1</v>
      </c>
      <c r="AA10" s="317">
        <v>0</v>
      </c>
      <c r="AB10" s="317">
        <v>0</v>
      </c>
      <c r="AC10" s="725">
        <v>1</v>
      </c>
      <c r="AD10" s="317">
        <v>0</v>
      </c>
      <c r="AE10" s="317">
        <v>0</v>
      </c>
      <c r="AF10" s="317">
        <v>0</v>
      </c>
      <c r="AG10" s="725">
        <v>0</v>
      </c>
      <c r="AH10" s="317">
        <v>0</v>
      </c>
      <c r="AI10" s="317">
        <v>0</v>
      </c>
      <c r="AJ10" s="317">
        <v>0</v>
      </c>
      <c r="AK10" s="725">
        <v>0</v>
      </c>
      <c r="AL10" s="317">
        <v>1</v>
      </c>
      <c r="AM10" s="317">
        <v>0</v>
      </c>
      <c r="AN10" s="317">
        <v>0</v>
      </c>
      <c r="AO10" s="725">
        <v>1</v>
      </c>
    </row>
    <row r="11" spans="1:47" ht="14.95" customHeight="1" thickBot="1" x14ac:dyDescent="0.3">
      <c r="A11" s="284" t="s">
        <v>263</v>
      </c>
      <c r="B11" s="283" t="s">
        <v>605</v>
      </c>
      <c r="C11" s="283" t="s">
        <v>39</v>
      </c>
      <c r="D11" s="495" t="s">
        <v>87</v>
      </c>
      <c r="E11" s="271" t="s">
        <v>3</v>
      </c>
      <c r="F11" s="271">
        <v>10</v>
      </c>
      <c r="G11" s="271">
        <v>41</v>
      </c>
      <c r="H11" s="691" t="s">
        <v>80</v>
      </c>
      <c r="I11" s="691" t="s">
        <v>80</v>
      </c>
      <c r="J11" s="691">
        <v>1</v>
      </c>
      <c r="K11" s="691">
        <v>1</v>
      </c>
      <c r="L11" s="691">
        <v>0</v>
      </c>
      <c r="M11" s="691">
        <v>1</v>
      </c>
      <c r="N11" s="691">
        <v>1</v>
      </c>
      <c r="O11" s="691">
        <v>0</v>
      </c>
      <c r="P11" s="691" t="s">
        <v>80</v>
      </c>
      <c r="Q11" s="691" t="s">
        <v>80</v>
      </c>
      <c r="R11" s="691">
        <v>6</v>
      </c>
      <c r="S11" s="273">
        <v>50060</v>
      </c>
      <c r="T11" s="281" t="s">
        <v>591</v>
      </c>
      <c r="U11" s="279" t="s">
        <v>214</v>
      </c>
      <c r="V11" s="277" t="s">
        <v>251</v>
      </c>
      <c r="W11" s="277" t="s">
        <v>181</v>
      </c>
      <c r="X11" s="273" t="s">
        <v>187</v>
      </c>
      <c r="Y11" s="280" t="s">
        <v>252</v>
      </c>
      <c r="Z11" s="273">
        <v>1</v>
      </c>
      <c r="AA11" s="287">
        <v>0</v>
      </c>
      <c r="AB11" s="287">
        <v>0</v>
      </c>
      <c r="AC11" s="287">
        <v>1</v>
      </c>
      <c r="AD11" s="287">
        <v>0</v>
      </c>
      <c r="AE11" s="287">
        <v>0</v>
      </c>
      <c r="AF11" s="287">
        <v>0</v>
      </c>
      <c r="AG11" s="287">
        <v>0</v>
      </c>
      <c r="AH11" s="287">
        <v>1</v>
      </c>
      <c r="AI11" s="287">
        <v>0</v>
      </c>
      <c r="AJ11" s="287">
        <v>0</v>
      </c>
      <c r="AK11" s="287">
        <v>1</v>
      </c>
      <c r="AL11" s="287">
        <v>0</v>
      </c>
      <c r="AM11" s="287">
        <v>0</v>
      </c>
      <c r="AN11" s="287">
        <v>0</v>
      </c>
      <c r="AO11" s="287">
        <v>0</v>
      </c>
    </row>
    <row r="12" spans="1:47" ht="14.95" customHeight="1" thickBot="1" x14ac:dyDescent="0.3">
      <c r="A12" s="284" t="s">
        <v>264</v>
      </c>
      <c r="B12" s="283" t="s">
        <v>605</v>
      </c>
      <c r="C12" s="283" t="s">
        <v>32</v>
      </c>
      <c r="D12" s="495" t="s">
        <v>84</v>
      </c>
      <c r="E12" s="271" t="s">
        <v>3</v>
      </c>
      <c r="F12" s="271">
        <v>23</v>
      </c>
      <c r="G12" s="271">
        <v>24</v>
      </c>
      <c r="H12" s="691" t="s">
        <v>80</v>
      </c>
      <c r="I12" s="691" t="s">
        <v>80</v>
      </c>
      <c r="J12" s="691">
        <v>2</v>
      </c>
      <c r="K12" s="691">
        <v>2</v>
      </c>
      <c r="L12" s="691">
        <v>0</v>
      </c>
      <c r="M12" s="691">
        <v>3</v>
      </c>
      <c r="N12" s="691">
        <v>3</v>
      </c>
      <c r="O12" s="691">
        <v>0</v>
      </c>
      <c r="P12" s="691" t="s">
        <v>80</v>
      </c>
      <c r="Q12" s="691" t="s">
        <v>80</v>
      </c>
      <c r="R12" s="691">
        <v>3</v>
      </c>
      <c r="S12" s="273">
        <v>61324</v>
      </c>
      <c r="T12" s="358" t="s">
        <v>319</v>
      </c>
      <c r="U12" s="279" t="s">
        <v>167</v>
      </c>
      <c r="V12" s="277" t="s">
        <v>228</v>
      </c>
      <c r="W12" s="277" t="s">
        <v>236</v>
      </c>
      <c r="X12" s="273" t="s">
        <v>169</v>
      </c>
      <c r="Y12" s="280" t="s">
        <v>456</v>
      </c>
      <c r="Z12" s="273">
        <v>1</v>
      </c>
      <c r="AA12" s="287">
        <v>0</v>
      </c>
      <c r="AB12" s="287">
        <v>0</v>
      </c>
      <c r="AC12" s="287">
        <v>1</v>
      </c>
      <c r="AD12" s="287">
        <v>0</v>
      </c>
      <c r="AE12" s="287">
        <v>0</v>
      </c>
      <c r="AF12" s="287">
        <v>0</v>
      </c>
      <c r="AG12" s="287">
        <v>0</v>
      </c>
      <c r="AH12" s="287">
        <v>1</v>
      </c>
      <c r="AI12" s="287">
        <v>0</v>
      </c>
      <c r="AJ12" s="287">
        <v>0</v>
      </c>
      <c r="AK12" s="287">
        <v>1</v>
      </c>
      <c r="AL12" s="287">
        <v>0</v>
      </c>
      <c r="AM12" s="287">
        <v>0</v>
      </c>
      <c r="AN12" s="287">
        <v>0</v>
      </c>
      <c r="AO12" s="287">
        <v>0</v>
      </c>
    </row>
    <row r="13" spans="1:47" ht="17" thickBot="1" x14ac:dyDescent="0.35">
      <c r="A13" s="284" t="s">
        <v>266</v>
      </c>
      <c r="B13" s="283" t="s">
        <v>45</v>
      </c>
      <c r="C13" s="283" t="s">
        <v>38</v>
      </c>
      <c r="D13" s="495" t="s">
        <v>192</v>
      </c>
      <c r="E13" s="285" t="s">
        <v>1</v>
      </c>
      <c r="F13" s="271">
        <v>25</v>
      </c>
      <c r="G13" s="271">
        <v>23</v>
      </c>
      <c r="H13" s="691" t="s">
        <v>80</v>
      </c>
      <c r="I13" s="691" t="s">
        <v>80</v>
      </c>
      <c r="J13" s="691">
        <v>1</v>
      </c>
      <c r="K13" s="691">
        <v>1</v>
      </c>
      <c r="L13" s="691">
        <v>0</v>
      </c>
      <c r="M13" s="691">
        <v>6</v>
      </c>
      <c r="N13" s="691">
        <v>0</v>
      </c>
      <c r="O13" s="691">
        <v>0</v>
      </c>
      <c r="P13" s="691" t="s">
        <v>80</v>
      </c>
      <c r="Q13" s="691" t="s">
        <v>80</v>
      </c>
      <c r="R13" s="691">
        <v>2</v>
      </c>
      <c r="S13" s="273">
        <v>22548</v>
      </c>
      <c r="T13" s="316" t="s">
        <v>827</v>
      </c>
      <c r="U13" s="273" t="s">
        <v>182</v>
      </c>
      <c r="V13" s="273" t="s">
        <v>763</v>
      </c>
      <c r="W13" s="273" t="s">
        <v>157</v>
      </c>
      <c r="X13" s="273" t="s">
        <v>456</v>
      </c>
      <c r="Y13" s="273" t="s">
        <v>273</v>
      </c>
      <c r="Z13" s="287">
        <v>1</v>
      </c>
      <c r="AA13" s="287">
        <v>1</v>
      </c>
      <c r="AB13" s="287">
        <v>0</v>
      </c>
      <c r="AC13" s="287">
        <v>0</v>
      </c>
      <c r="AD13" s="287">
        <v>0</v>
      </c>
      <c r="AE13" s="287">
        <v>0</v>
      </c>
      <c r="AF13" s="287">
        <v>0</v>
      </c>
      <c r="AG13" s="287">
        <v>0</v>
      </c>
      <c r="AH13" s="287">
        <v>1</v>
      </c>
      <c r="AI13" s="287">
        <v>1</v>
      </c>
      <c r="AJ13" s="287">
        <v>0</v>
      </c>
      <c r="AK13" s="287">
        <v>0</v>
      </c>
      <c r="AL13" s="287">
        <v>0</v>
      </c>
      <c r="AM13" s="287">
        <v>0</v>
      </c>
      <c r="AN13" s="287">
        <v>0</v>
      </c>
      <c r="AO13" s="287">
        <v>0</v>
      </c>
    </row>
    <row r="14" spans="1:47" ht="14.95" thickBot="1" x14ac:dyDescent="0.3">
      <c r="A14" s="179"/>
      <c r="B14" s="180"/>
      <c r="C14" s="1230" t="s">
        <v>245</v>
      </c>
      <c r="D14" s="1231"/>
      <c r="E14" s="1232"/>
      <c r="F14" s="366">
        <f>SUM(F3+F4)</f>
        <v>46</v>
      </c>
      <c r="G14" s="366">
        <f>SUM(G3+G4)</f>
        <v>50</v>
      </c>
      <c r="H14" s="366" t="s">
        <v>80</v>
      </c>
      <c r="I14" s="366" t="s">
        <v>80</v>
      </c>
      <c r="J14" s="366">
        <f t="shared" ref="J14:O14" si="0">SUM(J3+J4)</f>
        <v>6</v>
      </c>
      <c r="K14" s="366">
        <f t="shared" si="0"/>
        <v>5</v>
      </c>
      <c r="L14" s="366">
        <f t="shared" si="0"/>
        <v>0</v>
      </c>
      <c r="M14" s="366">
        <f t="shared" si="0"/>
        <v>2</v>
      </c>
      <c r="N14" s="366">
        <f t="shared" si="0"/>
        <v>2</v>
      </c>
      <c r="O14" s="366">
        <f t="shared" si="0"/>
        <v>0</v>
      </c>
      <c r="P14" s="366" t="s">
        <v>80</v>
      </c>
      <c r="Q14" s="366" t="s">
        <v>80</v>
      </c>
      <c r="R14" s="366">
        <f>SUM(R3+R4)</f>
        <v>6</v>
      </c>
      <c r="S14" s="438"/>
      <c r="T14" s="440"/>
      <c r="U14" s="441"/>
      <c r="V14" s="441"/>
      <c r="W14" s="441"/>
      <c r="X14" s="439"/>
      <c r="Y14" s="367" t="s">
        <v>245</v>
      </c>
      <c r="Z14" s="370">
        <f t="shared" ref="Z14:AO14" si="1">SUM(Z3+Z4)</f>
        <v>2</v>
      </c>
      <c r="AA14" s="370">
        <f t="shared" si="1"/>
        <v>1</v>
      </c>
      <c r="AB14" s="370">
        <f t="shared" si="1"/>
        <v>0</v>
      </c>
      <c r="AC14" s="370">
        <f t="shared" si="1"/>
        <v>1</v>
      </c>
      <c r="AD14" s="525">
        <f t="shared" si="1"/>
        <v>2</v>
      </c>
      <c r="AE14" s="525">
        <f t="shared" si="1"/>
        <v>1</v>
      </c>
      <c r="AF14" s="525">
        <f t="shared" si="1"/>
        <v>0</v>
      </c>
      <c r="AG14" s="525">
        <f t="shared" si="1"/>
        <v>1</v>
      </c>
      <c r="AH14" s="526">
        <f t="shared" si="1"/>
        <v>0</v>
      </c>
      <c r="AI14" s="526">
        <f t="shared" si="1"/>
        <v>0</v>
      </c>
      <c r="AJ14" s="526">
        <f t="shared" si="1"/>
        <v>0</v>
      </c>
      <c r="AK14" s="526">
        <f t="shared" si="1"/>
        <v>0</v>
      </c>
      <c r="AL14" s="370">
        <f t="shared" si="1"/>
        <v>0</v>
      </c>
      <c r="AM14" s="370">
        <f t="shared" si="1"/>
        <v>0</v>
      </c>
      <c r="AN14" s="370">
        <f t="shared" si="1"/>
        <v>0</v>
      </c>
      <c r="AO14" s="370">
        <f t="shared" si="1"/>
        <v>0</v>
      </c>
    </row>
    <row r="15" spans="1:47" ht="14.95" thickBot="1" x14ac:dyDescent="0.3">
      <c r="A15" s="179"/>
      <c r="B15" s="436"/>
      <c r="C15" s="1084" t="s">
        <v>231</v>
      </c>
      <c r="D15" s="1085"/>
      <c r="E15" s="1086"/>
      <c r="F15" s="539">
        <f>SUM(F11:F12)</f>
        <v>33</v>
      </c>
      <c r="G15" s="539">
        <f>SUM(G11:G12)</f>
        <v>65</v>
      </c>
      <c r="H15" s="539" t="s">
        <v>80</v>
      </c>
      <c r="I15" s="539" t="s">
        <v>80</v>
      </c>
      <c r="J15" s="539">
        <f t="shared" ref="J15:O15" si="2">SUM(J11:J12)</f>
        <v>3</v>
      </c>
      <c r="K15" s="539">
        <f t="shared" si="2"/>
        <v>3</v>
      </c>
      <c r="L15" s="539">
        <f t="shared" si="2"/>
        <v>0</v>
      </c>
      <c r="M15" s="539">
        <f t="shared" si="2"/>
        <v>4</v>
      </c>
      <c r="N15" s="539">
        <f t="shared" si="2"/>
        <v>4</v>
      </c>
      <c r="O15" s="539">
        <f t="shared" si="2"/>
        <v>0</v>
      </c>
      <c r="P15" s="539" t="s">
        <v>80</v>
      </c>
      <c r="Q15" s="539" t="s">
        <v>80</v>
      </c>
      <c r="R15" s="539">
        <f>SUM(R11:R12)</f>
        <v>9</v>
      </c>
      <c r="S15" s="540"/>
      <c r="T15" s="540"/>
      <c r="U15" s="540"/>
      <c r="V15" s="540"/>
      <c r="W15" s="540"/>
      <c r="X15" s="589"/>
      <c r="Y15" s="542" t="s">
        <v>231</v>
      </c>
      <c r="Z15" s="543">
        <f t="shared" ref="Z15:AO15" si="3">SUM(Z11:Z12)</f>
        <v>2</v>
      </c>
      <c r="AA15" s="539">
        <f t="shared" si="3"/>
        <v>0</v>
      </c>
      <c r="AB15" s="539">
        <f t="shared" si="3"/>
        <v>0</v>
      </c>
      <c r="AC15" s="539">
        <f t="shared" si="3"/>
        <v>2</v>
      </c>
      <c r="AD15" s="544">
        <f t="shared" si="3"/>
        <v>0</v>
      </c>
      <c r="AE15" s="544">
        <f t="shared" si="3"/>
        <v>0</v>
      </c>
      <c r="AF15" s="544">
        <f t="shared" si="3"/>
        <v>0</v>
      </c>
      <c r="AG15" s="544">
        <f t="shared" si="3"/>
        <v>0</v>
      </c>
      <c r="AH15" s="545">
        <f t="shared" si="3"/>
        <v>2</v>
      </c>
      <c r="AI15" s="545">
        <f t="shared" si="3"/>
        <v>0</v>
      </c>
      <c r="AJ15" s="545">
        <f t="shared" si="3"/>
        <v>0</v>
      </c>
      <c r="AK15" s="545">
        <f t="shared" si="3"/>
        <v>2</v>
      </c>
      <c r="AL15" s="539">
        <f t="shared" si="3"/>
        <v>0</v>
      </c>
      <c r="AM15" s="539">
        <f t="shared" si="3"/>
        <v>0</v>
      </c>
      <c r="AN15" s="539">
        <f t="shared" si="3"/>
        <v>0</v>
      </c>
      <c r="AO15" s="539">
        <f t="shared" si="3"/>
        <v>0</v>
      </c>
    </row>
    <row r="16" spans="1:47" ht="14.3" customHeight="1" thickBot="1" x14ac:dyDescent="0.3">
      <c r="A16" s="179"/>
      <c r="B16" s="180"/>
      <c r="C16" s="1128" t="s">
        <v>244</v>
      </c>
      <c r="D16" s="1129"/>
      <c r="E16" s="1130"/>
      <c r="F16" s="558">
        <f>SUM(F5:F8)</f>
        <v>193</v>
      </c>
      <c r="G16" s="558">
        <f t="shared" ref="G16:R16" si="4">SUM(G5:G8)</f>
        <v>93</v>
      </c>
      <c r="H16" s="558">
        <f t="shared" si="4"/>
        <v>2</v>
      </c>
      <c r="I16" s="558">
        <f t="shared" si="4"/>
        <v>0</v>
      </c>
      <c r="J16" s="558">
        <f t="shared" si="4"/>
        <v>26</v>
      </c>
      <c r="K16" s="558">
        <f t="shared" si="4"/>
        <v>23</v>
      </c>
      <c r="L16" s="558">
        <f t="shared" si="4"/>
        <v>0</v>
      </c>
      <c r="M16" s="558">
        <f t="shared" si="4"/>
        <v>5</v>
      </c>
      <c r="N16" s="558">
        <f t="shared" si="4"/>
        <v>1</v>
      </c>
      <c r="O16" s="558">
        <f t="shared" si="4"/>
        <v>0</v>
      </c>
      <c r="P16" s="558">
        <f t="shared" si="4"/>
        <v>0</v>
      </c>
      <c r="Q16" s="558">
        <f t="shared" si="4"/>
        <v>0</v>
      </c>
      <c r="R16" s="558">
        <f t="shared" si="4"/>
        <v>14</v>
      </c>
      <c r="S16" s="564"/>
      <c r="T16" s="564"/>
      <c r="U16" s="564"/>
      <c r="V16" s="564"/>
      <c r="W16" s="564"/>
      <c r="X16" s="175"/>
      <c r="Y16" s="250" t="s">
        <v>244</v>
      </c>
      <c r="Z16" s="474">
        <f t="shared" ref="Z16:AO16" si="5">SUM(Z5:Z8)</f>
        <v>4</v>
      </c>
      <c r="AA16" s="558">
        <f t="shared" si="5"/>
        <v>3</v>
      </c>
      <c r="AB16" s="558">
        <f t="shared" si="5"/>
        <v>0</v>
      </c>
      <c r="AC16" s="558">
        <f t="shared" si="5"/>
        <v>1</v>
      </c>
      <c r="AD16" s="565">
        <f t="shared" si="5"/>
        <v>1</v>
      </c>
      <c r="AE16" s="565">
        <f t="shared" si="5"/>
        <v>1</v>
      </c>
      <c r="AF16" s="565">
        <f t="shared" si="5"/>
        <v>0</v>
      </c>
      <c r="AG16" s="565">
        <f t="shared" si="5"/>
        <v>0</v>
      </c>
      <c r="AH16" s="566">
        <f t="shared" si="5"/>
        <v>1</v>
      </c>
      <c r="AI16" s="566">
        <f t="shared" si="5"/>
        <v>1</v>
      </c>
      <c r="AJ16" s="566">
        <f t="shared" si="5"/>
        <v>0</v>
      </c>
      <c r="AK16" s="566">
        <f t="shared" si="5"/>
        <v>0</v>
      </c>
      <c r="AL16" s="558">
        <f t="shared" si="5"/>
        <v>2</v>
      </c>
      <c r="AM16" s="558">
        <f t="shared" si="5"/>
        <v>1</v>
      </c>
      <c r="AN16" s="558">
        <f t="shared" si="5"/>
        <v>0</v>
      </c>
      <c r="AO16" s="558">
        <f t="shared" si="5"/>
        <v>1</v>
      </c>
    </row>
    <row r="17" spans="1:41" ht="14.95" thickBot="1" x14ac:dyDescent="0.3">
      <c r="A17" s="362"/>
      <c r="C17" s="1087" t="s">
        <v>81</v>
      </c>
      <c r="D17" s="1088"/>
      <c r="E17" s="1089"/>
      <c r="F17" s="247">
        <f>SUM(F3:F13)</f>
        <v>319</v>
      </c>
      <c r="G17" s="247">
        <f t="shared" ref="G17:R17" si="6">SUM(G3:G13)</f>
        <v>311</v>
      </c>
      <c r="H17" s="247">
        <f t="shared" si="6"/>
        <v>2</v>
      </c>
      <c r="I17" s="247">
        <f t="shared" si="6"/>
        <v>0</v>
      </c>
      <c r="J17" s="247">
        <f t="shared" si="6"/>
        <v>39</v>
      </c>
      <c r="K17" s="247">
        <f t="shared" si="6"/>
        <v>34</v>
      </c>
      <c r="L17" s="231">
        <f t="shared" si="6"/>
        <v>0</v>
      </c>
      <c r="M17" s="247">
        <f t="shared" si="6"/>
        <v>18</v>
      </c>
      <c r="N17" s="247">
        <f t="shared" si="6"/>
        <v>11</v>
      </c>
      <c r="O17" s="247">
        <f t="shared" si="6"/>
        <v>0</v>
      </c>
      <c r="P17" s="247">
        <f t="shared" si="6"/>
        <v>0</v>
      </c>
      <c r="Q17" s="231">
        <f t="shared" si="6"/>
        <v>0</v>
      </c>
      <c r="R17" s="247">
        <f t="shared" si="6"/>
        <v>42</v>
      </c>
      <c r="S17" s="404"/>
      <c r="T17" s="404"/>
      <c r="U17" s="404"/>
      <c r="V17" s="404"/>
      <c r="W17" s="404"/>
      <c r="X17" s="13"/>
      <c r="Y17" s="315" t="s">
        <v>81</v>
      </c>
      <c r="Z17" s="231">
        <f t="shared" ref="Z17:AO17" si="7">SUM(Z3:Z13)</f>
        <v>11</v>
      </c>
      <c r="AA17" s="231">
        <f t="shared" si="7"/>
        <v>5</v>
      </c>
      <c r="AB17" s="231">
        <f t="shared" si="7"/>
        <v>0</v>
      </c>
      <c r="AC17" s="231">
        <f t="shared" si="7"/>
        <v>6</v>
      </c>
      <c r="AD17" s="229">
        <f t="shared" si="7"/>
        <v>4</v>
      </c>
      <c r="AE17" s="229">
        <f t="shared" si="7"/>
        <v>2</v>
      </c>
      <c r="AF17" s="229">
        <f t="shared" si="7"/>
        <v>0</v>
      </c>
      <c r="AG17" s="229">
        <f t="shared" si="7"/>
        <v>2</v>
      </c>
      <c r="AH17" s="230">
        <f t="shared" si="7"/>
        <v>4</v>
      </c>
      <c r="AI17" s="230">
        <f t="shared" si="7"/>
        <v>2</v>
      </c>
      <c r="AJ17" s="230">
        <f t="shared" si="7"/>
        <v>0</v>
      </c>
      <c r="AK17" s="230">
        <f t="shared" si="7"/>
        <v>2</v>
      </c>
      <c r="AL17" s="231">
        <f t="shared" si="7"/>
        <v>3</v>
      </c>
      <c r="AM17" s="231">
        <f t="shared" si="7"/>
        <v>1</v>
      </c>
      <c r="AN17" s="231">
        <f t="shared" si="7"/>
        <v>0</v>
      </c>
      <c r="AO17" s="231">
        <f t="shared" si="7"/>
        <v>2</v>
      </c>
    </row>
    <row r="18" spans="1:41" x14ac:dyDescent="0.25">
      <c r="A18" s="1108" t="s">
        <v>593</v>
      </c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404"/>
      <c r="T18" s="404"/>
      <c r="U18" s="404"/>
      <c r="V18" s="404"/>
      <c r="W18" s="404"/>
      <c r="X18" s="13"/>
      <c r="Y18" s="13"/>
      <c r="Z18" s="405"/>
      <c r="AA18" s="405"/>
      <c r="AB18" s="405"/>
      <c r="AC18" s="405"/>
      <c r="AD18" s="405"/>
      <c r="AE18" s="405"/>
      <c r="AF18" s="405"/>
      <c r="AG18" s="405"/>
      <c r="AH18" s="405"/>
      <c r="AI18" s="405"/>
      <c r="AJ18" s="405"/>
      <c r="AK18" s="405"/>
      <c r="AL18" s="405"/>
      <c r="AM18" s="405"/>
      <c r="AN18" s="405"/>
      <c r="AO18" s="405"/>
    </row>
    <row r="19" spans="1:41" x14ac:dyDescent="0.25">
      <c r="A19" s="1108" t="s">
        <v>656</v>
      </c>
      <c r="B19" s="1063"/>
      <c r="C19" s="1063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  <c r="S19" s="404"/>
      <c r="T19" s="404"/>
      <c r="U19" s="404"/>
      <c r="V19" s="404"/>
      <c r="W19" s="404"/>
      <c r="X19" s="13"/>
      <c r="Y19" s="13"/>
      <c r="Z19" s="405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05"/>
      <c r="AL19" s="405"/>
      <c r="AM19" s="405"/>
      <c r="AN19" s="405"/>
      <c r="AO19" s="405"/>
    </row>
    <row r="20" spans="1:41" x14ac:dyDescent="0.25">
      <c r="A20" t="s">
        <v>713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</row>
    <row r="21" spans="1:41" x14ac:dyDescent="0.25">
      <c r="A21" t="s">
        <v>726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1" x14ac:dyDescent="0.25">
      <c r="A22" t="s">
        <v>731</v>
      </c>
      <c r="L22" s="14"/>
      <c r="M22" s="14"/>
      <c r="N22" s="14"/>
      <c r="O22" s="14"/>
      <c r="P22" s="14"/>
      <c r="Q22" s="14"/>
      <c r="R22" s="14"/>
    </row>
    <row r="23" spans="1:41" x14ac:dyDescent="0.25">
      <c r="A23" t="s">
        <v>653</v>
      </c>
      <c r="L23" s="14"/>
      <c r="M23" s="14"/>
      <c r="N23" s="14"/>
      <c r="O23" s="14"/>
      <c r="P23" s="14"/>
      <c r="Q23" s="14"/>
      <c r="R23" s="14"/>
    </row>
    <row r="24" spans="1:41" x14ac:dyDescent="0.25">
      <c r="A24" t="s">
        <v>258</v>
      </c>
      <c r="L24" s="14"/>
      <c r="M24" s="14"/>
      <c r="N24" s="14"/>
      <c r="O24" s="14"/>
      <c r="P24" s="14"/>
      <c r="Q24" s="14"/>
      <c r="R24" s="14"/>
    </row>
    <row r="25" spans="1:41" x14ac:dyDescent="0.25">
      <c r="A25" t="s">
        <v>657</v>
      </c>
      <c r="L25" s="14"/>
      <c r="M25" s="14"/>
      <c r="N25" s="14"/>
      <c r="O25" s="14"/>
      <c r="P25" s="14"/>
      <c r="Q25" s="14"/>
      <c r="R25" s="14"/>
    </row>
    <row r="26" spans="1:41" x14ac:dyDescent="0.25">
      <c r="A26" s="376"/>
      <c r="B26" t="s">
        <v>44</v>
      </c>
    </row>
    <row r="27" spans="1:41" x14ac:dyDescent="0.25">
      <c r="A27" s="377"/>
      <c r="B27" t="s">
        <v>42</v>
      </c>
    </row>
    <row r="28" spans="1:41" x14ac:dyDescent="0.25">
      <c r="A28" s="378"/>
      <c r="B28" t="s">
        <v>43</v>
      </c>
    </row>
    <row r="29" spans="1:41" ht="16.3" x14ac:dyDescent="0.3">
      <c r="A29" s="792" t="s">
        <v>28</v>
      </c>
    </row>
  </sheetData>
  <mergeCells count="16">
    <mergeCell ref="A18:R18"/>
    <mergeCell ref="C15:E15"/>
    <mergeCell ref="A19:R19"/>
    <mergeCell ref="C14:E14"/>
    <mergeCell ref="AL1:AO1"/>
    <mergeCell ref="P1:R1"/>
    <mergeCell ref="C17:E17"/>
    <mergeCell ref="A1:C1"/>
    <mergeCell ref="E1:G1"/>
    <mergeCell ref="H1:I1"/>
    <mergeCell ref="J1:M1"/>
    <mergeCell ref="N1:O1"/>
    <mergeCell ref="Z1:AC1"/>
    <mergeCell ref="AD1:AG1"/>
    <mergeCell ref="AH1:AK1"/>
    <mergeCell ref="C16:E16"/>
  </mergeCells>
  <pageMargins left="0.7" right="0.7" top="0.75" bottom="0.75" header="0.3" footer="0.3"/>
  <pageSetup paperSize="9" orientation="portrait" r:id="rId1"/>
  <ignoredErrors>
    <ignoredError sqref="T3:T4 T8:T9 T11" twoDigitTextYear="1"/>
    <ignoredError sqref="F16:AO16 S15:Y15 P15:Q15 H15:I15 C15:E15 F15:G15 J15:O15 R15 Z15:AO15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23"/>
  <sheetViews>
    <sheetView workbookViewId="0">
      <selection activeCell="T13" sqref="T13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1.375" customWidth="1"/>
    <col min="4" max="4" width="4.625" customWidth="1"/>
    <col min="5" max="5" width="3.625" customWidth="1"/>
    <col min="6" max="18" width="4" customWidth="1"/>
    <col min="19" max="20" width="6.375" customWidth="1"/>
    <col min="21" max="21" width="20.25" bestFit="1" customWidth="1"/>
    <col min="22" max="22" width="21.625" bestFit="1" customWidth="1"/>
    <col min="23" max="23" width="23.625" bestFit="1" customWidth="1"/>
    <col min="24" max="24" width="23.5" bestFit="1" customWidth="1"/>
    <col min="25" max="40" width="4" customWidth="1"/>
    <col min="41" max="41" width="2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248" t="s">
        <v>405</v>
      </c>
      <c r="B1" s="1249"/>
      <c r="C1" s="1249"/>
      <c r="D1" s="160"/>
      <c r="E1" s="1250" t="s">
        <v>24</v>
      </c>
      <c r="F1" s="1251"/>
      <c r="G1" s="1252"/>
      <c r="H1" s="1250" t="s">
        <v>23</v>
      </c>
      <c r="I1" s="1252"/>
      <c r="J1" s="1245" t="s">
        <v>6</v>
      </c>
      <c r="K1" s="1246"/>
      <c r="L1" s="1246"/>
      <c r="M1" s="1247"/>
      <c r="N1" s="1245" t="s">
        <v>7</v>
      </c>
      <c r="O1" s="1247"/>
      <c r="P1" s="1245" t="s">
        <v>25</v>
      </c>
      <c r="Q1" s="1246"/>
      <c r="R1" s="1247"/>
      <c r="S1" s="161" t="s">
        <v>8</v>
      </c>
      <c r="T1" s="161" t="s">
        <v>9</v>
      </c>
      <c r="U1" s="162" t="s">
        <v>10</v>
      </c>
      <c r="V1" s="161" t="s">
        <v>11</v>
      </c>
      <c r="W1" s="163" t="s">
        <v>26</v>
      </c>
      <c r="X1" s="164" t="s">
        <v>27</v>
      </c>
      <c r="Y1" s="1244" t="s">
        <v>20</v>
      </c>
      <c r="Z1" s="1177"/>
      <c r="AA1" s="1177"/>
      <c r="AB1" s="1178"/>
      <c r="AC1" s="1244" t="s">
        <v>61</v>
      </c>
      <c r="AD1" s="1177"/>
      <c r="AE1" s="1177"/>
      <c r="AF1" s="1178"/>
      <c r="AG1" s="1244" t="s">
        <v>62</v>
      </c>
      <c r="AH1" s="1177"/>
      <c r="AI1" s="1177"/>
      <c r="AJ1" s="1178"/>
      <c r="AK1" s="1244" t="s">
        <v>63</v>
      </c>
      <c r="AL1" s="1177"/>
      <c r="AM1" s="1177"/>
      <c r="AN1" s="1178"/>
      <c r="AP1" s="222" t="s">
        <v>120</v>
      </c>
      <c r="AQ1" s="218"/>
      <c r="AR1" s="218"/>
      <c r="AS1" s="222" t="s">
        <v>120</v>
      </c>
    </row>
    <row r="2" spans="1:46" ht="14.95" customHeight="1" thickBot="1" x14ac:dyDescent="0.3">
      <c r="A2" s="165" t="s">
        <v>19</v>
      </c>
      <c r="B2" s="166" t="s">
        <v>18</v>
      </c>
      <c r="C2" s="167" t="s">
        <v>17</v>
      </c>
      <c r="D2" s="168" t="s">
        <v>41</v>
      </c>
      <c r="E2" s="168" t="s">
        <v>16</v>
      </c>
      <c r="F2" s="168" t="s">
        <v>4</v>
      </c>
      <c r="G2" s="168" t="s">
        <v>5</v>
      </c>
      <c r="H2" s="169" t="s">
        <v>12</v>
      </c>
      <c r="I2" s="169" t="s">
        <v>3</v>
      </c>
      <c r="J2" s="169" t="s">
        <v>12</v>
      </c>
      <c r="K2" s="169" t="s">
        <v>13</v>
      </c>
      <c r="L2" s="169" t="s">
        <v>2</v>
      </c>
      <c r="M2" s="169" t="s">
        <v>14</v>
      </c>
      <c r="N2" s="169" t="s">
        <v>15</v>
      </c>
      <c r="O2" s="169" t="s">
        <v>16</v>
      </c>
      <c r="P2" s="169" t="s">
        <v>21</v>
      </c>
      <c r="Q2" s="169" t="s">
        <v>22</v>
      </c>
      <c r="R2" s="169" t="s">
        <v>12</v>
      </c>
      <c r="S2" s="170"/>
      <c r="T2" s="171"/>
      <c r="U2" s="172"/>
      <c r="V2" s="170"/>
      <c r="W2" s="173"/>
      <c r="X2" s="174"/>
      <c r="Y2" s="235" t="s">
        <v>0</v>
      </c>
      <c r="Z2" s="235" t="s">
        <v>1</v>
      </c>
      <c r="AA2" s="235" t="s">
        <v>2</v>
      </c>
      <c r="AB2" s="235" t="s">
        <v>3</v>
      </c>
      <c r="AC2" s="235" t="s">
        <v>0</v>
      </c>
      <c r="AD2" s="235" t="s">
        <v>1</v>
      </c>
      <c r="AE2" s="235" t="s">
        <v>2</v>
      </c>
      <c r="AF2" s="235" t="s">
        <v>3</v>
      </c>
      <c r="AG2" s="235" t="s">
        <v>0</v>
      </c>
      <c r="AH2" s="235" t="s">
        <v>1</v>
      </c>
      <c r="AI2" s="235" t="s">
        <v>2</v>
      </c>
      <c r="AJ2" s="235" t="s">
        <v>3</v>
      </c>
      <c r="AK2" s="235" t="s">
        <v>0</v>
      </c>
      <c r="AL2" s="235" t="s">
        <v>1</v>
      </c>
      <c r="AM2" s="235" t="s">
        <v>2</v>
      </c>
      <c r="AN2" s="235" t="s">
        <v>3</v>
      </c>
      <c r="AP2" s="205" t="s">
        <v>81</v>
      </c>
      <c r="AQ2" s="138"/>
      <c r="AS2" s="225" t="s">
        <v>99</v>
      </c>
      <c r="AT2" s="138"/>
    </row>
    <row r="3" spans="1:46" ht="14.95" customHeight="1" thickBot="1" x14ac:dyDescent="0.3">
      <c r="A3" s="417" t="s">
        <v>410</v>
      </c>
      <c r="B3" s="290" t="s">
        <v>45</v>
      </c>
      <c r="C3" s="290" t="s">
        <v>33</v>
      </c>
      <c r="D3" s="300" t="s">
        <v>411</v>
      </c>
      <c r="E3" s="291" t="s">
        <v>3</v>
      </c>
      <c r="F3" s="291">
        <v>6</v>
      </c>
      <c r="G3" s="291">
        <v>73</v>
      </c>
      <c r="H3" s="692" t="s">
        <v>80</v>
      </c>
      <c r="I3" s="692" t="s">
        <v>80</v>
      </c>
      <c r="J3" s="692">
        <v>0</v>
      </c>
      <c r="K3" s="692">
        <v>0</v>
      </c>
      <c r="L3" s="692">
        <v>0</v>
      </c>
      <c r="M3" s="692">
        <v>2</v>
      </c>
      <c r="N3" s="692">
        <v>1</v>
      </c>
      <c r="O3" s="692">
        <v>0</v>
      </c>
      <c r="P3" s="692" t="s">
        <v>80</v>
      </c>
      <c r="Q3" s="692" t="s">
        <v>80</v>
      </c>
      <c r="R3" s="692">
        <v>9</v>
      </c>
      <c r="S3" s="292">
        <v>2000</v>
      </c>
      <c r="T3" s="293" t="s">
        <v>412</v>
      </c>
      <c r="U3" s="294" t="s">
        <v>177</v>
      </c>
      <c r="V3" s="292" t="s">
        <v>157</v>
      </c>
      <c r="W3" s="295" t="s">
        <v>216</v>
      </c>
      <c r="X3" s="296" t="s">
        <v>413</v>
      </c>
      <c r="Y3" s="716">
        <v>1</v>
      </c>
      <c r="Z3" s="716">
        <v>0</v>
      </c>
      <c r="AA3" s="716">
        <v>0</v>
      </c>
      <c r="AB3" s="717">
        <v>1</v>
      </c>
      <c r="AC3" s="716">
        <v>1</v>
      </c>
      <c r="AD3" s="716">
        <v>0</v>
      </c>
      <c r="AE3" s="716">
        <v>0</v>
      </c>
      <c r="AF3" s="717">
        <v>1</v>
      </c>
      <c r="AG3" s="716">
        <v>0</v>
      </c>
      <c r="AH3" s="716">
        <v>0</v>
      </c>
      <c r="AI3" s="716">
        <v>0</v>
      </c>
      <c r="AJ3" s="717">
        <v>0</v>
      </c>
      <c r="AK3" s="716">
        <v>0</v>
      </c>
      <c r="AL3" s="716">
        <v>0</v>
      </c>
      <c r="AM3" s="716">
        <v>0</v>
      </c>
      <c r="AN3" s="717">
        <v>0</v>
      </c>
      <c r="AP3" s="214" t="s">
        <v>101</v>
      </c>
      <c r="AQ3" s="215">
        <f>Namibiaalltestshistplayed</f>
        <v>184</v>
      </c>
      <c r="AS3" s="214" t="s">
        <v>101</v>
      </c>
      <c r="AT3" s="215">
        <f>NamibiaRWChistplayed</f>
        <v>26</v>
      </c>
    </row>
    <row r="4" spans="1:46" ht="14.95" customHeight="1" thickBot="1" x14ac:dyDescent="0.35">
      <c r="A4" s="567" t="s">
        <v>473</v>
      </c>
      <c r="B4" s="319" t="s">
        <v>246</v>
      </c>
      <c r="C4" s="319" t="s">
        <v>472</v>
      </c>
      <c r="D4" s="371" t="s">
        <v>474</v>
      </c>
      <c r="E4" s="314" t="s">
        <v>1</v>
      </c>
      <c r="F4" s="314">
        <v>55</v>
      </c>
      <c r="G4" s="314">
        <v>17</v>
      </c>
      <c r="H4" s="699" t="s">
        <v>80</v>
      </c>
      <c r="I4" s="699" t="s">
        <v>80</v>
      </c>
      <c r="J4" s="699">
        <v>8</v>
      </c>
      <c r="K4" s="699">
        <v>6</v>
      </c>
      <c r="L4" s="699">
        <v>0</v>
      </c>
      <c r="M4" s="699">
        <v>1</v>
      </c>
      <c r="N4" s="699">
        <v>0</v>
      </c>
      <c r="O4" s="699">
        <v>0</v>
      </c>
      <c r="P4" s="699" t="s">
        <v>80</v>
      </c>
      <c r="Q4" s="699" t="s">
        <v>80</v>
      </c>
      <c r="R4" s="699">
        <v>3</v>
      </c>
      <c r="S4" s="867" t="s">
        <v>157</v>
      </c>
      <c r="T4" s="323" t="s">
        <v>475</v>
      </c>
      <c r="U4" s="321" t="s">
        <v>476</v>
      </c>
      <c r="V4" s="320" t="s">
        <v>157</v>
      </c>
      <c r="W4" s="317" t="s">
        <v>477</v>
      </c>
      <c r="X4" s="322" t="s">
        <v>478</v>
      </c>
      <c r="Y4" s="720">
        <v>1</v>
      </c>
      <c r="Z4" s="720">
        <v>1</v>
      </c>
      <c r="AA4" s="720">
        <v>0</v>
      </c>
      <c r="AB4" s="721">
        <v>0</v>
      </c>
      <c r="AC4" s="720">
        <v>0</v>
      </c>
      <c r="AD4" s="720">
        <v>0</v>
      </c>
      <c r="AE4" s="720">
        <v>0</v>
      </c>
      <c r="AF4" s="721">
        <v>0</v>
      </c>
      <c r="AG4" s="720">
        <v>0</v>
      </c>
      <c r="AH4" s="720">
        <v>0</v>
      </c>
      <c r="AI4" s="720">
        <v>0</v>
      </c>
      <c r="AJ4" s="721">
        <v>0</v>
      </c>
      <c r="AK4" s="720">
        <v>1</v>
      </c>
      <c r="AL4" s="720">
        <v>1</v>
      </c>
      <c r="AM4" s="720">
        <v>0</v>
      </c>
      <c r="AN4" s="721">
        <v>0</v>
      </c>
      <c r="AP4" s="216" t="s">
        <v>102</v>
      </c>
      <c r="AQ4" s="217">
        <f>Namibiaalltestshistwon</f>
        <v>102</v>
      </c>
      <c r="AS4" s="216" t="s">
        <v>102</v>
      </c>
      <c r="AT4" s="217">
        <f>NamibiaRWChistwon</f>
        <v>0</v>
      </c>
    </row>
    <row r="5" spans="1:46" ht="14.95" customHeight="1" thickBot="1" x14ac:dyDescent="0.35">
      <c r="A5" s="318" t="s">
        <v>208</v>
      </c>
      <c r="B5" s="319" t="s">
        <v>246</v>
      </c>
      <c r="C5" s="319" t="s">
        <v>471</v>
      </c>
      <c r="D5" s="371" t="s">
        <v>474</v>
      </c>
      <c r="E5" s="314" t="s">
        <v>1</v>
      </c>
      <c r="F5" s="314">
        <v>21</v>
      </c>
      <c r="G5" s="314">
        <v>7</v>
      </c>
      <c r="H5" s="699" t="s">
        <v>80</v>
      </c>
      <c r="I5" s="699" t="s">
        <v>80</v>
      </c>
      <c r="J5" s="699">
        <v>2</v>
      </c>
      <c r="K5" s="699">
        <v>1</v>
      </c>
      <c r="L5" s="699">
        <v>0</v>
      </c>
      <c r="M5" s="699">
        <v>3</v>
      </c>
      <c r="N5" s="699">
        <v>1</v>
      </c>
      <c r="O5" s="699">
        <v>0</v>
      </c>
      <c r="P5" s="699" t="s">
        <v>80</v>
      </c>
      <c r="Q5" s="699" t="s">
        <v>80</v>
      </c>
      <c r="R5" s="699">
        <v>1</v>
      </c>
      <c r="S5" s="867" t="s">
        <v>157</v>
      </c>
      <c r="T5" s="323" t="s">
        <v>442</v>
      </c>
      <c r="U5" s="317" t="s">
        <v>477</v>
      </c>
      <c r="V5" s="320" t="s">
        <v>157</v>
      </c>
      <c r="W5" s="321" t="s">
        <v>479</v>
      </c>
      <c r="X5" s="321" t="s">
        <v>480</v>
      </c>
      <c r="Y5" s="317">
        <v>1</v>
      </c>
      <c r="Z5" s="317">
        <v>1</v>
      </c>
      <c r="AA5" s="317">
        <v>0</v>
      </c>
      <c r="AB5" s="725">
        <v>0</v>
      </c>
      <c r="AC5" s="317">
        <v>0</v>
      </c>
      <c r="AD5" s="317">
        <v>0</v>
      </c>
      <c r="AE5" s="317">
        <v>0</v>
      </c>
      <c r="AF5" s="725">
        <v>0</v>
      </c>
      <c r="AG5" s="317">
        <v>0</v>
      </c>
      <c r="AH5" s="317">
        <v>0</v>
      </c>
      <c r="AI5" s="317">
        <v>0</v>
      </c>
      <c r="AJ5" s="725">
        <v>0</v>
      </c>
      <c r="AK5" s="317">
        <v>1</v>
      </c>
      <c r="AL5" s="317">
        <v>1</v>
      </c>
      <c r="AM5" s="317">
        <v>0</v>
      </c>
      <c r="AN5" s="725">
        <v>0</v>
      </c>
      <c r="AP5" s="216" t="s">
        <v>107</v>
      </c>
      <c r="AQ5" s="217">
        <f>Namibiaalltestshistdrawn</f>
        <v>2</v>
      </c>
      <c r="AS5" s="216" t="s">
        <v>107</v>
      </c>
      <c r="AT5" s="217">
        <f>NamibiaRWChistdrawn</f>
        <v>0</v>
      </c>
    </row>
    <row r="6" spans="1:46" ht="14.95" customHeight="1" thickBot="1" x14ac:dyDescent="0.3">
      <c r="A6" s="318" t="s">
        <v>239</v>
      </c>
      <c r="B6" s="319" t="s">
        <v>246</v>
      </c>
      <c r="C6" s="319" t="s">
        <v>124</v>
      </c>
      <c r="D6" s="371" t="s">
        <v>474</v>
      </c>
      <c r="E6" s="314" t="s">
        <v>3</v>
      </c>
      <c r="F6" s="314">
        <v>28</v>
      </c>
      <c r="G6" s="314">
        <v>30</v>
      </c>
      <c r="H6" s="699" t="s">
        <v>80</v>
      </c>
      <c r="I6" s="699" t="s">
        <v>80</v>
      </c>
      <c r="J6" s="699">
        <v>3</v>
      </c>
      <c r="K6" s="699">
        <v>2</v>
      </c>
      <c r="L6" s="699">
        <v>0</v>
      </c>
      <c r="M6" s="699">
        <v>3</v>
      </c>
      <c r="N6" s="699">
        <v>1</v>
      </c>
      <c r="O6" s="699">
        <v>0</v>
      </c>
      <c r="P6" s="699" t="s">
        <v>80</v>
      </c>
      <c r="Q6" s="699" t="s">
        <v>80</v>
      </c>
      <c r="R6" s="699">
        <v>3</v>
      </c>
      <c r="S6" s="867" t="s">
        <v>157</v>
      </c>
      <c r="T6" s="711" t="s">
        <v>485</v>
      </c>
      <c r="U6" s="317" t="s">
        <v>476</v>
      </c>
      <c r="V6" s="317" t="s">
        <v>157</v>
      </c>
      <c r="W6" s="317" t="s">
        <v>477</v>
      </c>
      <c r="X6" s="322" t="s">
        <v>486</v>
      </c>
      <c r="Y6" s="317">
        <v>1</v>
      </c>
      <c r="Z6" s="317">
        <v>0</v>
      </c>
      <c r="AA6" s="317">
        <v>0</v>
      </c>
      <c r="AB6" s="725">
        <v>1</v>
      </c>
      <c r="AC6" s="317">
        <v>0</v>
      </c>
      <c r="AD6" s="317">
        <v>0</v>
      </c>
      <c r="AE6" s="317">
        <v>0</v>
      </c>
      <c r="AF6" s="725">
        <v>0</v>
      </c>
      <c r="AG6" s="317">
        <v>0</v>
      </c>
      <c r="AH6" s="317">
        <v>0</v>
      </c>
      <c r="AI6" s="317">
        <v>0</v>
      </c>
      <c r="AJ6" s="725">
        <v>0</v>
      </c>
      <c r="AK6" s="317">
        <v>1</v>
      </c>
      <c r="AL6" s="317">
        <v>0</v>
      </c>
      <c r="AM6" s="317">
        <v>0</v>
      </c>
      <c r="AN6" s="725">
        <v>1</v>
      </c>
      <c r="AP6" s="216" t="s">
        <v>103</v>
      </c>
      <c r="AQ6" s="217">
        <f>Namibiaalltestshistlost</f>
        <v>80</v>
      </c>
      <c r="AS6" s="216" t="s">
        <v>103</v>
      </c>
      <c r="AT6" s="217">
        <f>NamibiaRWChistlost</f>
        <v>26</v>
      </c>
    </row>
    <row r="7" spans="1:46" ht="14.95" customHeight="1" thickBot="1" x14ac:dyDescent="0.3">
      <c r="A7" s="318" t="s">
        <v>517</v>
      </c>
      <c r="B7" s="319" t="s">
        <v>487</v>
      </c>
      <c r="C7" s="319" t="s">
        <v>521</v>
      </c>
      <c r="D7" s="371" t="s">
        <v>474</v>
      </c>
      <c r="E7" s="314" t="s">
        <v>1</v>
      </c>
      <c r="F7" s="314">
        <v>86</v>
      </c>
      <c r="G7" s="314">
        <v>29</v>
      </c>
      <c r="H7" s="699" t="s">
        <v>80</v>
      </c>
      <c r="I7" s="699" t="s">
        <v>80</v>
      </c>
      <c r="J7" s="699">
        <v>13</v>
      </c>
      <c r="K7" s="699">
        <v>9</v>
      </c>
      <c r="L7" s="699">
        <v>0</v>
      </c>
      <c r="M7" s="699">
        <v>1</v>
      </c>
      <c r="N7" s="699">
        <v>1</v>
      </c>
      <c r="O7" s="699">
        <v>0</v>
      </c>
      <c r="P7" s="699" t="s">
        <v>80</v>
      </c>
      <c r="Q7" s="699" t="s">
        <v>80</v>
      </c>
      <c r="R7" s="699">
        <v>4</v>
      </c>
      <c r="S7" s="867" t="s">
        <v>157</v>
      </c>
      <c r="T7" s="724" t="s">
        <v>522</v>
      </c>
      <c r="U7" s="317" t="s">
        <v>216</v>
      </c>
      <c r="V7" s="317" t="s">
        <v>236</v>
      </c>
      <c r="W7" s="317" t="s">
        <v>413</v>
      </c>
      <c r="X7" s="322" t="s">
        <v>421</v>
      </c>
      <c r="Y7" s="317">
        <v>1</v>
      </c>
      <c r="Z7" s="317">
        <v>0</v>
      </c>
      <c r="AA7" s="317">
        <v>0</v>
      </c>
      <c r="AB7" s="725">
        <v>1</v>
      </c>
      <c r="AC7" s="317">
        <v>0</v>
      </c>
      <c r="AD7" s="317">
        <v>0</v>
      </c>
      <c r="AE7" s="317">
        <v>0</v>
      </c>
      <c r="AF7" s="725">
        <v>0</v>
      </c>
      <c r="AG7" s="317">
        <v>0</v>
      </c>
      <c r="AH7" s="317">
        <v>0</v>
      </c>
      <c r="AI7" s="317">
        <v>0</v>
      </c>
      <c r="AJ7" s="725">
        <v>0</v>
      </c>
      <c r="AK7" s="317">
        <v>1</v>
      </c>
      <c r="AL7" s="317">
        <v>0</v>
      </c>
      <c r="AM7" s="317">
        <v>0</v>
      </c>
      <c r="AN7" s="725">
        <v>1</v>
      </c>
      <c r="AP7" s="216" t="s">
        <v>108</v>
      </c>
      <c r="AQ7" s="217">
        <f>Namibiaalltestshistptsscored</f>
        <v>5668</v>
      </c>
      <c r="AS7" s="216" t="s">
        <v>108</v>
      </c>
      <c r="AT7" s="217">
        <f>NamibiaRWChistptsscored</f>
        <v>285</v>
      </c>
    </row>
    <row r="8" spans="1:46" ht="14.95" customHeight="1" thickBot="1" x14ac:dyDescent="0.3">
      <c r="A8" s="340" t="s">
        <v>263</v>
      </c>
      <c r="B8" s="723" t="s">
        <v>487</v>
      </c>
      <c r="C8" s="374" t="s">
        <v>171</v>
      </c>
      <c r="D8" s="373" t="s">
        <v>745</v>
      </c>
      <c r="E8" s="314" t="s">
        <v>3</v>
      </c>
      <c r="F8" s="314">
        <v>15</v>
      </c>
      <c r="G8" s="314">
        <v>22</v>
      </c>
      <c r="H8" s="699">
        <v>0</v>
      </c>
      <c r="I8" s="699">
        <v>1</v>
      </c>
      <c r="J8" s="699">
        <v>2</v>
      </c>
      <c r="K8" s="699">
        <v>1</v>
      </c>
      <c r="L8" s="699">
        <v>0</v>
      </c>
      <c r="M8" s="699">
        <v>1</v>
      </c>
      <c r="N8" s="699">
        <v>2</v>
      </c>
      <c r="O8" s="699">
        <v>0</v>
      </c>
      <c r="P8" s="699">
        <v>0</v>
      </c>
      <c r="Q8" s="699">
        <v>0</v>
      </c>
      <c r="R8" s="699">
        <v>3</v>
      </c>
      <c r="S8" s="317">
        <v>2800</v>
      </c>
      <c r="T8" s="822" t="s">
        <v>788</v>
      </c>
      <c r="U8" s="317" t="s">
        <v>186</v>
      </c>
      <c r="V8" s="317" t="s">
        <v>188</v>
      </c>
      <c r="W8" s="317" t="s">
        <v>241</v>
      </c>
      <c r="X8" s="317" t="s">
        <v>787</v>
      </c>
      <c r="Y8" s="858">
        <v>1</v>
      </c>
      <c r="Z8" s="858">
        <v>0</v>
      </c>
      <c r="AA8" s="858">
        <v>0</v>
      </c>
      <c r="AB8" s="858">
        <v>1</v>
      </c>
      <c r="AC8" s="858">
        <v>0</v>
      </c>
      <c r="AD8" s="858">
        <v>0</v>
      </c>
      <c r="AE8" s="858">
        <v>0</v>
      </c>
      <c r="AF8" s="858">
        <v>0</v>
      </c>
      <c r="AG8" s="858">
        <v>0</v>
      </c>
      <c r="AH8" s="858">
        <v>0</v>
      </c>
      <c r="AI8" s="858">
        <v>0</v>
      </c>
      <c r="AJ8" s="858">
        <v>0</v>
      </c>
      <c r="AK8" s="858">
        <v>1</v>
      </c>
      <c r="AL8" s="858">
        <v>0</v>
      </c>
      <c r="AM8" s="858">
        <v>0</v>
      </c>
      <c r="AN8" s="858">
        <v>1</v>
      </c>
      <c r="AP8" s="216" t="s">
        <v>109</v>
      </c>
      <c r="AQ8" s="217">
        <f>Namibiaalltestshistptscon</f>
        <v>4932</v>
      </c>
      <c r="AS8" s="216" t="s">
        <v>109</v>
      </c>
      <c r="AT8" s="217">
        <f>NamibiaRWChistptsagainst</f>
        <v>1578</v>
      </c>
    </row>
    <row r="9" spans="1:46" ht="14.95" customHeight="1" thickBot="1" x14ac:dyDescent="0.3">
      <c r="A9" s="340" t="s">
        <v>747</v>
      </c>
      <c r="B9" s="341" t="s">
        <v>487</v>
      </c>
      <c r="C9" s="374" t="s">
        <v>92</v>
      </c>
      <c r="D9" s="373" t="s">
        <v>745</v>
      </c>
      <c r="E9" s="314" t="s">
        <v>3</v>
      </c>
      <c r="F9" s="314">
        <v>8</v>
      </c>
      <c r="G9" s="314">
        <v>26</v>
      </c>
      <c r="H9" s="699">
        <v>0</v>
      </c>
      <c r="I9" s="699">
        <v>0</v>
      </c>
      <c r="J9" s="699">
        <v>1</v>
      </c>
      <c r="K9" s="699">
        <v>0</v>
      </c>
      <c r="L9" s="699">
        <v>0</v>
      </c>
      <c r="M9" s="699">
        <v>1</v>
      </c>
      <c r="N9" s="699">
        <v>0</v>
      </c>
      <c r="O9" s="699">
        <v>0</v>
      </c>
      <c r="P9" s="699">
        <v>1</v>
      </c>
      <c r="Q9" s="699">
        <v>0</v>
      </c>
      <c r="R9" s="699">
        <v>4</v>
      </c>
      <c r="S9" s="317">
        <v>2100</v>
      </c>
      <c r="T9" s="822" t="s">
        <v>514</v>
      </c>
      <c r="U9" s="317" t="s">
        <v>241</v>
      </c>
      <c r="V9" s="317" t="s">
        <v>188</v>
      </c>
      <c r="W9" s="317" t="s">
        <v>186</v>
      </c>
      <c r="X9" s="858" t="s">
        <v>787</v>
      </c>
      <c r="Y9" s="858">
        <v>1</v>
      </c>
      <c r="Z9" s="858">
        <v>0</v>
      </c>
      <c r="AA9" s="858">
        <v>0</v>
      </c>
      <c r="AB9" s="858">
        <v>1</v>
      </c>
      <c r="AC9" s="858">
        <v>0</v>
      </c>
      <c r="AD9" s="858">
        <v>0</v>
      </c>
      <c r="AE9" s="858">
        <v>0</v>
      </c>
      <c r="AF9" s="858">
        <v>0</v>
      </c>
      <c r="AG9" s="858">
        <v>0</v>
      </c>
      <c r="AH9" s="858">
        <v>0</v>
      </c>
      <c r="AI9" s="858">
        <v>0</v>
      </c>
      <c r="AJ9" s="858">
        <v>0</v>
      </c>
      <c r="AK9" s="858">
        <v>1</v>
      </c>
      <c r="AL9" s="858">
        <v>0</v>
      </c>
      <c r="AM9" s="858">
        <v>0</v>
      </c>
      <c r="AN9" s="858">
        <v>1</v>
      </c>
      <c r="AP9" s="216" t="s">
        <v>100</v>
      </c>
      <c r="AQ9" s="217">
        <f>Namibiaalltestshisttriesscored</f>
        <v>760</v>
      </c>
      <c r="AS9" s="216" t="s">
        <v>100</v>
      </c>
      <c r="AT9" s="217">
        <f>NamibiaRWChisttriesscored</f>
        <v>30</v>
      </c>
    </row>
    <row r="10" spans="1:46" ht="14.95" customHeight="1" thickBot="1" x14ac:dyDescent="0.3">
      <c r="A10" s="340" t="s">
        <v>748</v>
      </c>
      <c r="B10" s="341" t="s">
        <v>487</v>
      </c>
      <c r="C10" s="374" t="s">
        <v>484</v>
      </c>
      <c r="D10" s="373" t="s">
        <v>745</v>
      </c>
      <c r="E10" s="314" t="s">
        <v>1</v>
      </c>
      <c r="F10" s="314">
        <v>40</v>
      </c>
      <c r="G10" s="314">
        <v>31</v>
      </c>
      <c r="H10" s="699">
        <v>1</v>
      </c>
      <c r="I10" s="699">
        <v>0</v>
      </c>
      <c r="J10" s="699">
        <v>6</v>
      </c>
      <c r="K10" s="699">
        <v>5</v>
      </c>
      <c r="L10" s="699">
        <v>0</v>
      </c>
      <c r="M10" s="699">
        <v>0</v>
      </c>
      <c r="N10" s="699">
        <v>1</v>
      </c>
      <c r="O10" s="699">
        <v>0</v>
      </c>
      <c r="P10" s="699">
        <v>1</v>
      </c>
      <c r="Q10" s="699">
        <v>0</v>
      </c>
      <c r="R10" s="699">
        <v>4</v>
      </c>
      <c r="S10" s="317">
        <v>3500</v>
      </c>
      <c r="T10" s="854" t="s">
        <v>814</v>
      </c>
      <c r="U10" s="317" t="s">
        <v>170</v>
      </c>
      <c r="V10" s="317" t="s">
        <v>188</v>
      </c>
      <c r="W10" s="317" t="s">
        <v>815</v>
      </c>
      <c r="X10" s="317" t="s">
        <v>787</v>
      </c>
      <c r="Y10" s="858">
        <v>1</v>
      </c>
      <c r="Z10" s="858">
        <v>1</v>
      </c>
      <c r="AA10" s="858">
        <v>0</v>
      </c>
      <c r="AB10" s="858">
        <v>0</v>
      </c>
      <c r="AC10" s="858">
        <v>0</v>
      </c>
      <c r="AD10" s="858">
        <v>0</v>
      </c>
      <c r="AE10" s="858">
        <v>0</v>
      </c>
      <c r="AF10" s="858">
        <v>0</v>
      </c>
      <c r="AG10" s="858">
        <v>0</v>
      </c>
      <c r="AH10" s="858">
        <v>0</v>
      </c>
      <c r="AI10" s="858">
        <v>0</v>
      </c>
      <c r="AJ10" s="858">
        <v>0</v>
      </c>
      <c r="AK10" s="858">
        <v>1</v>
      </c>
      <c r="AL10" s="858">
        <v>1</v>
      </c>
      <c r="AM10" s="858">
        <v>0</v>
      </c>
      <c r="AN10" s="858">
        <v>0</v>
      </c>
    </row>
    <row r="11" spans="1:46" ht="14.95" customHeight="1" thickBot="1" x14ac:dyDescent="0.3">
      <c r="A11" s="179"/>
      <c r="B11" s="180"/>
      <c r="C11" s="1230" t="s">
        <v>245</v>
      </c>
      <c r="D11" s="1253"/>
      <c r="E11" s="1254"/>
      <c r="F11" s="366">
        <f>F3</f>
        <v>6</v>
      </c>
      <c r="G11" s="366">
        <f>G3</f>
        <v>73</v>
      </c>
      <c r="H11" s="366" t="s">
        <v>80</v>
      </c>
      <c r="I11" s="366" t="s">
        <v>80</v>
      </c>
      <c r="J11" s="366">
        <f t="shared" ref="J11:O11" si="0">J3</f>
        <v>0</v>
      </c>
      <c r="K11" s="366">
        <f t="shared" si="0"/>
        <v>0</v>
      </c>
      <c r="L11" s="366">
        <f t="shared" si="0"/>
        <v>0</v>
      </c>
      <c r="M11" s="366">
        <f t="shared" si="0"/>
        <v>2</v>
      </c>
      <c r="N11" s="366">
        <f t="shared" si="0"/>
        <v>1</v>
      </c>
      <c r="O11" s="366">
        <f t="shared" si="0"/>
        <v>0</v>
      </c>
      <c r="P11" s="366" t="s">
        <v>80</v>
      </c>
      <c r="Q11" s="366" t="s">
        <v>80</v>
      </c>
      <c r="R11" s="366">
        <f>R3</f>
        <v>9</v>
      </c>
      <c r="S11" s="568"/>
      <c r="T11" s="569"/>
      <c r="U11" s="568"/>
      <c r="V11" s="568"/>
      <c r="W11" s="568"/>
      <c r="X11" s="570" t="s">
        <v>245</v>
      </c>
      <c r="Y11" s="571">
        <f t="shared" ref="Y11:AN11" si="1">Y3</f>
        <v>1</v>
      </c>
      <c r="Z11" s="571">
        <f t="shared" si="1"/>
        <v>0</v>
      </c>
      <c r="AA11" s="571">
        <f t="shared" si="1"/>
        <v>0</v>
      </c>
      <c r="AB11" s="571">
        <f t="shared" si="1"/>
        <v>1</v>
      </c>
      <c r="AC11" s="572">
        <f t="shared" si="1"/>
        <v>1</v>
      </c>
      <c r="AD11" s="572">
        <f t="shared" si="1"/>
        <v>0</v>
      </c>
      <c r="AE11" s="572">
        <f t="shared" si="1"/>
        <v>0</v>
      </c>
      <c r="AF11" s="572">
        <f t="shared" si="1"/>
        <v>1</v>
      </c>
      <c r="AG11" s="573">
        <f t="shared" si="1"/>
        <v>0</v>
      </c>
      <c r="AH11" s="573">
        <f t="shared" si="1"/>
        <v>0</v>
      </c>
      <c r="AI11" s="573">
        <f t="shared" si="1"/>
        <v>0</v>
      </c>
      <c r="AJ11" s="573">
        <f t="shared" si="1"/>
        <v>0</v>
      </c>
      <c r="AK11" s="571">
        <f t="shared" si="1"/>
        <v>0</v>
      </c>
      <c r="AL11" s="571">
        <f t="shared" si="1"/>
        <v>0</v>
      </c>
      <c r="AM11" s="571">
        <f t="shared" si="1"/>
        <v>0</v>
      </c>
      <c r="AN11" s="571">
        <f t="shared" si="1"/>
        <v>0</v>
      </c>
    </row>
    <row r="12" spans="1:46" ht="14.95" customHeight="1" thickBot="1" x14ac:dyDescent="0.3">
      <c r="A12" s="179"/>
      <c r="B12" s="180"/>
      <c r="C12" s="1128" t="s">
        <v>248</v>
      </c>
      <c r="D12" s="1129"/>
      <c r="E12" s="1130"/>
      <c r="F12" s="558">
        <f t="shared" ref="F12:R12" si="2">SUM(F4:F6)</f>
        <v>104</v>
      </c>
      <c r="G12" s="558">
        <f t="shared" si="2"/>
        <v>54</v>
      </c>
      <c r="H12" s="558">
        <f t="shared" si="2"/>
        <v>0</v>
      </c>
      <c r="I12" s="558">
        <f t="shared" si="2"/>
        <v>0</v>
      </c>
      <c r="J12" s="558">
        <f t="shared" si="2"/>
        <v>13</v>
      </c>
      <c r="K12" s="558">
        <f t="shared" si="2"/>
        <v>9</v>
      </c>
      <c r="L12" s="558">
        <f t="shared" si="2"/>
        <v>0</v>
      </c>
      <c r="M12" s="558">
        <f t="shared" si="2"/>
        <v>7</v>
      </c>
      <c r="N12" s="558">
        <f t="shared" si="2"/>
        <v>2</v>
      </c>
      <c r="O12" s="558">
        <f t="shared" si="2"/>
        <v>0</v>
      </c>
      <c r="P12" s="558">
        <f t="shared" si="2"/>
        <v>0</v>
      </c>
      <c r="Q12" s="558">
        <f t="shared" si="2"/>
        <v>0</v>
      </c>
      <c r="R12" s="558">
        <f t="shared" si="2"/>
        <v>7</v>
      </c>
      <c r="S12" s="564"/>
      <c r="T12" s="564"/>
      <c r="U12" s="564"/>
      <c r="V12" s="564"/>
      <c r="W12" s="175"/>
      <c r="X12" s="250" t="s">
        <v>248</v>
      </c>
      <c r="Y12" s="474">
        <f t="shared" ref="Y12:AN12" si="3">SUM(Y4:Y6)</f>
        <v>3</v>
      </c>
      <c r="Z12" s="558">
        <f t="shared" si="3"/>
        <v>2</v>
      </c>
      <c r="AA12" s="558">
        <f t="shared" si="3"/>
        <v>0</v>
      </c>
      <c r="AB12" s="558">
        <f t="shared" si="3"/>
        <v>1</v>
      </c>
      <c r="AC12" s="565">
        <f t="shared" si="3"/>
        <v>0</v>
      </c>
      <c r="AD12" s="565">
        <f t="shared" si="3"/>
        <v>0</v>
      </c>
      <c r="AE12" s="565">
        <f t="shared" si="3"/>
        <v>0</v>
      </c>
      <c r="AF12" s="565">
        <f t="shared" si="3"/>
        <v>0</v>
      </c>
      <c r="AG12" s="566">
        <f t="shared" si="3"/>
        <v>0</v>
      </c>
      <c r="AH12" s="566">
        <f t="shared" si="3"/>
        <v>0</v>
      </c>
      <c r="AI12" s="566">
        <f t="shared" si="3"/>
        <v>0</v>
      </c>
      <c r="AJ12" s="566">
        <f t="shared" si="3"/>
        <v>0</v>
      </c>
      <c r="AK12" s="558">
        <f t="shared" si="3"/>
        <v>3</v>
      </c>
      <c r="AL12" s="558">
        <f t="shared" si="3"/>
        <v>2</v>
      </c>
      <c r="AM12" s="558">
        <f t="shared" si="3"/>
        <v>0</v>
      </c>
      <c r="AN12" s="558">
        <f t="shared" si="3"/>
        <v>1</v>
      </c>
    </row>
    <row r="13" spans="1:46" ht="14.95" customHeight="1" thickBot="1" x14ac:dyDescent="0.3">
      <c r="A13" s="179"/>
      <c r="B13" s="180"/>
      <c r="C13" s="1078" t="s">
        <v>262</v>
      </c>
      <c r="D13" s="1079"/>
      <c r="E13" s="1080"/>
      <c r="F13" s="325">
        <f t="shared" ref="F13:R13" si="4">SUM(F7:F10)</f>
        <v>149</v>
      </c>
      <c r="G13" s="325">
        <f t="shared" si="4"/>
        <v>108</v>
      </c>
      <c r="H13" s="325">
        <f t="shared" si="4"/>
        <v>1</v>
      </c>
      <c r="I13" s="325">
        <f t="shared" si="4"/>
        <v>1</v>
      </c>
      <c r="J13" s="325">
        <f t="shared" si="4"/>
        <v>22</v>
      </c>
      <c r="K13" s="325">
        <f t="shared" si="4"/>
        <v>15</v>
      </c>
      <c r="L13" s="325">
        <f t="shared" si="4"/>
        <v>0</v>
      </c>
      <c r="M13" s="325">
        <f t="shared" si="4"/>
        <v>3</v>
      </c>
      <c r="N13" s="325">
        <f t="shared" si="4"/>
        <v>4</v>
      </c>
      <c r="O13" s="325">
        <f t="shared" si="4"/>
        <v>0</v>
      </c>
      <c r="P13" s="325">
        <f t="shared" si="4"/>
        <v>2</v>
      </c>
      <c r="Q13" s="325">
        <f t="shared" si="4"/>
        <v>0</v>
      </c>
      <c r="R13" s="325">
        <f t="shared" si="4"/>
        <v>15</v>
      </c>
      <c r="S13" s="326"/>
      <c r="T13" s="326"/>
      <c r="U13" s="326"/>
      <c r="V13" s="326"/>
      <c r="W13" s="327"/>
      <c r="X13" s="328" t="s">
        <v>262</v>
      </c>
      <c r="Y13" s="325">
        <f t="shared" ref="Y13:AN13" si="5">SUM(Y7:Y10)</f>
        <v>4</v>
      </c>
      <c r="Z13" s="325">
        <f t="shared" si="5"/>
        <v>1</v>
      </c>
      <c r="AA13" s="325">
        <f t="shared" si="5"/>
        <v>0</v>
      </c>
      <c r="AB13" s="325">
        <f t="shared" si="5"/>
        <v>3</v>
      </c>
      <c r="AC13" s="337">
        <f t="shared" si="5"/>
        <v>0</v>
      </c>
      <c r="AD13" s="337">
        <f t="shared" si="5"/>
        <v>0</v>
      </c>
      <c r="AE13" s="337">
        <f t="shared" si="5"/>
        <v>0</v>
      </c>
      <c r="AF13" s="337">
        <f t="shared" si="5"/>
        <v>0</v>
      </c>
      <c r="AG13" s="338">
        <f t="shared" si="5"/>
        <v>0</v>
      </c>
      <c r="AH13" s="338">
        <f t="shared" si="5"/>
        <v>0</v>
      </c>
      <c r="AI13" s="338">
        <f t="shared" si="5"/>
        <v>0</v>
      </c>
      <c r="AJ13" s="338">
        <f t="shared" si="5"/>
        <v>0</v>
      </c>
      <c r="AK13" s="325">
        <f t="shared" si="5"/>
        <v>4</v>
      </c>
      <c r="AL13" s="325">
        <f t="shared" si="5"/>
        <v>1</v>
      </c>
      <c r="AM13" s="325">
        <f t="shared" si="5"/>
        <v>0</v>
      </c>
      <c r="AN13" s="325">
        <f t="shared" si="5"/>
        <v>3</v>
      </c>
    </row>
    <row r="14" spans="1:46" ht="14.95" customHeight="1" thickBot="1" x14ac:dyDescent="0.3">
      <c r="A14" s="362"/>
      <c r="C14" s="1087" t="s">
        <v>81</v>
      </c>
      <c r="D14" s="1088"/>
      <c r="E14" s="1089"/>
      <c r="F14" s="231">
        <f>SUM(F3:F10)</f>
        <v>259</v>
      </c>
      <c r="G14" s="231">
        <f t="shared" ref="G14:R14" si="6">SUM(G3:G10)</f>
        <v>235</v>
      </c>
      <c r="H14" s="231">
        <f t="shared" si="6"/>
        <v>1</v>
      </c>
      <c r="I14" s="231">
        <f t="shared" si="6"/>
        <v>1</v>
      </c>
      <c r="J14" s="231">
        <f t="shared" si="6"/>
        <v>35</v>
      </c>
      <c r="K14" s="231">
        <f t="shared" si="6"/>
        <v>24</v>
      </c>
      <c r="L14" s="231">
        <f t="shared" si="6"/>
        <v>0</v>
      </c>
      <c r="M14" s="231">
        <f t="shared" si="6"/>
        <v>12</v>
      </c>
      <c r="N14" s="231">
        <f t="shared" si="6"/>
        <v>7</v>
      </c>
      <c r="O14" s="231">
        <f t="shared" si="6"/>
        <v>0</v>
      </c>
      <c r="P14" s="231">
        <f t="shared" si="6"/>
        <v>2</v>
      </c>
      <c r="Q14" s="231">
        <f t="shared" si="6"/>
        <v>0</v>
      </c>
      <c r="R14" s="231">
        <f t="shared" si="6"/>
        <v>31</v>
      </c>
      <c r="S14" s="228"/>
      <c r="T14" s="228"/>
      <c r="U14" s="228"/>
      <c r="V14" s="228"/>
      <c r="W14" s="13"/>
      <c r="X14" s="246" t="s">
        <v>81</v>
      </c>
      <c r="Y14" s="231">
        <f t="shared" ref="Y14:AN14" si="7">SUM(Y3:Y10)</f>
        <v>8</v>
      </c>
      <c r="Z14" s="231">
        <f t="shared" si="7"/>
        <v>3</v>
      </c>
      <c r="AA14" s="231">
        <f t="shared" si="7"/>
        <v>0</v>
      </c>
      <c r="AB14" s="231">
        <f t="shared" si="7"/>
        <v>5</v>
      </c>
      <c r="AC14" s="229">
        <f t="shared" si="7"/>
        <v>1</v>
      </c>
      <c r="AD14" s="229">
        <f t="shared" si="7"/>
        <v>0</v>
      </c>
      <c r="AE14" s="229">
        <f t="shared" si="7"/>
        <v>0</v>
      </c>
      <c r="AF14" s="229">
        <f t="shared" si="7"/>
        <v>1</v>
      </c>
      <c r="AG14" s="230">
        <f t="shared" si="7"/>
        <v>0</v>
      </c>
      <c r="AH14" s="230">
        <f t="shared" si="7"/>
        <v>0</v>
      </c>
      <c r="AI14" s="230">
        <f t="shared" si="7"/>
        <v>0</v>
      </c>
      <c r="AJ14" s="230">
        <f t="shared" si="7"/>
        <v>0</v>
      </c>
      <c r="AK14" s="231">
        <f t="shared" si="7"/>
        <v>7</v>
      </c>
      <c r="AL14" s="231">
        <f t="shared" si="7"/>
        <v>3</v>
      </c>
      <c r="AM14" s="231">
        <f t="shared" si="7"/>
        <v>0</v>
      </c>
      <c r="AN14" s="231">
        <f t="shared" si="7"/>
        <v>4</v>
      </c>
    </row>
    <row r="15" spans="1:46" ht="14.95" customHeight="1" x14ac:dyDescent="0.25">
      <c r="A15" s="362"/>
      <c r="B15" s="14"/>
      <c r="C15" s="402"/>
      <c r="D15" s="402"/>
      <c r="E15" s="402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4"/>
      <c r="T15" s="404"/>
      <c r="U15" s="404"/>
      <c r="V15" s="404"/>
      <c r="W15" s="13"/>
      <c r="X15" s="1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</row>
    <row r="16" spans="1:46" ht="14.95" customHeight="1" x14ac:dyDescent="0.25">
      <c r="A16" s="1108" t="s">
        <v>247</v>
      </c>
      <c r="B16" s="1255"/>
      <c r="C16" s="1255"/>
      <c r="D16" s="1255"/>
      <c r="E16" s="1255"/>
      <c r="F16" s="1255"/>
      <c r="G16" s="1255"/>
      <c r="H16" s="1255"/>
      <c r="I16" s="1255"/>
      <c r="J16" s="1255"/>
      <c r="K16" s="1255"/>
      <c r="L16" s="1255"/>
      <c r="M16" s="1255"/>
      <c r="N16" s="1255"/>
      <c r="O16" s="1255"/>
      <c r="P16" s="1255"/>
      <c r="Q16" s="1255"/>
      <c r="R16" s="1255"/>
      <c r="S16" s="1255"/>
      <c r="T16" s="1255"/>
      <c r="U16" s="1255"/>
      <c r="V16" s="1255"/>
      <c r="W16" s="1255"/>
      <c r="X16" s="1255"/>
      <c r="Y16" s="1255"/>
      <c r="Z16" s="1255"/>
      <c r="AA16" s="1255"/>
      <c r="AB16" s="1255"/>
      <c r="AC16" s="1255"/>
      <c r="AD16" s="1255"/>
      <c r="AE16" s="1255"/>
      <c r="AF16" s="1255"/>
      <c r="AG16" s="1255"/>
      <c r="AH16" s="1255"/>
      <c r="AI16" s="1255"/>
      <c r="AJ16" s="1255"/>
      <c r="AK16" s="1255"/>
      <c r="AL16" s="1255"/>
      <c r="AM16" s="1255"/>
      <c r="AN16" s="1255"/>
    </row>
    <row r="17" spans="1:40" ht="14.95" customHeight="1" x14ac:dyDescent="0.25">
      <c r="A17" s="1108" t="s">
        <v>746</v>
      </c>
      <c r="B17" s="1255"/>
      <c r="C17" s="1255"/>
      <c r="D17" s="1255"/>
      <c r="E17" s="1255"/>
      <c r="F17" s="1255"/>
      <c r="G17" s="1255"/>
      <c r="H17" s="1255"/>
      <c r="I17" s="1255"/>
      <c r="J17" s="1255"/>
      <c r="K17" s="1255"/>
      <c r="L17" s="1255"/>
      <c r="M17" s="1255"/>
      <c r="N17" s="1255"/>
      <c r="O17" s="1255"/>
      <c r="P17" s="1255"/>
      <c r="Q17" s="1255"/>
      <c r="R17" s="1255"/>
      <c r="S17" s="815"/>
      <c r="T17" s="815"/>
      <c r="U17" s="815"/>
      <c r="V17" s="815"/>
      <c r="W17" s="815"/>
      <c r="X17" s="815"/>
      <c r="Y17" s="815"/>
      <c r="Z17" s="815"/>
      <c r="AA17" s="815"/>
      <c r="AB17" s="815"/>
      <c r="AC17" s="815"/>
      <c r="AD17" s="815"/>
      <c r="AE17" s="815"/>
      <c r="AF17" s="815"/>
      <c r="AG17" s="815"/>
      <c r="AH17" s="815"/>
      <c r="AI17" s="815"/>
      <c r="AJ17" s="815"/>
      <c r="AK17" s="815"/>
      <c r="AL17" s="815"/>
      <c r="AM17" s="815"/>
      <c r="AN17" s="815"/>
    </row>
    <row r="18" spans="1:40" ht="14.95" customHeight="1" x14ac:dyDescent="0.25">
      <c r="A18" s="1108" t="s">
        <v>520</v>
      </c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  <c r="Z18" s="1063"/>
      <c r="AA18" s="1063"/>
      <c r="AB18" s="1063"/>
      <c r="AC18" s="1063"/>
      <c r="AD18" s="1063"/>
      <c r="AE18" s="1063"/>
      <c r="AF18" s="1063"/>
      <c r="AG18" s="1063"/>
      <c r="AH18" s="1063"/>
      <c r="AI18" s="1063"/>
      <c r="AJ18" s="1063"/>
      <c r="AK18" s="1063"/>
      <c r="AL18" s="1063"/>
      <c r="AM18" s="1063"/>
      <c r="AN18" s="1063"/>
    </row>
    <row r="19" spans="1:40" ht="14.95" customHeight="1" x14ac:dyDescent="0.25">
      <c r="A19" s="1108" t="s">
        <v>133</v>
      </c>
      <c r="B19" s="1063"/>
      <c r="C19" s="1063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  <c r="S19" s="1063"/>
      <c r="T19" s="1063"/>
      <c r="U19" s="1063"/>
      <c r="V19" s="1063"/>
      <c r="W19" s="1063"/>
      <c r="X19" s="1063"/>
      <c r="Y19" s="1063"/>
      <c r="Z19" s="1063"/>
      <c r="AA19" s="1063"/>
      <c r="AB19" s="1063"/>
      <c r="AC19" s="1063"/>
      <c r="AD19" s="1063"/>
      <c r="AE19" s="1063"/>
      <c r="AF19" s="1063"/>
      <c r="AG19" s="1063"/>
      <c r="AH19" s="1063"/>
      <c r="AI19" s="1063"/>
      <c r="AJ19" s="1063"/>
      <c r="AK19" s="1063"/>
      <c r="AL19" s="1063"/>
      <c r="AM19" s="1063"/>
      <c r="AN19" s="1063"/>
    </row>
    <row r="20" spans="1:40" ht="14.95" customHeight="1" x14ac:dyDescent="0.25">
      <c r="A20" s="376"/>
      <c r="B20" t="s">
        <v>44</v>
      </c>
    </row>
    <row r="21" spans="1:40" ht="14.95" customHeight="1" x14ac:dyDescent="0.25">
      <c r="A21" s="377"/>
      <c r="B21" t="s">
        <v>42</v>
      </c>
    </row>
    <row r="22" spans="1:40" ht="14.95" customHeight="1" x14ac:dyDescent="0.25">
      <c r="A22" s="378"/>
      <c r="B22" t="s">
        <v>43</v>
      </c>
    </row>
    <row r="23" spans="1:40" ht="14.95" customHeight="1" x14ac:dyDescent="0.3">
      <c r="A23" s="792" t="s">
        <v>28</v>
      </c>
    </row>
  </sheetData>
  <mergeCells count="18">
    <mergeCell ref="A17:R17"/>
    <mergeCell ref="C13:E13"/>
    <mergeCell ref="A19:AN19"/>
    <mergeCell ref="A16:AN16"/>
    <mergeCell ref="A18:AN18"/>
    <mergeCell ref="AK1:AN1"/>
    <mergeCell ref="C14:E14"/>
    <mergeCell ref="P1:R1"/>
    <mergeCell ref="A1:C1"/>
    <mergeCell ref="E1:G1"/>
    <mergeCell ref="H1:I1"/>
    <mergeCell ref="J1:M1"/>
    <mergeCell ref="N1:O1"/>
    <mergeCell ref="Y1:AB1"/>
    <mergeCell ref="AC1:AF1"/>
    <mergeCell ref="AG1:AJ1"/>
    <mergeCell ref="C12:E12"/>
    <mergeCell ref="C11:E11"/>
  </mergeCells>
  <pageMargins left="0.7" right="0.7" top="0.75" bottom="0.75" header="0.3" footer="0.3"/>
  <pageSetup paperSize="9" orientation="portrait" r:id="rId1"/>
  <ignoredErrors>
    <ignoredError sqref="T3 T8" twoDigitTextYear="1"/>
    <ignoredError sqref="C12:AN12 F13:AN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J17" sqref="J17"/>
    </sheetView>
  </sheetViews>
  <sheetFormatPr defaultRowHeight="14.3" x14ac:dyDescent="0.25"/>
  <cols>
    <col min="1" max="1" width="6.75" bestFit="1" customWidth="1"/>
    <col min="2" max="2" width="7.75" bestFit="1" customWidth="1"/>
    <col min="3" max="4" width="3.875" bestFit="1" customWidth="1"/>
    <col min="5" max="5" width="7.75" bestFit="1" customWidth="1"/>
    <col min="6" max="6" width="2.875" bestFit="1" customWidth="1"/>
    <col min="7" max="7" width="3" bestFit="1" customWidth="1"/>
    <col min="8" max="8" width="1.625" customWidth="1"/>
    <col min="9" max="9" width="17.25" bestFit="1" customWidth="1"/>
    <col min="10" max="10" width="36.375" bestFit="1" customWidth="1"/>
    <col min="11" max="12" width="10.125" bestFit="1" customWidth="1"/>
  </cols>
  <sheetData>
    <row r="1" spans="1:10" x14ac:dyDescent="0.25">
      <c r="A1" s="357">
        <v>46058</v>
      </c>
      <c r="B1" t="s">
        <v>34</v>
      </c>
      <c r="C1">
        <v>36</v>
      </c>
      <c r="D1">
        <v>14</v>
      </c>
      <c r="E1" t="s">
        <v>39</v>
      </c>
      <c r="F1">
        <v>22</v>
      </c>
      <c r="G1">
        <v>0</v>
      </c>
      <c r="I1" t="s">
        <v>915</v>
      </c>
      <c r="J1" t="s">
        <v>916</v>
      </c>
    </row>
    <row r="2" spans="1:10" x14ac:dyDescent="0.25">
      <c r="A2" s="357">
        <v>46060</v>
      </c>
      <c r="B2" t="s">
        <v>33</v>
      </c>
      <c r="C2">
        <v>18</v>
      </c>
      <c r="D2">
        <v>15</v>
      </c>
      <c r="E2" t="s">
        <v>35</v>
      </c>
      <c r="F2">
        <v>15</v>
      </c>
      <c r="G2">
        <v>7</v>
      </c>
      <c r="I2" t="s">
        <v>915</v>
      </c>
      <c r="J2" t="s">
        <v>919</v>
      </c>
    </row>
    <row r="3" spans="1:10" x14ac:dyDescent="0.25">
      <c r="A3" s="357">
        <v>46060</v>
      </c>
      <c r="B3" t="s">
        <v>30</v>
      </c>
      <c r="C3">
        <v>48</v>
      </c>
      <c r="D3">
        <v>7</v>
      </c>
      <c r="E3" t="s">
        <v>32</v>
      </c>
      <c r="F3">
        <v>29</v>
      </c>
      <c r="G3">
        <v>0</v>
      </c>
      <c r="I3" t="s">
        <v>915</v>
      </c>
      <c r="J3" t="s">
        <v>931</v>
      </c>
    </row>
    <row r="4" spans="1:10" x14ac:dyDescent="0.25">
      <c r="A4" s="357">
        <v>46067</v>
      </c>
      <c r="B4" t="s">
        <v>39</v>
      </c>
      <c r="C4">
        <v>20</v>
      </c>
      <c r="D4">
        <v>13</v>
      </c>
      <c r="E4" t="s">
        <v>33</v>
      </c>
      <c r="F4">
        <v>5</v>
      </c>
      <c r="G4">
        <v>10</v>
      </c>
      <c r="I4" t="s">
        <v>937</v>
      </c>
      <c r="J4" t="s">
        <v>938</v>
      </c>
    </row>
    <row r="5" spans="1:10" x14ac:dyDescent="0.25">
      <c r="A5" s="357">
        <v>46067</v>
      </c>
      <c r="B5" t="s">
        <v>35</v>
      </c>
      <c r="C5">
        <v>31</v>
      </c>
      <c r="D5">
        <v>20</v>
      </c>
      <c r="E5" t="s">
        <v>30</v>
      </c>
      <c r="F5">
        <v>24</v>
      </c>
      <c r="G5">
        <v>10</v>
      </c>
      <c r="I5" t="s">
        <v>937</v>
      </c>
      <c r="J5" t="s">
        <v>950</v>
      </c>
    </row>
    <row r="6" spans="1:10" x14ac:dyDescent="0.25">
      <c r="A6" s="357">
        <v>46068</v>
      </c>
      <c r="B6" t="s">
        <v>32</v>
      </c>
      <c r="C6">
        <v>12</v>
      </c>
      <c r="D6">
        <v>54</v>
      </c>
      <c r="E6" t="s">
        <v>34</v>
      </c>
      <c r="F6">
        <v>7</v>
      </c>
      <c r="G6">
        <v>26</v>
      </c>
      <c r="I6" t="s">
        <v>937</v>
      </c>
      <c r="J6" t="s">
        <v>960</v>
      </c>
    </row>
    <row r="7" spans="1:10" x14ac:dyDescent="0.25">
      <c r="A7" s="357">
        <v>46074</v>
      </c>
      <c r="B7" t="s">
        <v>30</v>
      </c>
      <c r="C7">
        <v>21</v>
      </c>
      <c r="D7">
        <v>42</v>
      </c>
      <c r="E7" t="s">
        <v>39</v>
      </c>
      <c r="F7">
        <v>7</v>
      </c>
      <c r="G7">
        <v>22</v>
      </c>
      <c r="I7" t="s">
        <v>1030</v>
      </c>
      <c r="J7" t="s">
        <v>931</v>
      </c>
    </row>
    <row r="8" spans="1:10" x14ac:dyDescent="0.25">
      <c r="A8" s="357">
        <v>46074</v>
      </c>
      <c r="B8" t="s">
        <v>32</v>
      </c>
      <c r="C8">
        <v>23</v>
      </c>
      <c r="D8">
        <v>26</v>
      </c>
      <c r="E8" t="s">
        <v>35</v>
      </c>
      <c r="F8">
        <v>17</v>
      </c>
      <c r="G8">
        <v>5</v>
      </c>
      <c r="I8" t="s">
        <v>1030</v>
      </c>
      <c r="J8" t="s">
        <v>960</v>
      </c>
    </row>
    <row r="9" spans="1:10" x14ac:dyDescent="0.25">
      <c r="A9" s="357">
        <v>46075</v>
      </c>
      <c r="B9" t="s">
        <v>34</v>
      </c>
      <c r="C9">
        <v>33</v>
      </c>
      <c r="D9">
        <v>8</v>
      </c>
      <c r="E9" t="s">
        <v>33</v>
      </c>
      <c r="F9">
        <v>19</v>
      </c>
      <c r="G9">
        <v>8</v>
      </c>
      <c r="I9" t="s">
        <v>1030</v>
      </c>
      <c r="J9" t="s">
        <v>1055</v>
      </c>
    </row>
    <row r="10" spans="1:10" x14ac:dyDescent="0.25">
      <c r="A10" s="357">
        <v>46087</v>
      </c>
      <c r="B10" t="s">
        <v>39</v>
      </c>
      <c r="C10">
        <v>27</v>
      </c>
      <c r="D10">
        <v>17</v>
      </c>
      <c r="E10" t="s">
        <v>32</v>
      </c>
      <c r="F10">
        <v>12</v>
      </c>
      <c r="G10">
        <v>10</v>
      </c>
      <c r="I10" t="s">
        <v>1065</v>
      </c>
      <c r="J10" t="s">
        <v>938</v>
      </c>
    </row>
    <row r="11" spans="1:10" x14ac:dyDescent="0.25">
      <c r="A11" s="357">
        <v>46088</v>
      </c>
      <c r="B11" t="s">
        <v>35</v>
      </c>
      <c r="C11">
        <v>50</v>
      </c>
      <c r="D11">
        <v>40</v>
      </c>
      <c r="E11" t="s">
        <v>34</v>
      </c>
      <c r="F11">
        <v>19</v>
      </c>
      <c r="G11">
        <v>14</v>
      </c>
      <c r="I11" t="s">
        <v>1065</v>
      </c>
      <c r="J11" t="s">
        <v>950</v>
      </c>
    </row>
    <row r="12" spans="1:10" x14ac:dyDescent="0.25">
      <c r="A12" s="357">
        <v>46088</v>
      </c>
      <c r="B12" t="s">
        <v>33</v>
      </c>
      <c r="C12">
        <v>23</v>
      </c>
      <c r="D12">
        <v>18</v>
      </c>
      <c r="E12" t="s">
        <v>30</v>
      </c>
      <c r="F12">
        <v>10</v>
      </c>
      <c r="G12">
        <v>12</v>
      </c>
      <c r="I12" t="s">
        <v>1065</v>
      </c>
      <c r="J12" t="s">
        <v>919</v>
      </c>
    </row>
    <row r="13" spans="1:10" x14ac:dyDescent="0.25">
      <c r="A13" s="357"/>
    </row>
    <row r="14" spans="1:10" x14ac:dyDescent="0.25">
      <c r="A14" s="357"/>
    </row>
    <row r="15" spans="1:10" x14ac:dyDescent="0.25">
      <c r="A15" s="357"/>
    </row>
    <row r="16" spans="1:10" x14ac:dyDescent="0.25">
      <c r="A16" s="357"/>
    </row>
    <row r="17" spans="1:12" x14ac:dyDescent="0.25">
      <c r="A17" s="357"/>
    </row>
    <row r="18" spans="1:12" x14ac:dyDescent="0.25">
      <c r="A18" s="357"/>
    </row>
    <row r="19" spans="1:12" x14ac:dyDescent="0.25">
      <c r="A19" s="357"/>
    </row>
    <row r="20" spans="1:12" x14ac:dyDescent="0.25">
      <c r="A20" s="357"/>
    </row>
    <row r="21" spans="1:12" x14ac:dyDescent="0.25">
      <c r="A21" s="357"/>
    </row>
    <row r="22" spans="1:12" x14ac:dyDescent="0.25">
      <c r="A22" s="357"/>
      <c r="B22" s="193"/>
      <c r="C22" s="186"/>
      <c r="D22" s="194"/>
      <c r="E22" s="193"/>
      <c r="F22" s="1038" t="s">
        <v>137</v>
      </c>
      <c r="G22" s="1038"/>
      <c r="H22" s="1038"/>
      <c r="I22" s="193"/>
      <c r="K22" s="159"/>
      <c r="L22" s="159"/>
    </row>
    <row r="23" spans="1:12" ht="16.3" x14ac:dyDescent="0.3">
      <c r="A23" s="792" t="s">
        <v>28</v>
      </c>
      <c r="E23" s="193"/>
      <c r="F23" s="359"/>
      <c r="G23" s="359"/>
      <c r="H23" s="194"/>
      <c r="I23" s="193"/>
      <c r="K23" s="159"/>
      <c r="L23" s="159"/>
    </row>
    <row r="24" spans="1:12" x14ac:dyDescent="0.25">
      <c r="E24" s="193"/>
      <c r="F24" s="359"/>
      <c r="G24" s="359"/>
      <c r="H24" s="194"/>
      <c r="I24" s="193"/>
      <c r="K24" s="159"/>
      <c r="L24" s="159"/>
    </row>
    <row r="25" spans="1:12" x14ac:dyDescent="0.25">
      <c r="E25" s="193"/>
      <c r="F25" s="359"/>
      <c r="G25" s="359"/>
      <c r="H25" s="194"/>
      <c r="I25" s="193"/>
      <c r="K25" s="159"/>
      <c r="L25" s="159"/>
    </row>
    <row r="26" spans="1:12" x14ac:dyDescent="0.25">
      <c r="E26" s="193"/>
      <c r="F26" s="359"/>
      <c r="G26" s="359"/>
      <c r="H26" s="194"/>
      <c r="I26" s="193"/>
      <c r="K26" s="159"/>
      <c r="L26" s="159"/>
    </row>
    <row r="27" spans="1:12" x14ac:dyDescent="0.25">
      <c r="E27" s="193"/>
      <c r="F27" s="359"/>
      <c r="G27" s="359"/>
      <c r="H27" s="194"/>
      <c r="I27" s="193"/>
      <c r="K27" s="159"/>
      <c r="L27" s="159"/>
    </row>
    <row r="28" spans="1:12" x14ac:dyDescent="0.25">
      <c r="E28" s="193"/>
      <c r="F28" s="359"/>
      <c r="G28" s="359"/>
      <c r="H28" s="194"/>
      <c r="I28" s="193"/>
      <c r="K28" s="159"/>
      <c r="L28" s="159"/>
    </row>
    <row r="29" spans="1:12" x14ac:dyDescent="0.25">
      <c r="E29" s="193"/>
      <c r="F29" s="359"/>
      <c r="G29" s="359"/>
      <c r="H29" s="194"/>
      <c r="I29" s="193"/>
      <c r="K29" s="159"/>
      <c r="L29" s="159"/>
    </row>
    <row r="30" spans="1:12" x14ac:dyDescent="0.25">
      <c r="E30" s="193"/>
      <c r="F30" s="359"/>
      <c r="G30" s="359"/>
      <c r="H30" s="194"/>
      <c r="I30" s="193"/>
      <c r="K30" s="159"/>
      <c r="L30" s="159"/>
    </row>
    <row r="31" spans="1:12" x14ac:dyDescent="0.25">
      <c r="E31" s="193"/>
      <c r="F31" s="359"/>
      <c r="G31" s="359"/>
      <c r="H31" s="194"/>
      <c r="I31" s="193"/>
      <c r="K31" s="159"/>
      <c r="L31" s="159"/>
    </row>
    <row r="32" spans="1:12" x14ac:dyDescent="0.25">
      <c r="A32" s="357"/>
      <c r="B32" s="193"/>
      <c r="C32" s="186"/>
      <c r="D32" s="194"/>
      <c r="E32" s="193"/>
      <c r="F32" s="359"/>
      <c r="G32" s="359"/>
      <c r="H32" s="194"/>
      <c r="I32" s="193"/>
      <c r="K32" s="159"/>
      <c r="L32" s="159"/>
    </row>
    <row r="33" spans="1:12" x14ac:dyDescent="0.25">
      <c r="A33" s="357"/>
      <c r="B33" s="193"/>
      <c r="C33" s="186"/>
      <c r="D33" s="194"/>
      <c r="E33" s="193"/>
      <c r="F33" s="359"/>
      <c r="G33" s="359"/>
      <c r="H33" s="194"/>
      <c r="I33" s="193"/>
      <c r="K33" s="159"/>
      <c r="L33" s="159"/>
    </row>
    <row r="34" spans="1:12" x14ac:dyDescent="0.25">
      <c r="A34" s="357"/>
      <c r="B34" s="193"/>
      <c r="C34" s="186"/>
      <c r="D34" s="194"/>
      <c r="E34" s="193"/>
      <c r="F34" s="359"/>
      <c r="G34" s="359"/>
      <c r="H34" s="194"/>
      <c r="I34" s="193"/>
      <c r="K34" s="159"/>
      <c r="L34" s="159"/>
    </row>
    <row r="35" spans="1:12" x14ac:dyDescent="0.25">
      <c r="A35" s="357"/>
      <c r="B35" s="193"/>
      <c r="C35" s="186"/>
      <c r="D35" s="194"/>
      <c r="E35" s="193"/>
      <c r="F35" s="359"/>
      <c r="G35" s="359"/>
      <c r="H35" s="194"/>
      <c r="I35" s="193"/>
      <c r="K35" s="159"/>
      <c r="L35" s="159"/>
    </row>
    <row r="36" spans="1:12" x14ac:dyDescent="0.25">
      <c r="A36" s="357"/>
      <c r="B36" s="193"/>
      <c r="C36" s="186"/>
      <c r="D36" s="194"/>
      <c r="E36" s="193"/>
      <c r="F36" s="359"/>
      <c r="G36" s="359"/>
      <c r="H36" s="194"/>
      <c r="I36" s="193"/>
      <c r="J36" s="587"/>
      <c r="K36" s="159"/>
      <c r="L36" s="159"/>
    </row>
    <row r="37" spans="1:12" x14ac:dyDescent="0.25">
      <c r="A37" s="357"/>
      <c r="B37" s="193"/>
      <c r="C37" s="186"/>
      <c r="D37" s="194"/>
      <c r="E37" s="193"/>
      <c r="F37" s="359"/>
      <c r="G37" s="359"/>
      <c r="H37" s="194"/>
      <c r="I37" s="193"/>
      <c r="K37" s="159"/>
      <c r="L37" s="159"/>
    </row>
    <row r="38" spans="1:12" x14ac:dyDescent="0.25">
      <c r="A38" s="357"/>
      <c r="B38" s="193"/>
      <c r="C38" s="186"/>
      <c r="D38" s="194"/>
      <c r="E38" s="193"/>
      <c r="F38" s="359"/>
      <c r="G38" s="359"/>
      <c r="H38" s="194"/>
      <c r="I38" s="193"/>
      <c r="K38" s="159"/>
      <c r="L38" s="159"/>
    </row>
    <row r="39" spans="1:12" x14ac:dyDescent="0.25">
      <c r="A39" s="357"/>
      <c r="B39" s="193"/>
      <c r="C39" s="186"/>
      <c r="D39" s="194"/>
      <c r="E39" s="193"/>
      <c r="F39" s="359"/>
      <c r="G39" s="359"/>
      <c r="H39" s="194"/>
      <c r="I39" s="193"/>
      <c r="K39" s="159"/>
      <c r="L39" s="159"/>
    </row>
    <row r="40" spans="1:12" x14ac:dyDescent="0.25">
      <c r="A40" s="357"/>
      <c r="B40" s="193"/>
      <c r="C40" s="186"/>
      <c r="D40" s="194"/>
      <c r="E40" s="193"/>
      <c r="F40" s="359"/>
      <c r="G40" s="359"/>
      <c r="H40" s="194"/>
      <c r="I40" s="193"/>
      <c r="K40" s="159"/>
      <c r="L40" s="159"/>
    </row>
    <row r="41" spans="1:12" x14ac:dyDescent="0.25">
      <c r="A41" s="357"/>
      <c r="B41" s="193"/>
      <c r="C41" s="186"/>
      <c r="D41" s="194"/>
      <c r="E41" s="193"/>
      <c r="F41" s="359"/>
      <c r="G41" s="359"/>
      <c r="H41" s="194"/>
      <c r="I41" s="193"/>
      <c r="K41" s="159"/>
      <c r="L41" s="159"/>
    </row>
    <row r="42" spans="1:12" x14ac:dyDescent="0.25">
      <c r="A42" s="357"/>
      <c r="B42" s="193"/>
      <c r="C42" s="186"/>
      <c r="D42" s="194"/>
      <c r="E42" s="193"/>
      <c r="F42" s="359"/>
      <c r="G42" s="359"/>
      <c r="H42" s="194"/>
      <c r="I42" s="193"/>
      <c r="K42" s="159"/>
      <c r="L42" s="159"/>
    </row>
    <row r="43" spans="1:12" x14ac:dyDescent="0.25">
      <c r="A43" s="357"/>
      <c r="B43" s="193"/>
      <c r="C43" s="186"/>
      <c r="D43" s="194"/>
      <c r="E43" s="193"/>
      <c r="F43" s="359"/>
      <c r="G43" s="359"/>
      <c r="H43" s="194"/>
      <c r="I43" s="193"/>
      <c r="K43" s="159"/>
      <c r="L43" s="159"/>
    </row>
    <row r="44" spans="1:12" x14ac:dyDescent="0.25">
      <c r="A44" s="357"/>
      <c r="B44" s="193"/>
      <c r="C44" s="186"/>
      <c r="D44" s="194"/>
      <c r="E44" s="193"/>
      <c r="F44" s="359"/>
      <c r="G44" s="359"/>
      <c r="H44" s="194"/>
      <c r="I44" s="193"/>
      <c r="K44" s="159"/>
      <c r="L44" s="159"/>
    </row>
    <row r="45" spans="1:12" x14ac:dyDescent="0.25">
      <c r="A45" s="357"/>
      <c r="B45" s="193"/>
      <c r="C45" s="186"/>
      <c r="D45" s="194"/>
      <c r="E45" s="193"/>
      <c r="F45" s="359"/>
      <c r="G45" s="359"/>
      <c r="H45" s="194"/>
      <c r="I45" s="193"/>
      <c r="K45" s="159"/>
      <c r="L45" s="159"/>
    </row>
    <row r="46" spans="1:12" x14ac:dyDescent="0.25">
      <c r="A46" s="357"/>
      <c r="B46" s="193"/>
      <c r="C46" s="186"/>
      <c r="D46" s="588"/>
      <c r="E46" s="193"/>
      <c r="F46" s="359"/>
      <c r="G46" s="359"/>
      <c r="H46" s="194"/>
      <c r="I46" s="193"/>
      <c r="K46" s="159"/>
      <c r="L46" s="159"/>
    </row>
    <row r="47" spans="1:12" x14ac:dyDescent="0.25">
      <c r="A47" s="357"/>
      <c r="B47" s="193"/>
      <c r="C47" s="186"/>
      <c r="D47" s="194"/>
      <c r="E47" s="193"/>
      <c r="F47" s="359"/>
      <c r="G47" s="359"/>
      <c r="H47" s="194"/>
      <c r="I47" s="193"/>
      <c r="K47" s="159"/>
      <c r="L47" s="159"/>
    </row>
    <row r="48" spans="1:12" x14ac:dyDescent="0.25">
      <c r="A48" s="357"/>
      <c r="B48" s="193"/>
      <c r="C48" s="186"/>
      <c r="D48" s="194"/>
      <c r="E48" s="193"/>
      <c r="F48" s="359"/>
      <c r="G48" s="359"/>
      <c r="H48" s="194"/>
      <c r="I48" s="193"/>
      <c r="K48" s="159"/>
      <c r="L48" s="159"/>
    </row>
    <row r="49" spans="1:12" x14ac:dyDescent="0.25">
      <c r="A49" s="357"/>
      <c r="B49" s="193"/>
      <c r="C49" s="186"/>
      <c r="D49" s="194"/>
      <c r="E49" s="193"/>
      <c r="F49" s="359"/>
      <c r="G49" s="359"/>
      <c r="H49" s="194"/>
      <c r="I49" s="193"/>
      <c r="K49" s="159"/>
      <c r="L49" s="159"/>
    </row>
    <row r="50" spans="1:12" x14ac:dyDescent="0.25">
      <c r="A50" s="357"/>
      <c r="B50" s="193"/>
      <c r="C50" s="186"/>
      <c r="D50" s="194"/>
      <c r="E50" s="193"/>
      <c r="F50" s="359"/>
      <c r="G50" s="359"/>
      <c r="H50" s="194"/>
      <c r="I50" s="193"/>
      <c r="K50" s="159"/>
      <c r="L50" s="159"/>
    </row>
    <row r="51" spans="1:12" x14ac:dyDescent="0.25">
      <c r="A51" s="357"/>
      <c r="B51" s="193"/>
      <c r="C51" s="186"/>
      <c r="D51" s="194"/>
      <c r="E51" s="193"/>
      <c r="F51" s="359"/>
      <c r="G51" s="359"/>
      <c r="H51" s="194"/>
      <c r="I51" s="193"/>
      <c r="K51" s="159"/>
      <c r="L51" s="159"/>
    </row>
    <row r="52" spans="1:12" x14ac:dyDescent="0.25">
      <c r="A52" s="357"/>
      <c r="B52" s="193"/>
      <c r="C52" s="186"/>
      <c r="D52" s="194"/>
      <c r="E52" s="193"/>
      <c r="F52" s="359"/>
      <c r="G52" s="359"/>
      <c r="H52" s="194"/>
      <c r="I52" s="193"/>
      <c r="K52" s="159"/>
      <c r="L52" s="159"/>
    </row>
    <row r="53" spans="1:12" x14ac:dyDescent="0.25">
      <c r="A53" s="357"/>
      <c r="B53" s="193"/>
      <c r="C53" s="186"/>
      <c r="D53" s="194"/>
      <c r="E53" s="193"/>
      <c r="F53" s="359"/>
      <c r="G53" s="359"/>
      <c r="H53" s="194"/>
      <c r="I53" s="193"/>
      <c r="K53" s="159"/>
      <c r="L53" s="159"/>
    </row>
    <row r="54" spans="1:12" x14ac:dyDescent="0.25">
      <c r="A54" s="357"/>
      <c r="B54" s="193"/>
      <c r="C54" s="186"/>
      <c r="D54" s="194"/>
      <c r="E54" s="193"/>
      <c r="F54" s="359"/>
      <c r="G54" s="359"/>
      <c r="H54" s="194"/>
      <c r="I54" s="193"/>
      <c r="K54" s="159"/>
      <c r="L54" s="159"/>
    </row>
    <row r="55" spans="1:12" x14ac:dyDescent="0.25">
      <c r="A55" s="357"/>
      <c r="B55" s="193"/>
      <c r="C55" s="186"/>
      <c r="D55" s="194"/>
      <c r="E55" s="193"/>
      <c r="F55" s="359"/>
      <c r="G55" s="359"/>
      <c r="H55" s="194"/>
      <c r="I55" s="193"/>
      <c r="K55" s="159"/>
      <c r="L55" s="159"/>
    </row>
    <row r="56" spans="1:12" x14ac:dyDescent="0.25">
      <c r="A56" s="357"/>
      <c r="B56" s="193"/>
      <c r="C56" s="186"/>
      <c r="D56" s="194"/>
      <c r="E56" s="193"/>
      <c r="F56" s="187"/>
      <c r="G56" s="187"/>
      <c r="H56" s="193"/>
      <c r="I56" s="193"/>
      <c r="J56" s="193"/>
      <c r="K56" s="159"/>
      <c r="L56" s="159"/>
    </row>
    <row r="57" spans="1:12" x14ac:dyDescent="0.25">
      <c r="A57" s="357"/>
      <c r="B57" s="159"/>
      <c r="C57" s="186"/>
      <c r="D57" s="194"/>
      <c r="E57" s="193"/>
      <c r="F57" s="359"/>
      <c r="G57" s="359"/>
      <c r="H57" s="194"/>
      <c r="I57" s="193"/>
      <c r="K57" s="159"/>
      <c r="L57" s="159"/>
    </row>
    <row r="58" spans="1:12" x14ac:dyDescent="0.25">
      <c r="A58" s="357"/>
      <c r="B58" s="159"/>
      <c r="C58" s="186"/>
      <c r="D58" s="194"/>
      <c r="E58" s="193"/>
      <c r="F58" s="359"/>
      <c r="G58" s="359"/>
      <c r="H58" s="194"/>
      <c r="I58" s="193"/>
      <c r="K58" s="159"/>
      <c r="L58" s="159"/>
    </row>
    <row r="59" spans="1:12" x14ac:dyDescent="0.25">
      <c r="A59" s="357"/>
      <c r="B59" s="159"/>
      <c r="C59" s="186"/>
      <c r="D59" s="194"/>
      <c r="E59" s="193"/>
      <c r="F59" s="359"/>
      <c r="G59" s="359"/>
      <c r="H59" s="194"/>
      <c r="I59" s="193"/>
      <c r="K59" s="159"/>
      <c r="L59" s="159"/>
    </row>
    <row r="60" spans="1:12" x14ac:dyDescent="0.25">
      <c r="A60" s="357"/>
      <c r="B60" s="159"/>
      <c r="C60" s="186"/>
      <c r="D60" s="194"/>
      <c r="E60" s="193"/>
      <c r="F60" s="359"/>
      <c r="G60" s="359"/>
      <c r="H60" s="194"/>
      <c r="I60" s="193"/>
      <c r="K60" s="159"/>
      <c r="L60" s="159"/>
    </row>
    <row r="61" spans="1:12" x14ac:dyDescent="0.25">
      <c r="A61" s="357"/>
      <c r="B61" s="159"/>
      <c r="C61" s="186"/>
      <c r="D61" s="194"/>
      <c r="E61" s="193"/>
      <c r="F61" s="359"/>
      <c r="G61" s="359"/>
      <c r="H61" s="194"/>
      <c r="I61" s="193"/>
      <c r="K61" s="159"/>
      <c r="L61" s="159"/>
    </row>
    <row r="62" spans="1:12" x14ac:dyDescent="0.25">
      <c r="A62" s="357"/>
      <c r="B62" s="159"/>
      <c r="C62" s="186"/>
      <c r="D62" s="194"/>
      <c r="E62" s="193"/>
      <c r="F62" s="359"/>
      <c r="G62" s="359"/>
      <c r="H62" s="194"/>
      <c r="I62" s="193"/>
      <c r="K62" s="159"/>
      <c r="L62" s="159"/>
    </row>
    <row r="63" spans="1:12" x14ac:dyDescent="0.25">
      <c r="A63" s="357"/>
      <c r="B63" s="159"/>
      <c r="C63" s="359"/>
      <c r="D63" s="360"/>
      <c r="E63" s="193"/>
      <c r="F63" s="359"/>
      <c r="G63" s="359"/>
      <c r="H63" s="194"/>
      <c r="I63" s="193"/>
      <c r="K63" s="159"/>
      <c r="L63" s="159"/>
    </row>
    <row r="64" spans="1:12" x14ac:dyDescent="0.25">
      <c r="A64" s="357"/>
      <c r="B64" s="159"/>
      <c r="C64" s="359"/>
      <c r="D64" s="360"/>
      <c r="E64" s="193"/>
      <c r="F64" s="359"/>
      <c r="G64" s="359"/>
      <c r="H64" s="194"/>
      <c r="I64" s="193"/>
      <c r="K64" s="159"/>
      <c r="L64" s="159"/>
    </row>
    <row r="65" spans="1:12" x14ac:dyDescent="0.25">
      <c r="A65" s="357"/>
      <c r="B65" s="159"/>
      <c r="C65" s="186"/>
      <c r="D65" s="194"/>
      <c r="E65" s="193"/>
      <c r="F65" s="359"/>
      <c r="G65" s="359"/>
      <c r="H65" s="194"/>
      <c r="I65" s="193"/>
      <c r="K65" s="159"/>
      <c r="L65" s="159"/>
    </row>
    <row r="66" spans="1:12" x14ac:dyDescent="0.25">
      <c r="A66" s="357"/>
      <c r="B66" s="159"/>
      <c r="C66" s="186"/>
      <c r="D66" s="194"/>
      <c r="E66" s="193"/>
      <c r="F66" s="359"/>
      <c r="G66" s="359"/>
      <c r="H66" s="194"/>
      <c r="I66" s="193"/>
      <c r="K66" s="159"/>
      <c r="L66" s="159"/>
    </row>
    <row r="67" spans="1:12" x14ac:dyDescent="0.25">
      <c r="A67" s="357"/>
      <c r="B67" s="159"/>
      <c r="C67" s="186"/>
      <c r="D67" s="194"/>
      <c r="E67" s="193"/>
      <c r="F67" s="359"/>
      <c r="G67" s="359"/>
      <c r="H67" s="194"/>
      <c r="I67" s="193"/>
      <c r="K67" s="159"/>
      <c r="L67" s="159"/>
    </row>
    <row r="68" spans="1:12" x14ac:dyDescent="0.25">
      <c r="A68" s="357"/>
      <c r="B68" s="159"/>
      <c r="C68" s="359"/>
      <c r="D68" s="360"/>
      <c r="E68" s="193"/>
      <c r="F68" s="359"/>
      <c r="G68" s="359"/>
      <c r="H68" s="194"/>
      <c r="I68" s="193"/>
      <c r="K68" s="159"/>
      <c r="L68" s="159"/>
    </row>
    <row r="69" spans="1:12" x14ac:dyDescent="0.25">
      <c r="A69" s="357"/>
      <c r="B69" s="159"/>
      <c r="C69" s="359"/>
      <c r="D69" s="360"/>
      <c r="E69" s="193"/>
      <c r="F69" s="359"/>
      <c r="G69" s="359"/>
      <c r="H69" s="194"/>
      <c r="I69" s="193"/>
      <c r="K69" s="159"/>
      <c r="L69" s="159"/>
    </row>
    <row r="70" spans="1:12" x14ac:dyDescent="0.25">
      <c r="A70" s="357"/>
      <c r="B70" s="159"/>
      <c r="C70" s="359"/>
      <c r="D70" s="360"/>
      <c r="E70" s="193"/>
      <c r="F70" s="359"/>
      <c r="G70" s="359"/>
      <c r="H70" s="194"/>
      <c r="I70" s="193"/>
      <c r="K70" s="159"/>
      <c r="L70" s="159"/>
    </row>
    <row r="71" spans="1:12" x14ac:dyDescent="0.25">
      <c r="A71" s="357"/>
      <c r="B71" s="159"/>
      <c r="C71" s="186"/>
      <c r="D71" s="194"/>
      <c r="E71" s="193"/>
      <c r="F71" s="359"/>
      <c r="G71" s="359"/>
      <c r="H71" s="194"/>
      <c r="I71" s="193"/>
      <c r="K71" s="159"/>
      <c r="L71" s="159"/>
    </row>
    <row r="72" spans="1:12" x14ac:dyDescent="0.25">
      <c r="A72" s="357"/>
      <c r="B72" s="159"/>
      <c r="C72" s="186"/>
      <c r="D72" s="194"/>
      <c r="E72" s="193"/>
      <c r="F72" s="359"/>
      <c r="G72" s="359"/>
      <c r="H72" s="194"/>
      <c r="I72" s="193"/>
      <c r="K72" s="159"/>
      <c r="L72" s="159"/>
    </row>
    <row r="73" spans="1:12" x14ac:dyDescent="0.25">
      <c r="A73" s="357"/>
      <c r="B73" s="159"/>
      <c r="C73" s="186"/>
      <c r="D73" s="194"/>
      <c r="E73" s="193"/>
      <c r="F73" s="359"/>
      <c r="G73" s="359"/>
      <c r="H73" s="194"/>
      <c r="I73" s="193"/>
      <c r="K73" s="159"/>
      <c r="L73" s="159"/>
    </row>
    <row r="74" spans="1:12" x14ac:dyDescent="0.25">
      <c r="A74" s="357"/>
      <c r="B74" s="159"/>
      <c r="C74" s="186"/>
      <c r="D74" s="194"/>
      <c r="E74" s="193"/>
      <c r="F74" s="187"/>
      <c r="G74" s="187"/>
      <c r="H74" s="193"/>
      <c r="I74" s="193"/>
      <c r="K74" s="159"/>
      <c r="L74" s="159"/>
    </row>
    <row r="75" spans="1:12" x14ac:dyDescent="0.25">
      <c r="A75" s="357"/>
      <c r="B75" s="159"/>
      <c r="C75" s="186"/>
      <c r="D75" s="194"/>
      <c r="E75" s="193"/>
      <c r="F75" s="187"/>
      <c r="G75" s="187"/>
      <c r="H75" s="194"/>
      <c r="I75" s="193"/>
      <c r="K75" s="159"/>
      <c r="L75" s="159"/>
    </row>
    <row r="76" spans="1:12" x14ac:dyDescent="0.25">
      <c r="A76" s="357"/>
      <c r="B76" s="159"/>
      <c r="C76" s="186"/>
      <c r="D76" s="194"/>
      <c r="E76" s="193"/>
      <c r="F76" s="187"/>
      <c r="G76" s="187"/>
      <c r="H76" s="194"/>
      <c r="I76" s="193"/>
      <c r="K76" s="159"/>
      <c r="L76" s="159"/>
    </row>
    <row r="77" spans="1:12" x14ac:dyDescent="0.25">
      <c r="A77" s="357"/>
      <c r="B77" s="159"/>
      <c r="C77" s="186"/>
      <c r="D77" s="194"/>
      <c r="E77" s="193"/>
      <c r="F77" s="187"/>
      <c r="G77" s="187"/>
      <c r="H77" s="194"/>
      <c r="I77" s="193"/>
      <c r="K77" s="159"/>
      <c r="L77" s="159"/>
    </row>
    <row r="78" spans="1:12" x14ac:dyDescent="0.25">
      <c r="A78" s="357"/>
      <c r="B78" s="159"/>
      <c r="C78" s="186"/>
      <c r="D78" s="194"/>
      <c r="E78" s="193"/>
      <c r="F78" s="187"/>
      <c r="G78" s="187"/>
      <c r="H78" s="194"/>
      <c r="I78" s="193"/>
      <c r="K78" s="159"/>
      <c r="L78" s="159"/>
    </row>
    <row r="79" spans="1:12" x14ac:dyDescent="0.25">
      <c r="A79" s="357"/>
      <c r="B79" s="159"/>
      <c r="C79" s="186"/>
      <c r="D79" s="194"/>
      <c r="E79" s="193"/>
      <c r="F79" s="187"/>
      <c r="G79" s="187"/>
      <c r="H79" s="194"/>
      <c r="I79" s="193"/>
      <c r="K79" s="159"/>
      <c r="L79" s="159"/>
    </row>
    <row r="80" spans="1:12" x14ac:dyDescent="0.25">
      <c r="A80" s="357"/>
      <c r="B80" s="159"/>
      <c r="C80" s="186"/>
      <c r="D80" s="194"/>
      <c r="E80" s="193"/>
      <c r="F80" s="187"/>
      <c r="G80" s="187"/>
      <c r="H80" s="194"/>
      <c r="I80" s="193"/>
      <c r="K80" s="159"/>
      <c r="L80" s="159"/>
    </row>
    <row r="81" spans="1:12" x14ac:dyDescent="0.25">
      <c r="A81" s="357"/>
      <c r="B81" s="159"/>
      <c r="C81" s="186"/>
      <c r="D81" s="194"/>
      <c r="E81" s="193"/>
      <c r="F81" s="193"/>
      <c r="G81" s="193"/>
      <c r="H81" s="193"/>
      <c r="I81" s="193"/>
      <c r="K81" s="159"/>
      <c r="L81" s="159"/>
    </row>
    <row r="82" spans="1:12" x14ac:dyDescent="0.25">
      <c r="A82" s="357"/>
      <c r="B82" s="159"/>
      <c r="C82" s="186"/>
      <c r="D82" s="194"/>
      <c r="E82" s="193"/>
      <c r="F82" s="187"/>
      <c r="G82" s="187"/>
      <c r="H82" s="194"/>
      <c r="I82" s="193"/>
      <c r="K82" s="159"/>
      <c r="L82" s="159"/>
    </row>
    <row r="83" spans="1:12" x14ac:dyDescent="0.25">
      <c r="A83" s="357"/>
      <c r="B83" s="159"/>
      <c r="C83" s="186"/>
      <c r="D83" s="194"/>
      <c r="E83" s="193"/>
      <c r="F83" s="187"/>
      <c r="G83" s="187"/>
      <c r="H83" s="194"/>
      <c r="I83" s="193"/>
      <c r="K83" s="159"/>
      <c r="L83" s="159"/>
    </row>
    <row r="84" spans="1:12" x14ac:dyDescent="0.25">
      <c r="A84" s="357"/>
      <c r="B84" s="159"/>
      <c r="C84" s="186"/>
      <c r="D84" s="194"/>
      <c r="E84" s="193"/>
      <c r="F84" s="187"/>
      <c r="G84" s="187"/>
      <c r="H84" s="194"/>
      <c r="I84" s="193"/>
      <c r="K84" s="159"/>
      <c r="L84" s="159"/>
    </row>
    <row r="85" spans="1:12" x14ac:dyDescent="0.25">
      <c r="A85" s="357"/>
      <c r="B85" s="159"/>
      <c r="C85" s="186"/>
      <c r="D85" s="194"/>
      <c r="E85" s="193"/>
      <c r="F85" s="187"/>
      <c r="G85" s="187"/>
      <c r="H85" s="194"/>
      <c r="I85" s="193"/>
      <c r="K85" s="159"/>
      <c r="L85" s="159"/>
    </row>
    <row r="86" spans="1:12" x14ac:dyDescent="0.25">
      <c r="A86" s="357"/>
      <c r="B86" s="159"/>
      <c r="C86" s="186"/>
      <c r="D86" s="194"/>
      <c r="E86" s="193"/>
      <c r="F86" s="187"/>
      <c r="G86" s="187"/>
      <c r="H86" s="194"/>
      <c r="I86" s="193"/>
      <c r="K86" s="159"/>
      <c r="L86" s="159"/>
    </row>
    <row r="87" spans="1:12" x14ac:dyDescent="0.25">
      <c r="A87" s="357"/>
      <c r="B87" s="159"/>
      <c r="C87" s="186"/>
      <c r="D87" s="194"/>
      <c r="E87" s="193"/>
      <c r="F87" s="187"/>
      <c r="G87" s="187"/>
      <c r="H87" s="194"/>
      <c r="I87" s="193"/>
      <c r="K87" s="159"/>
      <c r="L87" s="159"/>
    </row>
    <row r="88" spans="1:12" x14ac:dyDescent="0.25">
      <c r="A88" s="357"/>
      <c r="B88" s="159"/>
      <c r="C88" s="186"/>
      <c r="D88" s="194"/>
      <c r="E88" s="193"/>
      <c r="F88" s="187"/>
      <c r="G88" s="187"/>
      <c r="H88" s="194"/>
      <c r="I88" s="193"/>
      <c r="K88" s="159"/>
      <c r="L88" s="159"/>
    </row>
    <row r="89" spans="1:12" x14ac:dyDescent="0.25">
      <c r="A89" s="357"/>
      <c r="B89" s="159"/>
      <c r="C89" s="186"/>
      <c r="D89" s="194"/>
      <c r="E89" s="193"/>
      <c r="F89" s="187"/>
      <c r="G89" s="187"/>
      <c r="H89" s="588"/>
      <c r="I89" s="193"/>
      <c r="K89" s="159"/>
      <c r="L89" s="159"/>
    </row>
    <row r="90" spans="1:12" x14ac:dyDescent="0.25">
      <c r="A90" s="357"/>
      <c r="B90" s="159"/>
      <c r="C90" s="186"/>
      <c r="D90" s="194"/>
      <c r="E90" s="193"/>
      <c r="F90" s="187"/>
      <c r="G90" s="187"/>
      <c r="H90" s="194"/>
      <c r="I90" s="193"/>
      <c r="K90" s="159"/>
      <c r="L90" s="159"/>
    </row>
    <row r="91" spans="1:12" x14ac:dyDescent="0.25">
      <c r="A91" s="357"/>
      <c r="B91" s="159"/>
      <c r="C91" s="186"/>
      <c r="D91" s="194"/>
      <c r="E91" s="193"/>
      <c r="F91" s="187"/>
      <c r="G91" s="187"/>
      <c r="H91" s="194"/>
      <c r="I91" s="193"/>
      <c r="K91" s="159"/>
      <c r="L91" s="159"/>
    </row>
    <row r="92" spans="1:12" x14ac:dyDescent="0.25">
      <c r="A92" s="357"/>
      <c r="B92" s="159"/>
      <c r="C92" s="186"/>
      <c r="D92" s="194"/>
      <c r="E92" s="193"/>
      <c r="F92" s="187"/>
      <c r="G92" s="187"/>
      <c r="H92" s="194"/>
      <c r="I92" s="193"/>
      <c r="K92" s="159"/>
      <c r="L92" s="159"/>
    </row>
    <row r="93" spans="1:12" x14ac:dyDescent="0.25">
      <c r="A93" s="357"/>
      <c r="B93" s="159"/>
      <c r="C93" s="186"/>
      <c r="D93" s="194"/>
      <c r="E93" s="193"/>
      <c r="F93" s="187"/>
      <c r="G93" s="187"/>
      <c r="H93" s="194"/>
      <c r="I93" s="193"/>
      <c r="K93" s="159"/>
      <c r="L93" s="159"/>
    </row>
    <row r="94" spans="1:12" x14ac:dyDescent="0.25">
      <c r="A94" s="357"/>
      <c r="B94" s="159"/>
      <c r="C94" s="186"/>
      <c r="D94" s="194"/>
      <c r="E94" s="193"/>
      <c r="F94" s="187"/>
      <c r="G94" s="187"/>
      <c r="H94" s="194"/>
      <c r="I94" s="193"/>
      <c r="K94" s="159"/>
      <c r="L94" s="159"/>
    </row>
    <row r="95" spans="1:12" x14ac:dyDescent="0.25">
      <c r="A95" s="357"/>
      <c r="B95" s="159"/>
      <c r="C95" s="186"/>
      <c r="D95" s="194"/>
      <c r="E95" s="193"/>
      <c r="F95" s="187"/>
      <c r="G95" s="187"/>
      <c r="H95" s="194"/>
      <c r="I95" s="193"/>
      <c r="K95" s="159"/>
      <c r="L95" s="159"/>
    </row>
    <row r="96" spans="1:12" x14ac:dyDescent="0.25">
      <c r="A96" s="357"/>
      <c r="B96" s="159"/>
      <c r="C96" s="186"/>
      <c r="D96" s="194"/>
      <c r="E96" s="193"/>
      <c r="F96" s="187"/>
      <c r="G96" s="187"/>
      <c r="H96" s="194"/>
      <c r="I96" s="193"/>
      <c r="K96" s="159"/>
      <c r="L96" s="159"/>
    </row>
    <row r="97" spans="1:12" x14ac:dyDescent="0.25">
      <c r="A97" s="357"/>
      <c r="B97" s="159"/>
      <c r="C97" s="186"/>
      <c r="D97" s="194"/>
      <c r="E97" s="193"/>
      <c r="F97" s="187"/>
      <c r="G97" s="187"/>
      <c r="H97" s="194"/>
      <c r="I97" s="193"/>
      <c r="K97" s="159"/>
      <c r="L97" s="159"/>
    </row>
    <row r="98" spans="1:12" x14ac:dyDescent="0.25">
      <c r="A98" s="357"/>
      <c r="B98" s="159"/>
      <c r="C98" s="186"/>
      <c r="D98" s="194"/>
      <c r="E98" s="193"/>
      <c r="F98" s="187"/>
      <c r="G98" s="187"/>
      <c r="H98" s="194"/>
      <c r="I98" s="193"/>
      <c r="K98" s="159"/>
      <c r="L98" s="159"/>
    </row>
    <row r="99" spans="1:12" x14ac:dyDescent="0.25">
      <c r="A99" s="357"/>
      <c r="B99" s="159"/>
      <c r="C99" s="186"/>
      <c r="D99" s="194"/>
      <c r="E99" s="193"/>
      <c r="F99" s="187"/>
      <c r="G99" s="187"/>
      <c r="H99" s="194"/>
      <c r="I99" s="193"/>
      <c r="K99" s="159"/>
      <c r="L99" s="159"/>
    </row>
    <row r="100" spans="1:12" x14ac:dyDescent="0.25">
      <c r="A100" s="357"/>
      <c r="B100" s="159"/>
      <c r="C100" s="186"/>
      <c r="D100" s="194"/>
      <c r="E100" s="193"/>
      <c r="F100" s="187"/>
      <c r="G100" s="187"/>
      <c r="H100" s="194"/>
      <c r="I100" s="193"/>
      <c r="K100" s="159"/>
      <c r="L100" s="159"/>
    </row>
    <row r="101" spans="1:12" x14ac:dyDescent="0.25">
      <c r="A101" s="357"/>
      <c r="B101" s="159"/>
      <c r="C101" s="186"/>
      <c r="D101" s="194"/>
      <c r="E101" s="193"/>
      <c r="F101" s="359"/>
      <c r="G101" s="187"/>
      <c r="H101" s="194"/>
      <c r="I101" s="193"/>
      <c r="K101" s="159"/>
      <c r="L101" s="159"/>
    </row>
    <row r="102" spans="1:12" x14ac:dyDescent="0.25">
      <c r="A102" s="357"/>
      <c r="B102" s="159"/>
      <c r="C102" s="186"/>
      <c r="D102" s="194"/>
      <c r="E102" s="193"/>
      <c r="F102" s="359"/>
      <c r="G102" s="187"/>
      <c r="H102" s="194"/>
      <c r="I102" s="193"/>
      <c r="K102" s="159"/>
      <c r="L102" s="159"/>
    </row>
    <row r="103" spans="1:12" x14ac:dyDescent="0.25">
      <c r="A103" s="357"/>
      <c r="B103" s="159"/>
      <c r="C103" s="186"/>
      <c r="D103" s="194"/>
      <c r="E103" s="193"/>
      <c r="F103" s="359"/>
      <c r="G103" s="187"/>
      <c r="H103" s="194"/>
      <c r="I103" s="193"/>
      <c r="K103" s="159"/>
      <c r="L103" s="159"/>
    </row>
    <row r="104" spans="1:12" x14ac:dyDescent="0.25">
      <c r="A104" s="357"/>
      <c r="B104" s="159"/>
      <c r="C104" s="186"/>
      <c r="D104" s="194"/>
      <c r="E104" s="193"/>
      <c r="F104" s="359"/>
      <c r="G104" s="187"/>
      <c r="H104" s="194"/>
      <c r="I104" s="193"/>
      <c r="K104" s="159"/>
      <c r="L104" s="159"/>
    </row>
    <row r="105" spans="1:12" x14ac:dyDescent="0.25">
      <c r="A105" s="357"/>
      <c r="B105" s="159"/>
      <c r="C105" s="186"/>
      <c r="D105" s="194"/>
      <c r="E105" s="193"/>
      <c r="F105" s="625"/>
      <c r="G105" s="514"/>
      <c r="H105" s="194"/>
      <c r="I105" s="193"/>
      <c r="K105" s="159"/>
      <c r="L105" s="159"/>
    </row>
    <row r="106" spans="1:12" x14ac:dyDescent="0.25">
      <c r="A106" s="357"/>
      <c r="B106" s="159"/>
      <c r="C106" s="186"/>
      <c r="D106" s="194"/>
      <c r="E106" s="193"/>
      <c r="F106" s="359"/>
      <c r="G106" s="187"/>
      <c r="H106" s="194"/>
      <c r="I106" s="193"/>
      <c r="K106" s="159"/>
      <c r="L106" s="159"/>
    </row>
    <row r="107" spans="1:12" x14ac:dyDescent="0.25">
      <c r="A107" s="357"/>
      <c r="B107" s="159"/>
      <c r="C107" s="186"/>
      <c r="D107" s="194"/>
      <c r="E107" s="193"/>
      <c r="F107" s="359"/>
      <c r="G107" s="187"/>
      <c r="H107" s="194"/>
      <c r="I107" s="193"/>
      <c r="K107" s="159"/>
      <c r="L107" s="159"/>
    </row>
    <row r="108" spans="1:12" x14ac:dyDescent="0.25">
      <c r="A108" s="357"/>
      <c r="B108" s="159"/>
      <c r="C108" s="186"/>
      <c r="D108" s="194"/>
      <c r="E108" s="193"/>
      <c r="F108" s="187"/>
      <c r="G108" s="187"/>
      <c r="H108" s="194"/>
      <c r="I108" s="193"/>
      <c r="K108" s="159"/>
      <c r="L108" s="159"/>
    </row>
    <row r="109" spans="1:12" x14ac:dyDescent="0.25">
      <c r="A109" s="357"/>
      <c r="B109" s="159"/>
      <c r="C109" s="186"/>
      <c r="D109" s="194"/>
      <c r="E109" s="193"/>
      <c r="F109" s="187"/>
      <c r="G109" s="187"/>
      <c r="H109" s="194"/>
      <c r="I109" s="193"/>
      <c r="K109" s="159"/>
      <c r="L109" s="159"/>
    </row>
    <row r="110" spans="1:12" x14ac:dyDescent="0.25">
      <c r="A110" s="357"/>
      <c r="B110" s="159"/>
      <c r="C110" s="186"/>
      <c r="D110" s="194"/>
      <c r="E110" s="193"/>
      <c r="F110" s="187"/>
      <c r="G110" s="187"/>
      <c r="H110" s="194"/>
      <c r="I110" s="193"/>
      <c r="K110" s="159"/>
      <c r="L110" s="159"/>
    </row>
    <row r="111" spans="1:12" x14ac:dyDescent="0.25">
      <c r="A111" s="357"/>
      <c r="B111" s="159"/>
      <c r="C111" s="186"/>
      <c r="D111" s="194"/>
      <c r="E111" s="193"/>
      <c r="F111" s="187"/>
      <c r="G111" s="187"/>
      <c r="H111" s="194"/>
      <c r="I111" s="193"/>
      <c r="K111" s="159"/>
      <c r="L111" s="159"/>
    </row>
    <row r="112" spans="1:12" x14ac:dyDescent="0.25">
      <c r="A112" s="357"/>
      <c r="B112" s="159"/>
      <c r="C112" s="186"/>
      <c r="D112" s="194"/>
      <c r="E112" s="193"/>
      <c r="F112" s="187"/>
      <c r="G112" s="187"/>
      <c r="H112" s="194"/>
      <c r="I112" s="193"/>
      <c r="K112" s="159"/>
      <c r="L112" s="159"/>
    </row>
    <row r="113" spans="1:12" x14ac:dyDescent="0.25">
      <c r="A113" s="357"/>
      <c r="B113" s="159"/>
      <c r="C113" s="186"/>
      <c r="D113" s="194"/>
      <c r="E113" s="193"/>
      <c r="F113" s="187"/>
      <c r="G113" s="187"/>
      <c r="H113" s="194"/>
      <c r="I113" s="193"/>
      <c r="K113" s="159"/>
      <c r="L113" s="159"/>
    </row>
    <row r="114" spans="1:12" x14ac:dyDescent="0.25">
      <c r="A114" s="357"/>
      <c r="B114" s="159"/>
      <c r="C114" s="186"/>
      <c r="D114" s="194"/>
      <c r="E114" s="193"/>
      <c r="F114" s="187"/>
      <c r="G114" s="187"/>
      <c r="H114" s="194"/>
      <c r="I114" s="193"/>
      <c r="K114" s="159"/>
      <c r="L114" s="159"/>
    </row>
    <row r="115" spans="1:12" x14ac:dyDescent="0.25">
      <c r="A115" s="357"/>
      <c r="B115" s="159"/>
      <c r="C115" s="186"/>
      <c r="D115" s="194"/>
      <c r="E115" s="193"/>
      <c r="F115" s="187"/>
      <c r="G115" s="187"/>
      <c r="H115" s="194"/>
      <c r="I115" s="193"/>
      <c r="K115" s="159"/>
      <c r="L115" s="159"/>
    </row>
    <row r="116" spans="1:12" x14ac:dyDescent="0.25">
      <c r="A116" s="357"/>
      <c r="B116" s="159"/>
      <c r="C116" s="186"/>
      <c r="D116" s="194"/>
      <c r="E116" s="193"/>
      <c r="F116" s="187"/>
      <c r="G116" s="187"/>
      <c r="H116" s="194"/>
      <c r="I116" s="193"/>
      <c r="K116" s="159"/>
      <c r="L116" s="159"/>
    </row>
    <row r="117" spans="1:12" x14ac:dyDescent="0.25">
      <c r="A117" s="357"/>
      <c r="B117" s="159"/>
      <c r="C117" s="186"/>
      <c r="D117" s="194"/>
      <c r="E117" s="193"/>
      <c r="F117" s="193"/>
      <c r="G117" s="187"/>
      <c r="H117" s="193"/>
      <c r="I117" s="193"/>
      <c r="K117" s="159"/>
      <c r="L117" s="159"/>
    </row>
    <row r="118" spans="1:12" x14ac:dyDescent="0.25">
      <c r="A118" s="357"/>
      <c r="B118" s="159"/>
      <c r="C118" s="186"/>
      <c r="D118" s="194"/>
      <c r="E118" s="193"/>
      <c r="F118" s="187"/>
      <c r="G118" s="187"/>
      <c r="H118" s="194"/>
      <c r="I118" s="193"/>
      <c r="K118" s="159"/>
      <c r="L118" s="159"/>
    </row>
    <row r="119" spans="1:12" x14ac:dyDescent="0.25">
      <c r="A119" s="357"/>
      <c r="B119" s="159"/>
      <c r="C119" s="186"/>
      <c r="D119" s="194"/>
      <c r="E119" s="193"/>
      <c r="F119" s="187"/>
      <c r="G119" s="187"/>
      <c r="H119" s="194"/>
      <c r="I119" s="193"/>
      <c r="K119" s="159"/>
      <c r="L119" s="159"/>
    </row>
    <row r="120" spans="1:12" x14ac:dyDescent="0.25">
      <c r="A120" s="357"/>
      <c r="B120" s="159"/>
      <c r="C120" s="186"/>
      <c r="D120" s="194"/>
      <c r="E120" s="193"/>
      <c r="F120" s="187"/>
      <c r="G120" s="187"/>
      <c r="H120" s="194"/>
      <c r="I120" s="193"/>
      <c r="K120" s="159"/>
      <c r="L120" s="159"/>
    </row>
    <row r="121" spans="1:12" x14ac:dyDescent="0.25">
      <c r="A121" s="357"/>
      <c r="B121" s="159"/>
      <c r="C121" s="186"/>
      <c r="D121" s="194"/>
      <c r="E121" s="193"/>
      <c r="F121" s="187"/>
      <c r="G121" s="187"/>
      <c r="H121" s="194"/>
      <c r="I121" s="193"/>
      <c r="J121" s="193"/>
      <c r="K121" s="159"/>
      <c r="L121" s="159"/>
    </row>
    <row r="122" spans="1:12" x14ac:dyDescent="0.25">
      <c r="A122" s="357"/>
      <c r="B122" s="159"/>
      <c r="C122" s="186"/>
      <c r="D122" s="194"/>
      <c r="E122" s="193"/>
      <c r="F122" s="187"/>
      <c r="G122" s="187"/>
      <c r="H122" s="194"/>
      <c r="I122" s="193"/>
      <c r="K122" s="159"/>
      <c r="L122" s="159"/>
    </row>
    <row r="123" spans="1:12" x14ac:dyDescent="0.25">
      <c r="A123" s="357"/>
      <c r="B123" s="159"/>
      <c r="C123" s="186"/>
      <c r="D123" s="194"/>
      <c r="E123" s="193"/>
      <c r="F123" s="187"/>
      <c r="G123" s="187"/>
      <c r="H123" s="194"/>
      <c r="I123" s="193"/>
      <c r="K123" s="159"/>
      <c r="L123" s="159"/>
    </row>
    <row r="124" spans="1:12" x14ac:dyDescent="0.25">
      <c r="A124" s="357"/>
      <c r="B124" s="251"/>
      <c r="C124" s="186"/>
      <c r="D124" s="194"/>
      <c r="E124" s="193"/>
      <c r="F124" s="1038"/>
      <c r="G124" s="1038"/>
      <c r="H124" s="1038"/>
      <c r="I124" s="193"/>
      <c r="K124" s="159"/>
      <c r="L124" s="159"/>
    </row>
    <row r="125" spans="1:12" x14ac:dyDescent="0.25">
      <c r="A125" s="357"/>
      <c r="B125" s="159"/>
      <c r="C125" s="186"/>
      <c r="D125" s="194"/>
      <c r="E125" s="193"/>
      <c r="F125" s="187"/>
      <c r="G125" s="187"/>
      <c r="H125" s="194"/>
      <c r="I125" s="193"/>
      <c r="K125" s="159"/>
      <c r="L125" s="159"/>
    </row>
    <row r="126" spans="1:12" x14ac:dyDescent="0.25">
      <c r="A126" s="357"/>
      <c r="B126" s="159"/>
      <c r="C126" s="186"/>
      <c r="D126" s="194"/>
      <c r="E126" s="193"/>
      <c r="F126" s="1038"/>
      <c r="G126" s="1038"/>
      <c r="H126" s="1038"/>
      <c r="I126" s="193"/>
      <c r="K126" s="159"/>
      <c r="L126" s="159"/>
    </row>
    <row r="127" spans="1:12" x14ac:dyDescent="0.25">
      <c r="A127" s="357"/>
      <c r="B127" s="159"/>
      <c r="C127" s="186"/>
      <c r="D127" s="194"/>
      <c r="E127" s="193"/>
      <c r="F127" s="187"/>
      <c r="G127" s="187"/>
      <c r="H127" s="194"/>
      <c r="I127" s="193"/>
      <c r="K127" s="159"/>
      <c r="L127" s="159"/>
    </row>
    <row r="128" spans="1:12" x14ac:dyDescent="0.25">
      <c r="A128" s="357"/>
      <c r="B128" s="159"/>
      <c r="C128" s="186"/>
      <c r="D128" s="194"/>
      <c r="E128" s="193"/>
      <c r="F128" s="187"/>
      <c r="G128" s="187"/>
      <c r="H128" s="194"/>
      <c r="I128" s="193"/>
      <c r="K128" s="159"/>
      <c r="L128" s="159"/>
    </row>
    <row r="129" spans="1:12" x14ac:dyDescent="0.25">
      <c r="A129" s="357"/>
      <c r="B129" s="159"/>
      <c r="C129" s="186"/>
      <c r="D129" s="194"/>
      <c r="E129" s="193"/>
      <c r="F129" s="187"/>
      <c r="G129" s="187"/>
      <c r="H129" s="194"/>
      <c r="I129" s="193"/>
      <c r="K129" s="159"/>
      <c r="L129" s="159"/>
    </row>
    <row r="130" spans="1:12" x14ac:dyDescent="0.25">
      <c r="A130" s="357"/>
      <c r="B130" s="159"/>
      <c r="C130" s="186"/>
      <c r="D130" s="194"/>
      <c r="E130" s="193"/>
      <c r="F130" s="187"/>
      <c r="G130" s="187"/>
      <c r="H130" s="193"/>
      <c r="I130" s="193"/>
      <c r="K130" s="159"/>
      <c r="L130" s="159"/>
    </row>
    <row r="131" spans="1:12" x14ac:dyDescent="0.25">
      <c r="A131" s="357"/>
      <c r="B131" s="159"/>
      <c r="C131" s="186"/>
      <c r="D131" s="194"/>
      <c r="E131" s="193"/>
      <c r="F131" s="187"/>
      <c r="G131" s="187"/>
      <c r="H131" s="194"/>
      <c r="I131" s="193"/>
      <c r="K131" s="159"/>
      <c r="L131" s="159"/>
    </row>
    <row r="132" spans="1:12" x14ac:dyDescent="0.25">
      <c r="A132" s="357"/>
      <c r="B132" s="159"/>
      <c r="C132" s="186"/>
      <c r="D132" s="194"/>
      <c r="E132" s="193"/>
      <c r="F132" s="187"/>
      <c r="G132" s="187"/>
      <c r="H132" s="194"/>
      <c r="I132" s="193"/>
      <c r="K132" s="159"/>
      <c r="L132" s="159"/>
    </row>
    <row r="133" spans="1:12" x14ac:dyDescent="0.25">
      <c r="A133" s="357"/>
      <c r="B133" s="159"/>
      <c r="C133" s="186"/>
      <c r="D133" s="194"/>
      <c r="E133" s="193"/>
      <c r="F133" s="187"/>
      <c r="G133" s="187"/>
      <c r="H133" s="194"/>
      <c r="I133" s="193"/>
      <c r="K133" s="159"/>
      <c r="L133" s="159"/>
    </row>
    <row r="134" spans="1:12" x14ac:dyDescent="0.25">
      <c r="A134" s="357"/>
      <c r="B134" s="159"/>
      <c r="C134" s="186"/>
      <c r="D134" s="194"/>
      <c r="E134" s="193"/>
      <c r="F134" s="187"/>
      <c r="G134" s="187"/>
      <c r="H134" s="194"/>
      <c r="I134" s="193"/>
      <c r="K134" s="159"/>
      <c r="L134" s="159"/>
    </row>
    <row r="135" spans="1:12" x14ac:dyDescent="0.25">
      <c r="A135" s="357"/>
      <c r="B135" s="159"/>
      <c r="C135" s="186"/>
      <c r="D135" s="194"/>
      <c r="E135" s="193"/>
      <c r="F135" s="187"/>
      <c r="G135" s="187"/>
      <c r="H135" s="194"/>
      <c r="I135" s="193"/>
      <c r="K135" s="159"/>
      <c r="L135" s="159"/>
    </row>
    <row r="136" spans="1:12" x14ac:dyDescent="0.25">
      <c r="A136" s="357"/>
      <c r="B136" s="159"/>
      <c r="C136" s="186"/>
      <c r="D136" s="194"/>
      <c r="E136" s="193"/>
      <c r="F136" s="187"/>
      <c r="G136" s="187"/>
      <c r="H136" s="194"/>
      <c r="I136" s="193"/>
      <c r="K136" s="159"/>
      <c r="L136" s="159"/>
    </row>
    <row r="137" spans="1:12" x14ac:dyDescent="0.25">
      <c r="A137" s="357"/>
      <c r="B137" s="159"/>
      <c r="C137" s="186"/>
      <c r="D137" s="194"/>
      <c r="E137" s="193"/>
      <c r="F137" s="187"/>
      <c r="G137" s="187"/>
      <c r="H137" s="194"/>
      <c r="I137" s="193"/>
      <c r="K137" s="159"/>
      <c r="L137" s="159"/>
    </row>
    <row r="138" spans="1:12" x14ac:dyDescent="0.25">
      <c r="A138" s="357"/>
      <c r="B138" s="159"/>
      <c r="C138" s="186"/>
      <c r="D138" s="194"/>
      <c r="E138" s="193"/>
      <c r="F138" s="187"/>
      <c r="G138" s="187"/>
      <c r="H138" s="194"/>
      <c r="I138" s="193"/>
      <c r="K138" s="159"/>
      <c r="L138" s="159"/>
    </row>
    <row r="139" spans="1:12" x14ac:dyDescent="0.25">
      <c r="A139" s="357"/>
      <c r="B139" s="159"/>
      <c r="C139" s="186"/>
      <c r="D139" s="194"/>
      <c r="E139" s="193"/>
      <c r="F139" s="187"/>
      <c r="G139" s="187"/>
      <c r="H139" s="194"/>
      <c r="I139" s="193"/>
      <c r="K139" s="159"/>
      <c r="L139" s="159"/>
    </row>
    <row r="140" spans="1:12" x14ac:dyDescent="0.25">
      <c r="A140" s="357"/>
      <c r="B140" s="159"/>
      <c r="C140" s="186"/>
      <c r="D140" s="194"/>
      <c r="E140" s="193"/>
      <c r="F140" s="187"/>
      <c r="G140" s="187"/>
      <c r="H140" s="194"/>
      <c r="I140" s="193"/>
      <c r="K140" s="159"/>
      <c r="L140" s="159"/>
    </row>
    <row r="141" spans="1:12" x14ac:dyDescent="0.25">
      <c r="A141" s="357"/>
      <c r="B141" s="159"/>
      <c r="C141" s="186"/>
      <c r="D141" s="194"/>
      <c r="E141" s="193"/>
      <c r="F141" s="187"/>
      <c r="G141" s="187"/>
      <c r="H141" s="194"/>
      <c r="I141" s="193"/>
      <c r="K141" s="159"/>
      <c r="L141" s="159"/>
    </row>
    <row r="142" spans="1:12" x14ac:dyDescent="0.25">
      <c r="A142" s="357"/>
      <c r="B142" s="159"/>
      <c r="C142" s="186"/>
      <c r="D142" s="194"/>
      <c r="E142" s="193"/>
      <c r="F142" s="187"/>
      <c r="G142" s="187"/>
      <c r="H142" s="194"/>
      <c r="I142" s="193"/>
      <c r="K142" s="159"/>
      <c r="L142" s="159"/>
    </row>
    <row r="143" spans="1:12" x14ac:dyDescent="0.25">
      <c r="A143" s="357"/>
      <c r="B143" s="159"/>
      <c r="C143" s="186"/>
      <c r="D143" s="194"/>
      <c r="E143" s="193"/>
      <c r="F143" s="187"/>
      <c r="G143" s="187"/>
      <c r="H143" s="194"/>
      <c r="I143" s="193"/>
      <c r="K143" s="159"/>
      <c r="L143" s="159"/>
    </row>
    <row r="144" spans="1:12" x14ac:dyDescent="0.25">
      <c r="A144" s="357"/>
      <c r="B144" s="159"/>
      <c r="C144" s="186"/>
      <c r="D144" s="194"/>
      <c r="E144" s="193"/>
      <c r="F144" s="187"/>
      <c r="G144" s="187"/>
      <c r="H144" s="194"/>
      <c r="I144" s="193"/>
      <c r="K144" s="159"/>
      <c r="L144" s="159"/>
    </row>
    <row r="145" spans="1:12" x14ac:dyDescent="0.25">
      <c r="A145" s="357"/>
      <c r="B145" s="159"/>
      <c r="C145" s="186"/>
      <c r="D145" s="194"/>
      <c r="E145" s="193"/>
      <c r="F145" s="187"/>
      <c r="G145" s="187"/>
      <c r="H145" s="194"/>
      <c r="I145" s="193"/>
      <c r="K145" s="159"/>
      <c r="L145" s="159"/>
    </row>
    <row r="146" spans="1:12" x14ac:dyDescent="0.25">
      <c r="A146" s="357"/>
      <c r="B146" s="159"/>
      <c r="C146" s="186"/>
      <c r="D146" s="194"/>
      <c r="E146" s="193"/>
      <c r="F146" s="187"/>
      <c r="G146" s="187"/>
      <c r="H146" s="194"/>
      <c r="I146" s="193"/>
      <c r="K146" s="159"/>
      <c r="L146" s="159"/>
    </row>
    <row r="147" spans="1:12" x14ac:dyDescent="0.25">
      <c r="A147" s="357"/>
      <c r="B147" s="159"/>
      <c r="C147" s="186"/>
      <c r="D147" s="194"/>
      <c r="E147" s="193"/>
      <c r="F147" s="187"/>
      <c r="G147" s="187"/>
      <c r="H147" s="194"/>
      <c r="I147" s="193"/>
      <c r="K147" s="159"/>
      <c r="L147" s="159"/>
    </row>
    <row r="148" spans="1:12" x14ac:dyDescent="0.25">
      <c r="A148" s="357"/>
      <c r="B148" s="159"/>
      <c r="C148" s="186"/>
      <c r="D148" s="194"/>
      <c r="E148" s="193"/>
      <c r="F148" s="187"/>
      <c r="G148" s="187"/>
      <c r="H148" s="194"/>
      <c r="I148" s="193"/>
      <c r="K148" s="159"/>
      <c r="L148" s="159"/>
    </row>
    <row r="149" spans="1:12" x14ac:dyDescent="0.25">
      <c r="A149" s="357"/>
      <c r="B149" s="159"/>
      <c r="C149" s="186"/>
      <c r="D149" s="194"/>
      <c r="E149" s="193"/>
      <c r="F149" s="187"/>
      <c r="G149" s="187"/>
      <c r="H149" s="194"/>
      <c r="I149" s="193"/>
      <c r="J149" s="193"/>
      <c r="K149" s="159"/>
      <c r="L149" s="159"/>
    </row>
    <row r="150" spans="1:12" x14ac:dyDescent="0.25">
      <c r="A150" s="357"/>
      <c r="B150" s="159"/>
      <c r="C150" s="186"/>
      <c r="D150" s="194"/>
      <c r="E150" s="193"/>
      <c r="F150" s="193"/>
      <c r="G150" s="187"/>
      <c r="H150" s="193"/>
      <c r="I150" s="193"/>
      <c r="K150" s="159"/>
      <c r="L150" s="159"/>
    </row>
    <row r="151" spans="1:12" x14ac:dyDescent="0.25">
      <c r="A151" s="357"/>
      <c r="B151" s="159"/>
      <c r="C151" s="186"/>
      <c r="D151" s="194"/>
      <c r="E151" s="193"/>
      <c r="F151" s="187"/>
      <c r="G151" s="187"/>
      <c r="H151" s="194"/>
      <c r="I151" s="193"/>
      <c r="K151" s="159"/>
      <c r="L151" s="159"/>
    </row>
    <row r="152" spans="1:12" x14ac:dyDescent="0.25">
      <c r="A152" s="357"/>
      <c r="B152" s="159"/>
      <c r="C152" s="186"/>
      <c r="D152" s="194"/>
      <c r="E152" s="193"/>
      <c r="F152" s="187"/>
      <c r="G152" s="187"/>
      <c r="H152" s="194"/>
      <c r="I152" s="193"/>
      <c r="K152" s="159"/>
      <c r="L152" s="159"/>
    </row>
    <row r="153" spans="1:12" x14ac:dyDescent="0.25">
      <c r="A153" s="357"/>
      <c r="B153" s="159"/>
      <c r="C153" s="186"/>
      <c r="D153" s="194"/>
      <c r="E153" s="193"/>
      <c r="F153" s="187"/>
      <c r="G153" s="187"/>
      <c r="H153" s="194"/>
      <c r="I153" s="193"/>
      <c r="K153" s="159"/>
      <c r="L153" s="159"/>
    </row>
    <row r="154" spans="1:12" x14ac:dyDescent="0.25">
      <c r="A154" s="357"/>
      <c r="B154" s="159"/>
      <c r="C154" s="186"/>
      <c r="D154" s="194"/>
      <c r="E154" s="193"/>
      <c r="F154" s="187"/>
      <c r="G154" s="187"/>
      <c r="H154" s="194"/>
      <c r="I154" s="193"/>
      <c r="K154" s="159"/>
      <c r="L154" s="159"/>
    </row>
    <row r="155" spans="1:12" x14ac:dyDescent="0.25">
      <c r="A155" s="357"/>
      <c r="B155" s="159"/>
      <c r="C155" s="186"/>
      <c r="D155" s="194"/>
      <c r="E155" s="193"/>
      <c r="F155" s="187"/>
      <c r="G155" s="187"/>
      <c r="H155" s="194"/>
      <c r="I155" s="193"/>
      <c r="K155" s="159"/>
      <c r="L155" s="159"/>
    </row>
    <row r="156" spans="1:12" x14ac:dyDescent="0.25">
      <c r="A156" s="357"/>
      <c r="B156" s="159"/>
      <c r="C156" s="186"/>
      <c r="D156" s="194"/>
      <c r="E156" s="193"/>
      <c r="F156" s="187"/>
      <c r="G156" s="187"/>
      <c r="H156" s="194"/>
      <c r="I156" s="193"/>
      <c r="K156" s="159"/>
      <c r="L156" s="159"/>
    </row>
    <row r="157" spans="1:12" x14ac:dyDescent="0.25">
      <c r="A157" s="357"/>
      <c r="B157" s="159"/>
      <c r="C157" s="186"/>
      <c r="D157" s="194"/>
      <c r="E157" s="193"/>
      <c r="F157" s="187"/>
      <c r="G157" s="187"/>
      <c r="H157" s="194"/>
      <c r="I157" s="193"/>
      <c r="K157" s="159"/>
      <c r="L157" s="159"/>
    </row>
    <row r="158" spans="1:12" x14ac:dyDescent="0.25">
      <c r="A158" s="357"/>
      <c r="B158" s="159"/>
      <c r="C158" s="186"/>
      <c r="D158" s="194"/>
      <c r="E158" s="193"/>
      <c r="F158" s="187"/>
      <c r="G158" s="187"/>
      <c r="H158" s="194"/>
      <c r="I158" s="193"/>
      <c r="K158" s="159"/>
      <c r="L158" s="159"/>
    </row>
    <row r="159" spans="1:12" x14ac:dyDescent="0.25">
      <c r="A159" s="357"/>
      <c r="B159" s="159"/>
      <c r="C159" s="186"/>
      <c r="D159" s="194"/>
      <c r="E159" s="193"/>
      <c r="F159" s="187"/>
      <c r="G159" s="187"/>
      <c r="H159" s="194"/>
      <c r="I159" s="193"/>
      <c r="K159" s="159"/>
      <c r="L159" s="159"/>
    </row>
    <row r="160" spans="1:12" x14ac:dyDescent="0.25">
      <c r="A160" s="357"/>
      <c r="B160" s="159"/>
      <c r="C160" s="186"/>
      <c r="D160" s="194"/>
      <c r="E160" s="193"/>
      <c r="F160" s="187"/>
      <c r="G160" s="187"/>
      <c r="H160" s="194"/>
      <c r="I160" s="193"/>
      <c r="K160" s="159"/>
      <c r="L160" s="159"/>
    </row>
    <row r="161" spans="1:12" x14ac:dyDescent="0.25">
      <c r="A161" s="357"/>
      <c r="B161" s="159"/>
      <c r="C161" s="186"/>
      <c r="D161" s="194"/>
      <c r="E161" s="193"/>
      <c r="F161" s="187"/>
      <c r="G161" s="187"/>
      <c r="H161" s="194"/>
      <c r="I161" s="193"/>
      <c r="K161" s="159"/>
      <c r="L161" s="159"/>
    </row>
    <row r="162" spans="1:12" x14ac:dyDescent="0.25">
      <c r="A162" s="357"/>
      <c r="B162" s="159"/>
      <c r="C162" s="186"/>
      <c r="D162" s="194"/>
      <c r="E162" s="193"/>
      <c r="F162" s="187"/>
      <c r="G162" s="187"/>
      <c r="H162" s="194"/>
      <c r="I162" s="193"/>
      <c r="K162" s="159"/>
      <c r="L162" s="159"/>
    </row>
    <row r="163" spans="1:12" x14ac:dyDescent="0.25">
      <c r="A163" s="357"/>
      <c r="B163" s="159"/>
      <c r="C163" s="186"/>
      <c r="D163" s="194"/>
      <c r="E163" s="193"/>
      <c r="F163" s="187"/>
      <c r="G163" s="187"/>
      <c r="H163" s="194"/>
      <c r="I163" s="193"/>
      <c r="K163" s="159"/>
      <c r="L163" s="159"/>
    </row>
    <row r="164" spans="1:12" x14ac:dyDescent="0.25">
      <c r="A164" s="357"/>
      <c r="B164" s="159"/>
      <c r="C164" s="186"/>
      <c r="D164" s="194"/>
      <c r="E164" s="193"/>
      <c r="F164" s="187"/>
      <c r="G164" s="187"/>
      <c r="H164" s="194"/>
      <c r="I164" s="193"/>
      <c r="K164" s="159"/>
      <c r="L164" s="159"/>
    </row>
    <row r="165" spans="1:12" x14ac:dyDescent="0.25">
      <c r="A165" s="357"/>
      <c r="B165" s="159"/>
      <c r="C165" s="186"/>
      <c r="D165" s="194"/>
      <c r="E165" s="193"/>
      <c r="F165" s="187"/>
      <c r="G165" s="187"/>
      <c r="H165" s="194"/>
      <c r="I165" s="193"/>
      <c r="K165" s="159"/>
      <c r="L165" s="159"/>
    </row>
    <row r="166" spans="1:12" x14ac:dyDescent="0.25">
      <c r="A166" s="357"/>
      <c r="B166" s="159"/>
      <c r="C166" s="186"/>
      <c r="D166" s="194"/>
      <c r="E166" s="193"/>
      <c r="F166" s="187"/>
      <c r="G166" s="187"/>
      <c r="H166" s="194"/>
      <c r="I166" s="193"/>
      <c r="K166" s="159"/>
      <c r="L166" s="159"/>
    </row>
    <row r="167" spans="1:12" x14ac:dyDescent="0.25">
      <c r="A167" s="357"/>
      <c r="B167" s="159"/>
      <c r="C167" s="186"/>
      <c r="D167" s="194"/>
      <c r="E167" s="193"/>
      <c r="F167" s="187"/>
      <c r="G167" s="187"/>
      <c r="H167" s="194"/>
      <c r="I167" s="193"/>
      <c r="K167" s="159"/>
      <c r="L167" s="159"/>
    </row>
    <row r="168" spans="1:12" x14ac:dyDescent="0.25">
      <c r="A168" s="357"/>
      <c r="B168" s="159"/>
      <c r="C168" s="186"/>
      <c r="D168" s="194"/>
      <c r="E168" s="193"/>
      <c r="F168" s="187"/>
      <c r="G168" s="187"/>
      <c r="H168" s="194"/>
      <c r="I168" s="193"/>
      <c r="K168" s="159"/>
      <c r="L168" s="159"/>
    </row>
    <row r="169" spans="1:12" x14ac:dyDescent="0.25">
      <c r="A169" s="357"/>
      <c r="B169" s="159"/>
      <c r="C169" s="186"/>
      <c r="D169" s="194"/>
      <c r="E169" s="193"/>
      <c r="F169" s="187"/>
      <c r="G169" s="187"/>
      <c r="H169" s="194"/>
      <c r="I169" s="193"/>
      <c r="K169" s="159"/>
      <c r="L169" s="159"/>
    </row>
    <row r="170" spans="1:12" x14ac:dyDescent="0.25">
      <c r="A170" s="357"/>
      <c r="B170" s="159"/>
      <c r="C170" s="186"/>
      <c r="D170" s="194"/>
      <c r="E170" s="193"/>
      <c r="F170" s="187"/>
      <c r="G170" s="187"/>
      <c r="H170" s="194"/>
      <c r="I170" s="193"/>
      <c r="K170" s="159"/>
      <c r="L170" s="159"/>
    </row>
    <row r="171" spans="1:12" x14ac:dyDescent="0.25">
      <c r="A171" s="357"/>
      <c r="B171" s="159"/>
      <c r="C171" s="186"/>
      <c r="D171" s="194"/>
      <c r="E171" s="193"/>
      <c r="F171" s="187"/>
      <c r="G171" s="187"/>
      <c r="H171" s="194"/>
      <c r="I171" s="193"/>
      <c r="K171" s="159"/>
      <c r="L171" s="159"/>
    </row>
    <row r="172" spans="1:12" x14ac:dyDescent="0.25">
      <c r="A172" s="357"/>
      <c r="B172" s="159"/>
      <c r="C172" s="186"/>
      <c r="D172" s="194"/>
      <c r="E172" s="193"/>
      <c r="F172" s="187"/>
      <c r="G172" s="187"/>
      <c r="H172" s="364"/>
      <c r="I172" s="193"/>
      <c r="K172" s="159"/>
      <c r="L172" s="159"/>
    </row>
    <row r="173" spans="1:12" x14ac:dyDescent="0.25">
      <c r="A173" s="357"/>
      <c r="B173" s="159"/>
      <c r="C173" s="186"/>
      <c r="D173" s="194"/>
      <c r="E173" s="193"/>
      <c r="F173" s="187"/>
      <c r="G173" s="187"/>
      <c r="H173" s="364"/>
      <c r="I173" s="193"/>
      <c r="J173" s="193"/>
      <c r="K173" s="159"/>
      <c r="L173" s="159"/>
    </row>
    <row r="174" spans="1:12" x14ac:dyDescent="0.25">
      <c r="A174" s="357"/>
      <c r="B174" s="159"/>
      <c r="C174" s="186"/>
      <c r="D174" s="194"/>
      <c r="E174" s="193"/>
      <c r="F174" s="187"/>
      <c r="G174" s="187"/>
      <c r="H174" s="364"/>
      <c r="I174" s="193"/>
      <c r="J174" s="193"/>
      <c r="K174" s="159"/>
      <c r="L174" s="159"/>
    </row>
    <row r="175" spans="1:12" x14ac:dyDescent="0.25">
      <c r="A175" s="357"/>
      <c r="B175" s="159"/>
      <c r="C175" s="186"/>
      <c r="D175" s="194"/>
      <c r="E175" s="193"/>
      <c r="F175" s="187"/>
      <c r="G175" s="187"/>
      <c r="H175" s="194"/>
      <c r="I175" s="193"/>
      <c r="K175" s="159"/>
      <c r="L175" s="159"/>
    </row>
    <row r="176" spans="1:12" x14ac:dyDescent="0.25">
      <c r="A176" s="357"/>
      <c r="B176" s="159"/>
      <c r="C176" s="186"/>
      <c r="D176" s="194"/>
      <c r="E176" s="193"/>
      <c r="F176" s="187"/>
      <c r="G176" s="187"/>
      <c r="H176" s="194"/>
      <c r="I176" s="193"/>
      <c r="K176" s="159"/>
      <c r="L176" s="159"/>
    </row>
    <row r="177" spans="1:12" x14ac:dyDescent="0.25">
      <c r="A177" s="357"/>
      <c r="B177" s="159"/>
      <c r="C177" s="186"/>
      <c r="D177" s="194"/>
      <c r="E177" s="193"/>
      <c r="F177" s="187"/>
      <c r="G177" s="187"/>
      <c r="H177" s="194"/>
      <c r="I177" s="193"/>
      <c r="K177" s="159"/>
      <c r="L177" s="159"/>
    </row>
    <row r="178" spans="1:12" x14ac:dyDescent="0.25">
      <c r="A178" s="357"/>
      <c r="B178" s="159"/>
      <c r="C178" s="186"/>
      <c r="D178" s="194"/>
      <c r="E178" s="193"/>
      <c r="F178" s="187"/>
      <c r="G178" s="187"/>
      <c r="H178" s="194"/>
      <c r="I178" s="193"/>
      <c r="K178" s="159"/>
      <c r="L178" s="159"/>
    </row>
    <row r="179" spans="1:12" x14ac:dyDescent="0.25">
      <c r="A179" s="357"/>
      <c r="B179" s="159"/>
      <c r="C179" s="186"/>
      <c r="D179" s="194"/>
      <c r="E179" s="193"/>
      <c r="F179" s="187"/>
      <c r="G179" s="187"/>
      <c r="H179" s="194"/>
      <c r="I179" s="193"/>
      <c r="K179" s="159"/>
      <c r="L179" s="159"/>
    </row>
    <row r="180" spans="1:12" x14ac:dyDescent="0.25">
      <c r="A180" s="357"/>
      <c r="B180" s="159"/>
      <c r="C180" s="186"/>
      <c r="D180" s="194"/>
      <c r="E180" s="193"/>
      <c r="F180" s="187"/>
      <c r="G180" s="187"/>
      <c r="H180" s="194"/>
      <c r="I180" s="193"/>
      <c r="K180" s="159"/>
      <c r="L180" s="159"/>
    </row>
    <row r="181" spans="1:12" x14ac:dyDescent="0.25">
      <c r="A181" s="357"/>
      <c r="B181" s="159"/>
      <c r="C181" s="186"/>
      <c r="D181" s="194"/>
      <c r="E181" s="193"/>
      <c r="F181" s="187"/>
      <c r="G181" s="187"/>
      <c r="H181" s="194"/>
      <c r="I181" s="193"/>
      <c r="K181" s="159"/>
      <c r="L181" s="159"/>
    </row>
    <row r="182" spans="1:12" x14ac:dyDescent="0.25">
      <c r="A182" s="357"/>
      <c r="B182" s="159"/>
      <c r="C182" s="186"/>
      <c r="D182" s="194"/>
      <c r="E182" s="193"/>
      <c r="F182" s="187"/>
      <c r="G182" s="187"/>
      <c r="H182" s="194"/>
      <c r="I182" s="193"/>
      <c r="K182" s="159"/>
      <c r="L182" s="159"/>
    </row>
    <row r="183" spans="1:12" x14ac:dyDescent="0.25">
      <c r="A183" s="357"/>
      <c r="B183" s="159"/>
      <c r="C183" s="186"/>
      <c r="D183" s="194"/>
      <c r="E183" s="193"/>
      <c r="F183" s="187"/>
      <c r="G183" s="187"/>
      <c r="H183" s="194"/>
      <c r="I183" s="193"/>
      <c r="K183" s="159"/>
      <c r="L183" s="159"/>
    </row>
    <row r="184" spans="1:12" x14ac:dyDescent="0.25">
      <c r="A184" s="357"/>
      <c r="B184" s="159"/>
      <c r="C184" s="186"/>
      <c r="D184" s="194"/>
      <c r="E184" s="193"/>
      <c r="F184" s="187"/>
      <c r="G184" s="187"/>
      <c r="H184" s="194"/>
      <c r="I184" s="193"/>
      <c r="K184" s="159"/>
      <c r="L184" s="159"/>
    </row>
    <row r="185" spans="1:12" x14ac:dyDescent="0.25">
      <c r="A185" s="357"/>
      <c r="B185" s="159"/>
      <c r="C185" s="186"/>
      <c r="D185" s="194"/>
      <c r="E185" s="193"/>
      <c r="F185" s="187"/>
      <c r="G185" s="187"/>
      <c r="H185" s="194"/>
      <c r="I185" s="193"/>
      <c r="K185" s="159"/>
      <c r="L185" s="159"/>
    </row>
    <row r="186" spans="1:12" x14ac:dyDescent="0.25">
      <c r="A186" s="357"/>
      <c r="B186" s="159"/>
      <c r="C186" s="186"/>
      <c r="D186" s="194"/>
      <c r="E186" s="193"/>
      <c r="F186" s="187"/>
      <c r="G186" s="187"/>
      <c r="H186" s="194"/>
      <c r="I186" s="193"/>
      <c r="K186" s="159"/>
      <c r="L186" s="159"/>
    </row>
    <row r="187" spans="1:12" x14ac:dyDescent="0.25">
      <c r="A187" s="357"/>
      <c r="B187" s="159"/>
      <c r="C187" s="186"/>
      <c r="D187" s="194"/>
      <c r="E187" s="193"/>
      <c r="F187" s="187"/>
      <c r="G187" s="187"/>
      <c r="H187" s="194"/>
      <c r="I187" s="193"/>
      <c r="K187" s="159"/>
      <c r="L187" s="159"/>
    </row>
    <row r="188" spans="1:12" x14ac:dyDescent="0.25">
      <c r="A188" s="357"/>
      <c r="B188" s="159"/>
      <c r="C188" s="186"/>
      <c r="D188" s="194"/>
      <c r="E188" s="193"/>
      <c r="F188" s="187"/>
      <c r="G188" s="187"/>
      <c r="H188" s="194"/>
      <c r="I188" s="193"/>
      <c r="K188" s="159"/>
      <c r="L188" s="159"/>
    </row>
    <row r="189" spans="1:12" x14ac:dyDescent="0.25">
      <c r="A189" s="357"/>
      <c r="B189" s="159"/>
      <c r="C189" s="186"/>
      <c r="D189" s="194"/>
      <c r="E189" s="193"/>
      <c r="F189" s="187"/>
      <c r="G189" s="187"/>
      <c r="H189" s="194"/>
      <c r="I189" s="193"/>
      <c r="K189" s="159"/>
      <c r="L189" s="159"/>
    </row>
    <row r="190" spans="1:12" x14ac:dyDescent="0.25">
      <c r="A190" s="357"/>
      <c r="B190" s="159"/>
      <c r="C190" s="186"/>
      <c r="D190" s="194"/>
      <c r="E190" s="193"/>
      <c r="F190" s="187"/>
      <c r="G190" s="187"/>
      <c r="H190" s="194"/>
      <c r="I190" s="193"/>
      <c r="K190" s="159"/>
      <c r="L190" s="159"/>
    </row>
    <row r="191" spans="1:12" x14ac:dyDescent="0.25">
      <c r="A191" s="357"/>
      <c r="B191" s="159"/>
      <c r="C191" s="186"/>
      <c r="D191" s="194"/>
      <c r="E191" s="193"/>
      <c r="F191" s="187"/>
      <c r="G191" s="187"/>
      <c r="H191" s="194"/>
      <c r="I191" s="193"/>
      <c r="K191" s="159"/>
      <c r="L191" s="159"/>
    </row>
    <row r="192" spans="1:12" x14ac:dyDescent="0.25">
      <c r="A192" s="357"/>
      <c r="B192" s="159"/>
      <c r="C192" s="186"/>
      <c r="D192" s="194"/>
      <c r="E192" s="193"/>
      <c r="F192" s="187"/>
      <c r="G192" s="187"/>
      <c r="H192" s="194"/>
      <c r="I192" s="193"/>
      <c r="K192" s="159"/>
      <c r="L192" s="159"/>
    </row>
    <row r="193" spans="1:12" x14ac:dyDescent="0.25">
      <c r="A193" s="357"/>
      <c r="B193" s="159"/>
      <c r="C193" s="186"/>
      <c r="D193" s="194"/>
      <c r="E193" s="193"/>
      <c r="F193" s="187"/>
      <c r="G193" s="187"/>
      <c r="H193" s="194"/>
      <c r="I193" s="193"/>
      <c r="K193" s="159"/>
      <c r="L193" s="159"/>
    </row>
    <row r="194" spans="1:12" x14ac:dyDescent="0.25">
      <c r="A194" s="357"/>
      <c r="B194" s="159"/>
      <c r="C194" s="186"/>
      <c r="D194" s="194"/>
      <c r="E194" s="193"/>
      <c r="F194" s="187"/>
      <c r="G194" s="187"/>
      <c r="H194" s="194"/>
      <c r="I194" s="193"/>
      <c r="K194" s="159"/>
      <c r="L194" s="159"/>
    </row>
    <row r="195" spans="1:12" x14ac:dyDescent="0.25">
      <c r="A195" s="357"/>
      <c r="B195" s="159"/>
      <c r="C195" s="186"/>
      <c r="D195" s="194"/>
      <c r="E195" s="193"/>
      <c r="F195" s="187"/>
      <c r="G195" s="187"/>
      <c r="H195" s="194"/>
      <c r="I195" s="193"/>
      <c r="K195" s="159"/>
      <c r="L195" s="159"/>
    </row>
    <row r="196" spans="1:12" x14ac:dyDescent="0.25">
      <c r="A196" s="357"/>
      <c r="B196" s="159"/>
      <c r="C196" s="186"/>
      <c r="D196" s="194"/>
      <c r="E196" s="193"/>
      <c r="F196" s="187"/>
      <c r="G196" s="187"/>
      <c r="H196" s="194"/>
      <c r="I196" s="193"/>
      <c r="K196" s="159"/>
      <c r="L196" s="159"/>
    </row>
    <row r="197" spans="1:12" x14ac:dyDescent="0.25">
      <c r="A197" s="357"/>
      <c r="B197" s="159"/>
      <c r="C197" s="186"/>
      <c r="D197" s="194"/>
      <c r="E197" s="193"/>
      <c r="F197" s="187"/>
      <c r="G197" s="187"/>
      <c r="H197" s="194"/>
      <c r="I197" s="193"/>
      <c r="K197" s="159"/>
      <c r="L197" s="159"/>
    </row>
    <row r="198" spans="1:12" x14ac:dyDescent="0.25">
      <c r="A198" s="357"/>
      <c r="B198" s="159"/>
      <c r="C198" s="186"/>
      <c r="D198" s="194"/>
      <c r="E198" s="193"/>
      <c r="F198" s="187"/>
      <c r="G198" s="187"/>
      <c r="H198" s="194"/>
      <c r="I198" s="193"/>
      <c r="K198" s="159"/>
      <c r="L198" s="159"/>
    </row>
    <row r="199" spans="1:12" x14ac:dyDescent="0.25">
      <c r="A199" s="357"/>
      <c r="B199" s="159"/>
      <c r="C199" s="186"/>
      <c r="D199" s="194"/>
      <c r="E199" s="193"/>
      <c r="F199" s="187"/>
      <c r="G199" s="187"/>
      <c r="H199" s="194"/>
      <c r="I199" s="193"/>
      <c r="K199" s="159"/>
      <c r="L199" s="159"/>
    </row>
    <row r="200" spans="1:12" x14ac:dyDescent="0.25">
      <c r="A200" s="357"/>
      <c r="B200" s="159"/>
      <c r="C200" s="186"/>
      <c r="D200" s="194"/>
      <c r="E200" s="193"/>
      <c r="F200" s="187"/>
      <c r="G200" s="187"/>
      <c r="H200" s="194"/>
      <c r="I200" s="193"/>
      <c r="K200" s="159"/>
      <c r="L200" s="159"/>
    </row>
    <row r="201" spans="1:12" x14ac:dyDescent="0.25">
      <c r="A201" s="357"/>
      <c r="B201" s="159"/>
      <c r="C201" s="186"/>
      <c r="D201" s="194"/>
      <c r="E201" s="193"/>
      <c r="F201" s="187"/>
      <c r="G201" s="187"/>
      <c r="H201" s="194"/>
      <c r="I201" s="193"/>
      <c r="K201" s="159"/>
      <c r="L201" s="159"/>
    </row>
    <row r="202" spans="1:12" x14ac:dyDescent="0.25">
      <c r="A202" s="357"/>
      <c r="B202" s="159"/>
      <c r="C202" s="186"/>
      <c r="D202" s="194"/>
      <c r="E202" s="193"/>
      <c r="F202" s="193"/>
      <c r="G202" s="193"/>
      <c r="H202" s="193"/>
      <c r="I202" s="193"/>
      <c r="K202" s="159"/>
      <c r="L202" s="159"/>
    </row>
    <row r="203" spans="1:12" x14ac:dyDescent="0.25">
      <c r="A203" s="357"/>
      <c r="B203" s="159"/>
      <c r="C203" s="186"/>
      <c r="D203" s="194"/>
      <c r="E203" s="193"/>
      <c r="F203" s="193"/>
      <c r="G203" s="193"/>
      <c r="H203" s="193"/>
      <c r="I203" s="193"/>
      <c r="K203" s="159"/>
      <c r="L203" s="159"/>
    </row>
    <row r="204" spans="1:12" x14ac:dyDescent="0.25">
      <c r="A204" s="357"/>
      <c r="B204" s="159"/>
      <c r="C204" s="186"/>
      <c r="D204" s="194"/>
      <c r="E204" s="193"/>
      <c r="F204" s="193"/>
      <c r="G204" s="193"/>
      <c r="H204" s="193"/>
      <c r="I204" s="193"/>
      <c r="K204" s="159"/>
      <c r="L204" s="159"/>
    </row>
    <row r="205" spans="1:12" x14ac:dyDescent="0.25">
      <c r="A205" s="357"/>
      <c r="B205" s="159"/>
      <c r="C205" s="186"/>
      <c r="D205" s="194"/>
      <c r="E205" s="193"/>
      <c r="F205" s="187"/>
      <c r="G205" s="187"/>
      <c r="H205" s="194"/>
      <c r="I205" s="193"/>
      <c r="K205" s="159"/>
      <c r="L205" s="159"/>
    </row>
    <row r="206" spans="1:12" x14ac:dyDescent="0.25">
      <c r="A206" s="357"/>
      <c r="B206" s="159"/>
      <c r="C206" s="186"/>
      <c r="D206" s="194"/>
      <c r="E206" s="193"/>
      <c r="F206" s="187"/>
      <c r="G206" s="187"/>
      <c r="H206" s="194"/>
      <c r="I206" s="193"/>
      <c r="K206" s="159"/>
      <c r="L206" s="159"/>
    </row>
    <row r="207" spans="1:12" x14ac:dyDescent="0.25">
      <c r="A207" s="357"/>
      <c r="B207" s="159"/>
      <c r="C207" s="186"/>
      <c r="D207" s="194"/>
      <c r="E207" s="193"/>
      <c r="F207" s="187"/>
      <c r="G207" s="187"/>
      <c r="H207" s="194"/>
      <c r="I207" s="193"/>
      <c r="K207" s="159"/>
      <c r="L207" s="159"/>
    </row>
    <row r="208" spans="1:12" x14ac:dyDescent="0.25">
      <c r="A208" s="357"/>
      <c r="B208" s="159"/>
      <c r="C208" s="186"/>
      <c r="D208" s="194"/>
      <c r="E208" s="193"/>
      <c r="F208" s="187"/>
      <c r="G208" s="187"/>
      <c r="H208" s="194"/>
      <c r="I208" s="193"/>
      <c r="K208" s="159"/>
      <c r="L208" s="159"/>
    </row>
    <row r="209" spans="1:12" x14ac:dyDescent="0.25">
      <c r="A209" s="357"/>
      <c r="B209" s="159"/>
      <c r="C209" s="186"/>
      <c r="D209" s="194"/>
      <c r="E209" s="193"/>
      <c r="F209" s="187"/>
      <c r="G209" s="187"/>
      <c r="H209" s="194"/>
      <c r="I209" s="193"/>
      <c r="K209" s="159"/>
      <c r="L209" s="159"/>
    </row>
    <row r="210" spans="1:12" x14ac:dyDescent="0.25">
      <c r="A210" s="357"/>
      <c r="B210" s="159"/>
      <c r="C210" s="186"/>
      <c r="D210" s="194"/>
      <c r="E210" s="193"/>
      <c r="F210" s="187"/>
      <c r="G210" s="187"/>
      <c r="H210" s="194"/>
      <c r="I210" s="193"/>
      <c r="K210" s="159"/>
      <c r="L210" s="159"/>
    </row>
    <row r="211" spans="1:12" x14ac:dyDescent="0.25">
      <c r="A211" s="357"/>
      <c r="B211" s="159"/>
      <c r="C211" s="186"/>
      <c r="D211" s="194"/>
      <c r="E211" s="193"/>
      <c r="F211" s="187"/>
      <c r="G211" s="187"/>
      <c r="H211" s="194"/>
      <c r="I211" s="193"/>
      <c r="K211" s="159"/>
      <c r="L211" s="159"/>
    </row>
    <row r="212" spans="1:12" x14ac:dyDescent="0.25">
      <c r="A212" s="357"/>
      <c r="B212" s="159"/>
      <c r="C212" s="186"/>
      <c r="D212" s="194"/>
      <c r="E212" s="193"/>
      <c r="F212" s="187"/>
      <c r="G212" s="187"/>
      <c r="H212" s="194"/>
      <c r="I212" s="193"/>
      <c r="K212" s="159"/>
      <c r="L212" s="159"/>
    </row>
    <row r="213" spans="1:12" x14ac:dyDescent="0.25">
      <c r="A213" s="357"/>
      <c r="B213" s="159"/>
      <c r="C213" s="186"/>
      <c r="D213" s="194"/>
      <c r="E213" s="193"/>
      <c r="F213" s="187"/>
      <c r="G213" s="187"/>
      <c r="H213" s="194"/>
      <c r="I213" s="193"/>
      <c r="K213" s="159"/>
      <c r="L213" s="159"/>
    </row>
    <row r="214" spans="1:12" x14ac:dyDescent="0.25">
      <c r="A214" s="357"/>
      <c r="B214" s="159"/>
      <c r="C214" s="186"/>
      <c r="D214" s="194"/>
      <c r="E214" s="193"/>
      <c r="F214" s="187"/>
      <c r="G214" s="187"/>
      <c r="H214" s="194"/>
      <c r="I214" s="193"/>
      <c r="K214" s="159"/>
      <c r="L214" s="159"/>
    </row>
    <row r="215" spans="1:12" x14ac:dyDescent="0.25">
      <c r="A215" s="357"/>
      <c r="B215" s="159"/>
      <c r="C215" s="186"/>
      <c r="D215" s="194"/>
      <c r="E215" s="193"/>
      <c r="F215" s="187"/>
      <c r="G215" s="187"/>
      <c r="H215" s="194"/>
      <c r="I215" s="193"/>
      <c r="K215" s="159"/>
      <c r="L215" s="159"/>
    </row>
    <row r="216" spans="1:12" x14ac:dyDescent="0.25">
      <c r="A216" s="357"/>
      <c r="B216" s="159"/>
      <c r="C216" s="186"/>
      <c r="D216" s="194"/>
      <c r="E216" s="193"/>
      <c r="F216" s="193"/>
      <c r="G216" s="193"/>
      <c r="H216" s="193"/>
      <c r="I216" s="193"/>
      <c r="K216" s="159"/>
      <c r="L216" s="159"/>
    </row>
    <row r="217" spans="1:12" x14ac:dyDescent="0.25">
      <c r="A217" s="357"/>
      <c r="B217" s="159"/>
      <c r="C217" s="186"/>
      <c r="D217" s="194"/>
      <c r="E217" s="193"/>
      <c r="F217" s="187"/>
      <c r="G217" s="187"/>
      <c r="H217" s="194"/>
      <c r="I217" s="193"/>
      <c r="K217" s="159"/>
      <c r="L217" s="159"/>
    </row>
    <row r="218" spans="1:12" x14ac:dyDescent="0.25">
      <c r="A218" s="357"/>
      <c r="B218" s="159"/>
      <c r="C218" s="186"/>
      <c r="D218" s="194"/>
      <c r="E218" s="193"/>
      <c r="F218" s="187"/>
      <c r="G218" s="187"/>
      <c r="H218" s="194"/>
      <c r="I218" s="193"/>
      <c r="K218" s="159"/>
      <c r="L218" s="159"/>
    </row>
    <row r="219" spans="1:12" x14ac:dyDescent="0.25">
      <c r="A219" s="357"/>
      <c r="B219" s="159"/>
      <c r="C219" s="186"/>
      <c r="D219" s="194"/>
      <c r="E219" s="193"/>
      <c r="F219" s="187"/>
      <c r="G219" s="187"/>
      <c r="H219" s="194"/>
      <c r="I219" s="193"/>
      <c r="K219" s="159"/>
      <c r="L219" s="159"/>
    </row>
    <row r="220" spans="1:12" x14ac:dyDescent="0.25">
      <c r="A220" s="357"/>
      <c r="B220" s="159"/>
      <c r="C220" s="186"/>
      <c r="D220" s="194"/>
      <c r="E220" s="193"/>
      <c r="F220" s="187"/>
      <c r="G220" s="187"/>
      <c r="H220" s="194"/>
      <c r="I220" s="193"/>
      <c r="K220" s="159"/>
      <c r="L220" s="159"/>
    </row>
    <row r="221" spans="1:12" x14ac:dyDescent="0.25">
      <c r="A221" s="357"/>
      <c r="B221" s="159"/>
      <c r="C221" s="186"/>
      <c r="D221" s="194"/>
      <c r="E221" s="193"/>
      <c r="F221" s="187"/>
      <c r="G221" s="187"/>
      <c r="H221" s="194"/>
      <c r="I221" s="193"/>
      <c r="K221" s="159"/>
      <c r="L221" s="159"/>
    </row>
    <row r="222" spans="1:12" x14ac:dyDescent="0.25">
      <c r="A222" s="357"/>
      <c r="B222" s="159"/>
      <c r="C222" s="186"/>
      <c r="D222" s="194"/>
      <c r="E222" s="193"/>
      <c r="F222" s="187"/>
      <c r="G222" s="187"/>
      <c r="H222" s="194"/>
      <c r="I222" s="193"/>
      <c r="K222" s="159"/>
      <c r="L222" s="159"/>
    </row>
    <row r="223" spans="1:12" x14ac:dyDescent="0.25">
      <c r="A223" s="357"/>
      <c r="B223" s="159"/>
      <c r="C223" s="186"/>
      <c r="D223" s="194"/>
      <c r="E223" s="193"/>
      <c r="F223" s="187"/>
      <c r="G223" s="187"/>
      <c r="H223" s="194"/>
      <c r="I223" s="193"/>
      <c r="K223" s="159"/>
      <c r="L223" s="159"/>
    </row>
    <row r="224" spans="1:12" x14ac:dyDescent="0.25">
      <c r="A224" s="357"/>
      <c r="B224" s="159"/>
      <c r="C224" s="186"/>
      <c r="D224" s="194"/>
      <c r="E224" s="193"/>
      <c r="F224" s="187"/>
      <c r="G224" s="187"/>
      <c r="H224" s="194"/>
      <c r="I224" s="193"/>
      <c r="K224" s="159"/>
      <c r="L224" s="159"/>
    </row>
    <row r="225" spans="1:12" x14ac:dyDescent="0.25">
      <c r="A225" s="357"/>
      <c r="B225" s="159"/>
      <c r="C225" s="186"/>
      <c r="D225" s="194"/>
      <c r="E225" s="193"/>
      <c r="F225" s="187"/>
      <c r="G225" s="187"/>
      <c r="H225" s="194"/>
      <c r="I225" s="193"/>
      <c r="K225" s="159"/>
      <c r="L225" s="159"/>
    </row>
    <row r="226" spans="1:12" x14ac:dyDescent="0.25">
      <c r="A226" s="357"/>
      <c r="B226" s="159"/>
      <c r="C226" s="186"/>
      <c r="D226" s="194"/>
      <c r="E226" s="193"/>
      <c r="F226" s="187"/>
      <c r="G226" s="187"/>
      <c r="H226" s="194"/>
      <c r="I226" s="193"/>
      <c r="K226" s="159"/>
      <c r="L226" s="159"/>
    </row>
    <row r="227" spans="1:12" x14ac:dyDescent="0.25">
      <c r="A227" s="357"/>
      <c r="B227" s="159"/>
      <c r="C227" s="186"/>
      <c r="D227" s="194"/>
      <c r="E227" s="193"/>
      <c r="F227" s="187"/>
      <c r="G227" s="187"/>
      <c r="H227" s="194"/>
      <c r="I227" s="193"/>
      <c r="K227" s="159"/>
      <c r="L227" s="159"/>
    </row>
    <row r="228" spans="1:12" x14ac:dyDescent="0.25">
      <c r="A228" s="357"/>
      <c r="B228" s="159"/>
      <c r="C228" s="186"/>
      <c r="D228" s="194"/>
      <c r="E228" s="193"/>
      <c r="F228" s="187"/>
      <c r="G228" s="187"/>
      <c r="H228" s="194"/>
      <c r="I228" s="193"/>
      <c r="K228" s="159"/>
      <c r="L228" s="159"/>
    </row>
    <row r="229" spans="1:12" x14ac:dyDescent="0.25">
      <c r="A229" s="357"/>
      <c r="B229" s="159"/>
      <c r="C229" s="186"/>
      <c r="D229" s="194"/>
      <c r="E229" s="193"/>
      <c r="F229" s="187"/>
      <c r="G229" s="187"/>
      <c r="H229" s="194"/>
      <c r="I229" s="193"/>
      <c r="K229" s="159"/>
      <c r="L229" s="159"/>
    </row>
    <row r="230" spans="1:12" x14ac:dyDescent="0.25">
      <c r="A230" s="357"/>
      <c r="B230" s="159"/>
      <c r="C230" s="186"/>
      <c r="D230" s="194"/>
      <c r="E230" s="193"/>
      <c r="F230" s="187"/>
      <c r="G230" s="187"/>
      <c r="H230" s="194"/>
      <c r="I230" s="193"/>
      <c r="K230" s="159"/>
      <c r="L230" s="159"/>
    </row>
    <row r="231" spans="1:12" x14ac:dyDescent="0.25">
      <c r="A231" s="357"/>
      <c r="B231" s="159"/>
      <c r="C231" s="186"/>
      <c r="D231" s="194"/>
      <c r="E231" s="193"/>
      <c r="F231" s="187"/>
      <c r="G231" s="187"/>
      <c r="H231" s="194"/>
      <c r="I231" s="193"/>
      <c r="K231" s="159"/>
      <c r="L231" s="159"/>
    </row>
    <row r="232" spans="1:12" x14ac:dyDescent="0.25">
      <c r="A232" s="357"/>
      <c r="B232" s="159"/>
      <c r="C232" s="186"/>
      <c r="D232" s="194"/>
      <c r="E232" s="193"/>
      <c r="F232" s="187"/>
      <c r="G232" s="187"/>
      <c r="H232" s="194"/>
      <c r="I232" s="193"/>
      <c r="K232" s="159"/>
      <c r="L232" s="159"/>
    </row>
    <row r="233" spans="1:12" x14ac:dyDescent="0.25">
      <c r="A233" s="357"/>
      <c r="B233" s="159"/>
      <c r="C233" s="186"/>
      <c r="D233" s="194"/>
      <c r="E233" s="193"/>
      <c r="F233" s="187"/>
      <c r="G233" s="187"/>
      <c r="H233" s="194"/>
      <c r="I233" s="193"/>
      <c r="K233" s="159"/>
      <c r="L233" s="159"/>
    </row>
    <row r="234" spans="1:12" x14ac:dyDescent="0.25">
      <c r="A234" s="357"/>
      <c r="B234" s="159"/>
      <c r="C234" s="186"/>
      <c r="D234" s="194"/>
      <c r="E234" s="193"/>
      <c r="F234" s="187"/>
      <c r="G234" s="187"/>
      <c r="H234" s="194"/>
      <c r="I234" s="193"/>
      <c r="K234" s="159"/>
      <c r="L234" s="159"/>
    </row>
    <row r="235" spans="1:12" x14ac:dyDescent="0.25">
      <c r="A235" s="357"/>
      <c r="C235" s="186"/>
      <c r="D235" s="194"/>
      <c r="E235" s="193"/>
      <c r="H235" s="194"/>
      <c r="I235" s="193"/>
      <c r="K235" s="159"/>
      <c r="L235" s="159"/>
    </row>
    <row r="236" spans="1:12" x14ac:dyDescent="0.25">
      <c r="A236" s="357"/>
      <c r="B236" s="159"/>
      <c r="C236" s="186"/>
      <c r="D236" s="194"/>
      <c r="E236" s="193"/>
      <c r="F236" s="187"/>
      <c r="G236" s="187"/>
      <c r="H236" s="194"/>
      <c r="I236" s="193"/>
      <c r="K236" s="159"/>
      <c r="L236" s="159"/>
    </row>
    <row r="237" spans="1:12" x14ac:dyDescent="0.25">
      <c r="A237" s="357"/>
      <c r="B237" s="159"/>
      <c r="C237" s="186"/>
      <c r="D237" s="194"/>
      <c r="E237" s="193"/>
      <c r="F237" s="187"/>
      <c r="G237" s="187"/>
      <c r="H237" s="194"/>
      <c r="I237" s="193"/>
      <c r="K237" s="159"/>
      <c r="L237" s="159"/>
    </row>
    <row r="238" spans="1:12" x14ac:dyDescent="0.25">
      <c r="A238" s="357"/>
      <c r="B238" s="159"/>
      <c r="C238" s="186"/>
      <c r="D238" s="194"/>
      <c r="E238" s="193"/>
      <c r="F238" s="187"/>
      <c r="G238" s="187"/>
      <c r="H238" s="194"/>
      <c r="I238" s="193"/>
      <c r="K238" s="159"/>
      <c r="L238" s="159"/>
    </row>
    <row r="239" spans="1:12" x14ac:dyDescent="0.25">
      <c r="A239" s="357"/>
      <c r="C239" s="186"/>
      <c r="D239" s="194"/>
      <c r="E239" s="193"/>
      <c r="H239" s="194"/>
      <c r="I239" s="193"/>
      <c r="K239" s="159"/>
      <c r="L239" s="159"/>
    </row>
    <row r="240" spans="1:12" x14ac:dyDescent="0.25">
      <c r="A240" s="357"/>
      <c r="B240" s="159"/>
      <c r="C240" s="186"/>
      <c r="D240" s="194"/>
      <c r="E240" s="193"/>
      <c r="F240" s="187"/>
      <c r="G240" s="187"/>
      <c r="H240" s="194"/>
      <c r="I240" s="193"/>
      <c r="K240" s="159"/>
      <c r="L240" s="159"/>
    </row>
    <row r="241" spans="1:13" x14ac:dyDescent="0.25">
      <c r="A241" s="357"/>
      <c r="B241" s="159"/>
      <c r="C241" s="186"/>
      <c r="D241" s="194"/>
      <c r="E241" s="193"/>
      <c r="F241" s="187"/>
      <c r="G241" s="187"/>
      <c r="H241" s="194"/>
      <c r="I241" s="193"/>
      <c r="K241" s="159"/>
      <c r="L241" s="159"/>
      <c r="M241" s="159"/>
    </row>
    <row r="242" spans="1:13" x14ac:dyDescent="0.25">
      <c r="A242" s="357"/>
      <c r="B242" s="159"/>
      <c r="C242" s="186"/>
      <c r="D242" s="194"/>
      <c r="E242" s="193"/>
      <c r="F242" s="187"/>
      <c r="G242" s="187"/>
      <c r="H242" s="194"/>
      <c r="I242" s="193"/>
      <c r="K242" s="159"/>
      <c r="L242" s="159"/>
      <c r="M242" s="159"/>
    </row>
    <row r="243" spans="1:13" x14ac:dyDescent="0.25">
      <c r="A243" s="357"/>
      <c r="B243" s="159"/>
      <c r="C243" s="186"/>
      <c r="D243" s="194"/>
      <c r="E243" s="193"/>
      <c r="F243" s="187"/>
      <c r="G243" s="187"/>
      <c r="H243" s="194"/>
      <c r="I243" s="193"/>
      <c r="K243" s="159"/>
      <c r="L243" s="159"/>
    </row>
    <row r="244" spans="1:13" x14ac:dyDescent="0.25">
      <c r="A244" s="357"/>
      <c r="C244" s="186"/>
      <c r="D244" s="194"/>
      <c r="E244" s="193"/>
      <c r="H244" s="194"/>
      <c r="I244" s="193"/>
      <c r="K244" s="159"/>
      <c r="L244" s="159"/>
    </row>
    <row r="245" spans="1:13" x14ac:dyDescent="0.25">
      <c r="A245" s="357"/>
      <c r="B245" s="159"/>
      <c r="C245" s="186"/>
      <c r="D245" s="194"/>
      <c r="E245" s="193"/>
      <c r="F245" s="187"/>
      <c r="G245" s="187"/>
      <c r="H245" s="194"/>
      <c r="I245" s="193"/>
      <c r="K245" s="159"/>
      <c r="L245" s="159"/>
    </row>
    <row r="246" spans="1:13" x14ac:dyDescent="0.25">
      <c r="A246" s="357"/>
      <c r="B246" s="159"/>
      <c r="C246" s="186"/>
      <c r="D246" s="194"/>
      <c r="E246" s="193"/>
      <c r="F246" s="187"/>
      <c r="G246" s="187"/>
      <c r="H246" s="194"/>
      <c r="I246" s="193"/>
      <c r="K246" s="159"/>
      <c r="L246" s="159"/>
    </row>
    <row r="247" spans="1:13" x14ac:dyDescent="0.25">
      <c r="A247" s="357"/>
      <c r="B247" s="159"/>
      <c r="C247" s="186"/>
      <c r="D247" s="194"/>
      <c r="E247" s="193"/>
      <c r="F247" s="187"/>
      <c r="G247" s="187"/>
      <c r="H247" s="194"/>
      <c r="I247" s="193"/>
      <c r="K247" s="159"/>
      <c r="L247" s="159"/>
    </row>
    <row r="248" spans="1:13" x14ac:dyDescent="0.25">
      <c r="A248" s="357"/>
      <c r="C248" s="186"/>
      <c r="D248" s="194"/>
      <c r="E248" s="193"/>
      <c r="H248" s="194"/>
      <c r="I248" s="193"/>
      <c r="K248" s="159"/>
      <c r="L248" s="159"/>
    </row>
    <row r="249" spans="1:13" x14ac:dyDescent="0.25">
      <c r="A249" s="357"/>
      <c r="B249" s="251"/>
      <c r="C249" s="186"/>
      <c r="D249" s="194"/>
      <c r="E249" s="193"/>
      <c r="H249" s="194"/>
      <c r="I249" s="193"/>
      <c r="K249" s="159"/>
      <c r="L249" s="159"/>
    </row>
    <row r="250" spans="1:13" x14ac:dyDescent="0.25">
      <c r="C250" s="186"/>
      <c r="D250" s="194"/>
      <c r="E250" s="193"/>
      <c r="H250" s="194"/>
      <c r="I250" s="193"/>
      <c r="K250" s="159"/>
      <c r="L250" s="159"/>
    </row>
    <row r="251" spans="1:13" x14ac:dyDescent="0.25">
      <c r="C251" s="186"/>
      <c r="D251" s="194"/>
      <c r="E251" s="193"/>
      <c r="H251" s="194"/>
      <c r="I251" s="193"/>
      <c r="K251" s="159"/>
      <c r="L251" s="159"/>
    </row>
    <row r="252" spans="1:13" x14ac:dyDescent="0.25">
      <c r="C252" s="186"/>
      <c r="D252" s="194"/>
      <c r="E252" s="193"/>
      <c r="H252" s="194"/>
      <c r="I252" s="193"/>
      <c r="K252" s="159"/>
      <c r="L252" s="159"/>
    </row>
    <row r="253" spans="1:13" x14ac:dyDescent="0.25">
      <c r="C253" s="186"/>
      <c r="D253" s="194"/>
      <c r="E253" s="193"/>
      <c r="H253" s="194"/>
      <c r="I253" s="193"/>
      <c r="K253" s="159"/>
      <c r="L253" s="159"/>
    </row>
    <row r="254" spans="1:13" x14ac:dyDescent="0.25">
      <c r="B254" s="251"/>
      <c r="C254" s="186"/>
      <c r="D254" s="194"/>
      <c r="E254" s="193"/>
      <c r="F254" s="1038"/>
      <c r="G254" s="1038"/>
      <c r="H254" s="1038"/>
      <c r="I254" s="193"/>
      <c r="K254" s="159"/>
      <c r="L254" s="159"/>
    </row>
    <row r="255" spans="1:13" x14ac:dyDescent="0.25">
      <c r="C255" s="186"/>
      <c r="D255" s="194"/>
      <c r="E255" s="193"/>
      <c r="H255" s="194"/>
      <c r="I255" s="193"/>
      <c r="K255" s="159"/>
      <c r="L255" s="159"/>
    </row>
    <row r="256" spans="1:13" x14ac:dyDescent="0.25">
      <c r="C256" s="186"/>
      <c r="D256" s="194"/>
      <c r="E256" s="193"/>
      <c r="H256" s="194"/>
      <c r="I256" s="193"/>
      <c r="K256" s="159"/>
      <c r="L256" s="159"/>
    </row>
    <row r="257" spans="3:12" x14ac:dyDescent="0.25">
      <c r="C257" s="186"/>
      <c r="D257" s="194"/>
      <c r="E257" s="193"/>
      <c r="H257" s="194"/>
      <c r="I257" s="193"/>
      <c r="K257" s="159"/>
      <c r="L257" s="159"/>
    </row>
    <row r="258" spans="3:12" x14ac:dyDescent="0.25">
      <c r="C258" s="186"/>
      <c r="D258" s="194"/>
      <c r="E258" s="193"/>
      <c r="H258" s="194"/>
      <c r="I258" s="193"/>
      <c r="K258" s="159"/>
      <c r="L258" s="159"/>
    </row>
    <row r="259" spans="3:12" x14ac:dyDescent="0.25">
      <c r="C259" s="186"/>
      <c r="D259" s="194"/>
      <c r="E259" s="193"/>
      <c r="H259" s="194"/>
      <c r="I259" s="193"/>
      <c r="K259" s="159"/>
      <c r="L259" s="159"/>
    </row>
    <row r="260" spans="3:12" x14ac:dyDescent="0.25">
      <c r="C260" s="186"/>
      <c r="D260" s="194"/>
      <c r="E260" s="193"/>
      <c r="H260" s="194"/>
      <c r="I260" s="193"/>
      <c r="K260" s="159"/>
      <c r="L260" s="159"/>
    </row>
    <row r="261" spans="3:12" x14ac:dyDescent="0.25">
      <c r="C261" s="186"/>
      <c r="D261" s="194"/>
      <c r="E261" s="193"/>
      <c r="H261" s="194"/>
      <c r="I261" s="193"/>
      <c r="K261" s="159"/>
      <c r="L261" s="159"/>
    </row>
    <row r="262" spans="3:12" x14ac:dyDescent="0.25">
      <c r="C262" s="186"/>
      <c r="D262" s="194"/>
      <c r="E262" s="193"/>
      <c r="H262" s="194"/>
      <c r="I262" s="193"/>
      <c r="K262" s="159"/>
      <c r="L262" s="159"/>
    </row>
    <row r="263" spans="3:12" x14ac:dyDescent="0.25">
      <c r="C263" s="186"/>
      <c r="D263" s="194"/>
      <c r="E263" s="193"/>
      <c r="H263" s="194"/>
      <c r="I263" s="193"/>
      <c r="K263" s="159"/>
      <c r="L263" s="159"/>
    </row>
    <row r="264" spans="3:12" x14ac:dyDescent="0.25">
      <c r="C264" s="186"/>
      <c r="D264" s="194"/>
      <c r="E264" s="193"/>
      <c r="H264" s="194"/>
      <c r="I264" s="193"/>
      <c r="K264" s="159"/>
      <c r="L264" s="159"/>
    </row>
    <row r="265" spans="3:12" x14ac:dyDescent="0.25">
      <c r="C265" s="186"/>
      <c r="D265" s="194"/>
      <c r="E265" s="193"/>
      <c r="H265" s="194"/>
      <c r="I265" s="193"/>
      <c r="K265" s="159"/>
      <c r="L265" s="159"/>
    </row>
    <row r="266" spans="3:12" x14ac:dyDescent="0.25">
      <c r="C266" s="186"/>
      <c r="D266" s="194"/>
      <c r="E266" s="193"/>
      <c r="H266" s="194"/>
      <c r="I266" s="193"/>
      <c r="K266" s="159"/>
      <c r="L266" s="159"/>
    </row>
    <row r="267" spans="3:12" x14ac:dyDescent="0.25">
      <c r="C267" s="186"/>
      <c r="D267" s="194"/>
      <c r="E267" s="193"/>
      <c r="H267" s="194"/>
      <c r="I267" s="193"/>
      <c r="K267" s="159"/>
      <c r="L267" s="159"/>
    </row>
    <row r="268" spans="3:12" x14ac:dyDescent="0.25">
      <c r="C268" s="186"/>
      <c r="D268" s="194"/>
      <c r="E268" s="193"/>
      <c r="H268" s="194"/>
      <c r="I268" s="193"/>
      <c r="K268" s="159"/>
      <c r="L268" s="159"/>
    </row>
    <row r="269" spans="3:12" x14ac:dyDescent="0.25">
      <c r="C269" s="186"/>
      <c r="D269" s="194"/>
      <c r="E269" s="193"/>
      <c r="H269" s="194"/>
      <c r="I269" s="193"/>
      <c r="K269" s="159"/>
      <c r="L269" s="159"/>
    </row>
    <row r="270" spans="3:12" x14ac:dyDescent="0.25">
      <c r="C270" s="186"/>
      <c r="D270" s="194"/>
      <c r="E270" s="193"/>
      <c r="H270" s="194"/>
      <c r="I270" s="193"/>
      <c r="K270" s="159"/>
      <c r="L270" s="159"/>
    </row>
    <row r="271" spans="3:12" x14ac:dyDescent="0.25">
      <c r="C271" s="186"/>
      <c r="D271" s="194"/>
      <c r="E271" s="193"/>
      <c r="H271" s="194"/>
      <c r="I271" s="193"/>
      <c r="K271" s="159"/>
      <c r="L271" s="159"/>
    </row>
    <row r="272" spans="3:12" x14ac:dyDescent="0.25">
      <c r="C272" s="186"/>
      <c r="D272" s="194"/>
      <c r="E272" s="193"/>
      <c r="H272" s="194"/>
      <c r="I272" s="193"/>
      <c r="K272" s="159"/>
      <c r="L272" s="159"/>
    </row>
    <row r="273" spans="3:12" x14ac:dyDescent="0.25">
      <c r="C273" s="186"/>
      <c r="D273" s="194"/>
      <c r="E273" s="193"/>
      <c r="H273" s="194"/>
      <c r="I273" s="193"/>
      <c r="K273" s="159"/>
      <c r="L273" s="159"/>
    </row>
    <row r="274" spans="3:12" x14ac:dyDescent="0.25">
      <c r="C274" s="186"/>
      <c r="D274" s="194"/>
      <c r="E274" s="193"/>
      <c r="H274" s="194"/>
      <c r="I274" s="193"/>
      <c r="K274" s="159"/>
      <c r="L274" s="159"/>
    </row>
    <row r="275" spans="3:12" x14ac:dyDescent="0.25">
      <c r="C275" s="186"/>
      <c r="D275" s="194"/>
      <c r="E275" s="193"/>
      <c r="H275" s="194"/>
      <c r="I275" s="193"/>
      <c r="K275" s="159"/>
      <c r="L275" s="159"/>
    </row>
    <row r="276" spans="3:12" x14ac:dyDescent="0.25">
      <c r="C276" s="186"/>
      <c r="D276" s="194"/>
      <c r="E276" s="193"/>
      <c r="H276" s="194"/>
      <c r="I276" s="193"/>
      <c r="K276" s="159"/>
      <c r="L276" s="159"/>
    </row>
    <row r="277" spans="3:12" x14ac:dyDescent="0.25">
      <c r="C277" s="186"/>
      <c r="D277" s="194"/>
      <c r="E277" s="193"/>
      <c r="H277" s="194"/>
      <c r="I277" s="193"/>
      <c r="K277" s="159"/>
      <c r="L277" s="159"/>
    </row>
    <row r="278" spans="3:12" x14ac:dyDescent="0.25">
      <c r="C278" s="186"/>
      <c r="D278" s="194"/>
      <c r="E278" s="193"/>
      <c r="H278" s="194"/>
      <c r="I278" s="193"/>
      <c r="K278" s="159"/>
      <c r="L278" s="159"/>
    </row>
    <row r="279" spans="3:12" x14ac:dyDescent="0.25">
      <c r="C279" s="186"/>
      <c r="D279" s="194"/>
      <c r="E279" s="193"/>
      <c r="H279" s="194"/>
      <c r="I279" s="193"/>
      <c r="K279" s="159"/>
      <c r="L279" s="159"/>
    </row>
    <row r="280" spans="3:12" x14ac:dyDescent="0.25">
      <c r="C280" s="186"/>
      <c r="D280" s="194"/>
      <c r="E280" s="193"/>
      <c r="H280" s="194"/>
      <c r="I280" s="193"/>
      <c r="K280" s="159"/>
      <c r="L280" s="159"/>
    </row>
    <row r="281" spans="3:12" x14ac:dyDescent="0.25">
      <c r="C281" s="186"/>
      <c r="D281" s="194"/>
      <c r="E281" s="193"/>
      <c r="H281" s="194"/>
      <c r="I281" s="193"/>
      <c r="K281" s="159"/>
      <c r="L281" s="159"/>
    </row>
    <row r="282" spans="3:12" x14ac:dyDescent="0.25">
      <c r="C282" s="186"/>
      <c r="D282" s="194"/>
      <c r="E282" s="193"/>
      <c r="H282" s="194"/>
      <c r="I282" s="193"/>
      <c r="K282" s="159"/>
      <c r="L282" s="159"/>
    </row>
    <row r="283" spans="3:12" x14ac:dyDescent="0.25">
      <c r="C283" s="186"/>
      <c r="D283" s="194"/>
      <c r="E283" s="193"/>
      <c r="H283" s="194"/>
      <c r="I283" s="193"/>
      <c r="K283" s="159"/>
      <c r="L283" s="159"/>
    </row>
    <row r="284" spans="3:12" x14ac:dyDescent="0.25">
      <c r="C284" s="186"/>
      <c r="D284" s="194"/>
      <c r="E284" s="193"/>
      <c r="H284" s="194"/>
      <c r="I284" s="193"/>
      <c r="K284" s="159"/>
      <c r="L284" s="159"/>
    </row>
    <row r="285" spans="3:12" x14ac:dyDescent="0.25">
      <c r="C285" s="186"/>
      <c r="D285" s="194"/>
      <c r="E285" s="193"/>
      <c r="H285" s="194"/>
      <c r="I285" s="193"/>
      <c r="K285" s="159"/>
      <c r="L285" s="159"/>
    </row>
    <row r="286" spans="3:12" x14ac:dyDescent="0.25">
      <c r="C286" s="186"/>
      <c r="D286" s="194"/>
      <c r="E286" s="193"/>
      <c r="H286" s="194"/>
      <c r="I286" s="193"/>
      <c r="K286" s="159"/>
      <c r="L286" s="159"/>
    </row>
    <row r="287" spans="3:12" x14ac:dyDescent="0.25">
      <c r="C287" s="186"/>
      <c r="D287" s="194"/>
      <c r="E287" s="193"/>
      <c r="H287" s="194"/>
      <c r="I287" s="193"/>
      <c r="K287" s="159"/>
      <c r="L287" s="159"/>
    </row>
    <row r="288" spans="3:12" x14ac:dyDescent="0.25">
      <c r="C288" s="186"/>
      <c r="D288" s="194"/>
      <c r="E288" s="193"/>
      <c r="H288" s="194"/>
      <c r="I288" s="193"/>
      <c r="K288" s="159"/>
      <c r="L288" s="159"/>
    </row>
    <row r="289" spans="3:13" x14ac:dyDescent="0.25">
      <c r="C289" s="186"/>
      <c r="D289" s="194"/>
      <c r="E289" s="193"/>
      <c r="H289" s="194"/>
      <c r="I289" s="193"/>
      <c r="K289" s="159"/>
      <c r="L289" s="159"/>
    </row>
    <row r="290" spans="3:13" x14ac:dyDescent="0.25">
      <c r="C290" s="186"/>
      <c r="D290" s="194"/>
      <c r="E290" s="193"/>
      <c r="H290" s="194"/>
      <c r="I290" s="193"/>
      <c r="K290" s="159"/>
      <c r="L290" s="159"/>
    </row>
    <row r="291" spans="3:13" x14ac:dyDescent="0.25">
      <c r="C291" s="186"/>
      <c r="D291" s="194"/>
      <c r="E291" s="193"/>
      <c r="H291" s="194"/>
      <c r="I291" s="193"/>
      <c r="K291" s="159"/>
      <c r="L291" s="159"/>
    </row>
    <row r="292" spans="3:13" x14ac:dyDescent="0.25">
      <c r="C292" s="186"/>
      <c r="D292" s="194"/>
      <c r="E292" s="193"/>
      <c r="H292" s="194"/>
      <c r="I292" s="193"/>
      <c r="K292" s="159"/>
      <c r="L292" s="159"/>
    </row>
    <row r="293" spans="3:13" x14ac:dyDescent="0.25">
      <c r="C293" s="186"/>
      <c r="D293" s="194"/>
      <c r="E293" s="193"/>
      <c r="H293" s="194"/>
      <c r="I293" s="193"/>
      <c r="K293" s="159"/>
      <c r="L293" s="159"/>
    </row>
    <row r="294" spans="3:13" x14ac:dyDescent="0.25">
      <c r="C294" s="186"/>
      <c r="D294" s="194"/>
      <c r="E294" s="193"/>
      <c r="H294" s="194"/>
      <c r="I294" s="193"/>
      <c r="K294" s="159"/>
      <c r="L294" s="159"/>
    </row>
    <row r="295" spans="3:13" x14ac:dyDescent="0.25">
      <c r="C295" s="186"/>
      <c r="D295" s="194"/>
      <c r="E295" s="193"/>
      <c r="H295" s="194"/>
      <c r="I295" s="193"/>
      <c r="K295" s="159"/>
      <c r="L295" s="159"/>
    </row>
    <row r="296" spans="3:13" x14ac:dyDescent="0.25">
      <c r="C296" s="186"/>
      <c r="D296" s="194"/>
      <c r="E296" s="193"/>
      <c r="H296" s="194"/>
      <c r="I296" s="193"/>
      <c r="K296" s="159"/>
      <c r="L296" s="159"/>
    </row>
    <row r="297" spans="3:13" x14ac:dyDescent="0.25">
      <c r="C297" s="186"/>
      <c r="D297" s="194"/>
      <c r="E297" s="193"/>
      <c r="H297" s="194"/>
      <c r="I297" s="193"/>
      <c r="K297" s="159"/>
      <c r="L297" s="159"/>
    </row>
    <row r="298" spans="3:13" x14ac:dyDescent="0.25">
      <c r="C298" s="186"/>
      <c r="D298" s="194"/>
      <c r="E298" s="193"/>
      <c r="H298" s="194"/>
      <c r="I298" s="193"/>
      <c r="K298" s="159"/>
      <c r="L298" s="159"/>
    </row>
    <row r="299" spans="3:13" x14ac:dyDescent="0.25">
      <c r="C299" s="186"/>
      <c r="D299" s="194"/>
      <c r="E299" s="193"/>
      <c r="H299" s="194"/>
      <c r="I299" s="193"/>
      <c r="K299" s="159"/>
      <c r="L299" s="159"/>
    </row>
    <row r="300" spans="3:13" x14ac:dyDescent="0.25">
      <c r="C300" s="186"/>
      <c r="D300" s="194"/>
      <c r="E300" s="193"/>
      <c r="H300" s="194"/>
      <c r="I300" s="193"/>
      <c r="K300" s="159"/>
      <c r="L300" s="159"/>
    </row>
    <row r="301" spans="3:13" x14ac:dyDescent="0.25">
      <c r="C301" s="186"/>
      <c r="D301" s="194"/>
      <c r="E301" s="193"/>
      <c r="H301" s="194"/>
      <c r="I301" s="193"/>
      <c r="K301" s="159"/>
      <c r="L301" s="159"/>
    </row>
    <row r="302" spans="3:13" x14ac:dyDescent="0.25">
      <c r="C302" s="186"/>
      <c r="D302" s="194"/>
      <c r="E302" s="193"/>
      <c r="H302" s="194"/>
      <c r="I302" s="193"/>
      <c r="K302" s="159"/>
      <c r="L302" s="159"/>
      <c r="M302" s="159"/>
    </row>
    <row r="303" spans="3:13" x14ac:dyDescent="0.25">
      <c r="C303" s="186"/>
      <c r="D303" s="194"/>
      <c r="E303" s="193"/>
      <c r="H303" s="194"/>
      <c r="I303" s="193"/>
      <c r="K303" s="159"/>
      <c r="L303" s="159"/>
      <c r="M303" s="159"/>
    </row>
    <row r="304" spans="3:13" x14ac:dyDescent="0.25">
      <c r="C304" s="186"/>
      <c r="D304" s="194"/>
      <c r="E304" s="193"/>
      <c r="H304" s="194"/>
      <c r="I304" s="193"/>
      <c r="K304" s="159"/>
      <c r="L304" s="159"/>
      <c r="M304" s="159"/>
    </row>
    <row r="305" spans="3:13" x14ac:dyDescent="0.25">
      <c r="C305" s="186"/>
      <c r="D305" s="194"/>
      <c r="E305" s="193"/>
      <c r="H305" s="194"/>
      <c r="I305" s="193"/>
      <c r="K305" s="159"/>
      <c r="L305" s="159"/>
      <c r="M305" s="159"/>
    </row>
    <row r="306" spans="3:13" x14ac:dyDescent="0.25">
      <c r="C306" s="186"/>
      <c r="D306" s="194"/>
      <c r="E306" s="193"/>
      <c r="H306" s="194"/>
      <c r="I306" s="193"/>
      <c r="K306" s="159"/>
      <c r="L306" s="159"/>
      <c r="M306" s="159"/>
    </row>
    <row r="307" spans="3:13" x14ac:dyDescent="0.25">
      <c r="C307" s="186"/>
      <c r="D307" s="194"/>
      <c r="E307" s="193"/>
      <c r="H307" s="194"/>
      <c r="I307" s="193"/>
      <c r="K307" s="159"/>
      <c r="L307" s="159"/>
      <c r="M307" s="159"/>
    </row>
    <row r="308" spans="3:13" x14ac:dyDescent="0.25">
      <c r="C308" s="186"/>
      <c r="D308" s="194"/>
      <c r="E308" s="193"/>
      <c r="H308" s="194"/>
      <c r="I308" s="193"/>
      <c r="K308" s="159"/>
      <c r="L308" s="159"/>
      <c r="M308" s="159"/>
    </row>
    <row r="309" spans="3:13" x14ac:dyDescent="0.25">
      <c r="C309" s="186"/>
      <c r="D309" s="194"/>
      <c r="E309" s="193"/>
      <c r="H309" s="194"/>
      <c r="I309" s="193"/>
      <c r="K309" s="159"/>
      <c r="L309" s="159"/>
      <c r="M309" s="159"/>
    </row>
    <row r="310" spans="3:13" x14ac:dyDescent="0.25">
      <c r="C310" s="186"/>
      <c r="D310" s="194"/>
      <c r="E310" s="193"/>
      <c r="H310" s="194"/>
      <c r="I310" s="193"/>
      <c r="K310" s="159"/>
      <c r="L310" s="159"/>
      <c r="M310" s="159"/>
    </row>
    <row r="311" spans="3:13" x14ac:dyDescent="0.25">
      <c r="C311" s="186"/>
      <c r="D311" s="194"/>
      <c r="E311" s="193"/>
      <c r="H311" s="194"/>
      <c r="I311" s="193"/>
      <c r="K311" s="159"/>
      <c r="L311" s="159"/>
      <c r="M311" s="159"/>
    </row>
    <row r="312" spans="3:13" x14ac:dyDescent="0.25">
      <c r="C312" s="186"/>
      <c r="D312" s="194"/>
      <c r="E312" s="193"/>
      <c r="H312" s="194"/>
      <c r="I312" s="193"/>
      <c r="K312" s="159"/>
      <c r="L312" s="159"/>
      <c r="M312" s="159"/>
    </row>
    <row r="313" spans="3:13" x14ac:dyDescent="0.25">
      <c r="C313" s="186"/>
      <c r="D313" s="194"/>
      <c r="E313" s="193"/>
      <c r="H313" s="194"/>
      <c r="I313" s="193"/>
      <c r="K313" s="159"/>
      <c r="L313" s="159"/>
      <c r="M313" s="159"/>
    </row>
    <row r="314" spans="3:13" x14ac:dyDescent="0.25">
      <c r="C314" s="186"/>
      <c r="D314" s="194"/>
      <c r="E314" s="193"/>
      <c r="H314" s="194"/>
      <c r="I314" s="193"/>
      <c r="K314" s="159"/>
      <c r="L314" s="159"/>
      <c r="M314" s="159"/>
    </row>
    <row r="315" spans="3:13" x14ac:dyDescent="0.25">
      <c r="C315" s="186"/>
      <c r="D315" s="194"/>
      <c r="E315" s="193"/>
      <c r="H315" s="194"/>
      <c r="I315" s="193"/>
      <c r="L315" s="159"/>
      <c r="M315" s="159"/>
    </row>
    <row r="316" spans="3:13" x14ac:dyDescent="0.25">
      <c r="C316" s="186"/>
      <c r="D316" s="194"/>
      <c r="E316" s="193"/>
      <c r="H316" s="194"/>
      <c r="I316" s="193"/>
      <c r="L316" s="159"/>
      <c r="M316" s="159"/>
    </row>
    <row r="317" spans="3:13" x14ac:dyDescent="0.25">
      <c r="C317" s="186"/>
      <c r="D317" s="194"/>
      <c r="E317" s="193"/>
      <c r="H317" s="194"/>
      <c r="I317" s="193"/>
      <c r="L317" s="159"/>
      <c r="M317" s="159"/>
    </row>
    <row r="318" spans="3:13" x14ac:dyDescent="0.25">
      <c r="C318" s="186"/>
      <c r="D318" s="194"/>
      <c r="E318" s="193"/>
      <c r="H318" s="194"/>
      <c r="I318" s="193"/>
      <c r="L318" s="159"/>
      <c r="M318" s="159"/>
    </row>
    <row r="319" spans="3:13" x14ac:dyDescent="0.25">
      <c r="C319" s="186"/>
      <c r="D319" s="194"/>
      <c r="E319" s="193"/>
      <c r="H319" s="194"/>
      <c r="I319" s="193"/>
      <c r="L319" s="159"/>
      <c r="M319" s="159"/>
    </row>
    <row r="320" spans="3:13" x14ac:dyDescent="0.25">
      <c r="C320" s="186"/>
      <c r="D320" s="194"/>
      <c r="E320" s="193"/>
      <c r="H320" s="194"/>
      <c r="I320" s="193"/>
      <c r="L320" s="159"/>
      <c r="M320" s="159"/>
    </row>
    <row r="321" spans="3:13" x14ac:dyDescent="0.25">
      <c r="C321" s="186"/>
      <c r="D321" s="194"/>
      <c r="E321" s="193"/>
      <c r="H321" s="194"/>
      <c r="I321" s="193"/>
      <c r="L321" s="159"/>
      <c r="M321" s="159"/>
    </row>
    <row r="322" spans="3:13" x14ac:dyDescent="0.25">
      <c r="C322" s="186"/>
      <c r="D322" s="194"/>
      <c r="E322" s="193"/>
      <c r="H322" s="194"/>
      <c r="I322" s="193"/>
      <c r="L322" s="159"/>
      <c r="M322" s="159"/>
    </row>
    <row r="323" spans="3:13" x14ac:dyDescent="0.25">
      <c r="C323" s="186"/>
      <c r="D323" s="194"/>
      <c r="E323" s="193"/>
      <c r="H323" s="194"/>
      <c r="I323" s="193"/>
      <c r="L323" s="159"/>
      <c r="M323" s="159"/>
    </row>
    <row r="324" spans="3:13" x14ac:dyDescent="0.25">
      <c r="C324" s="186"/>
      <c r="D324" s="194"/>
      <c r="E324" s="193"/>
      <c r="H324" s="194"/>
      <c r="I324" s="193"/>
      <c r="L324" s="159"/>
      <c r="M324" s="159"/>
    </row>
    <row r="325" spans="3:13" x14ac:dyDescent="0.25">
      <c r="C325" s="186"/>
      <c r="D325" s="194"/>
      <c r="E325" s="193"/>
      <c r="H325" s="194"/>
      <c r="I325" s="193"/>
      <c r="L325" s="159"/>
    </row>
    <row r="326" spans="3:13" x14ac:dyDescent="0.25">
      <c r="C326" s="186"/>
      <c r="D326" s="194"/>
      <c r="E326" s="193"/>
      <c r="H326" s="194"/>
      <c r="I326" s="193"/>
      <c r="L326" s="159"/>
    </row>
    <row r="327" spans="3:13" x14ac:dyDescent="0.25">
      <c r="C327" s="186"/>
      <c r="D327" s="194"/>
      <c r="E327" s="193"/>
      <c r="H327" s="194"/>
      <c r="I327" s="193"/>
      <c r="L327" s="159"/>
    </row>
    <row r="328" spans="3:13" x14ac:dyDescent="0.25">
      <c r="C328" s="186"/>
      <c r="D328" s="194"/>
      <c r="E328" s="193"/>
      <c r="H328" s="194"/>
      <c r="I328" s="193"/>
      <c r="L328" s="159"/>
    </row>
    <row r="329" spans="3:13" x14ac:dyDescent="0.25">
      <c r="C329" s="186"/>
      <c r="D329" s="194"/>
      <c r="E329" s="193"/>
      <c r="H329" s="194"/>
      <c r="I329" s="193"/>
      <c r="L329" s="159"/>
    </row>
    <row r="330" spans="3:13" x14ac:dyDescent="0.25">
      <c r="C330" s="186"/>
      <c r="D330" s="194"/>
      <c r="E330" s="193"/>
      <c r="H330" s="194"/>
      <c r="I330" s="193"/>
      <c r="L330" s="159"/>
    </row>
    <row r="331" spans="3:13" x14ac:dyDescent="0.25">
      <c r="C331" s="186"/>
      <c r="D331" s="194"/>
      <c r="E331" s="193"/>
      <c r="H331" s="194"/>
      <c r="I331" s="193"/>
      <c r="L331" s="159"/>
    </row>
    <row r="332" spans="3:13" x14ac:dyDescent="0.25">
      <c r="C332" s="186"/>
      <c r="D332" s="194"/>
      <c r="E332" s="193"/>
      <c r="H332" s="194"/>
      <c r="I332" s="193"/>
      <c r="L332" s="159"/>
    </row>
    <row r="333" spans="3:13" x14ac:dyDescent="0.25">
      <c r="C333" s="186"/>
      <c r="D333" s="194"/>
      <c r="E333" s="193"/>
      <c r="H333" s="194"/>
      <c r="I333" s="193"/>
      <c r="L333" s="159"/>
    </row>
    <row r="334" spans="3:13" x14ac:dyDescent="0.25">
      <c r="C334" s="186"/>
      <c r="D334" s="194"/>
      <c r="E334" s="193"/>
      <c r="H334" s="194"/>
      <c r="I334" s="193"/>
      <c r="L334" s="159"/>
    </row>
    <row r="335" spans="3:13" x14ac:dyDescent="0.25">
      <c r="C335" s="186"/>
      <c r="D335" s="194"/>
      <c r="E335" s="193"/>
      <c r="H335" s="194"/>
      <c r="I335" s="193"/>
      <c r="L335" s="159"/>
    </row>
    <row r="336" spans="3:13" x14ac:dyDescent="0.25">
      <c r="C336" s="186"/>
      <c r="D336" s="194"/>
      <c r="E336" s="193"/>
      <c r="H336" s="194"/>
      <c r="I336" s="193"/>
      <c r="L336" s="159"/>
    </row>
    <row r="337" spans="3:9" x14ac:dyDescent="0.25">
      <c r="C337" s="186"/>
      <c r="D337" s="194"/>
      <c r="E337" s="193"/>
      <c r="H337" s="194"/>
      <c r="I337" s="193"/>
    </row>
    <row r="338" spans="3:9" x14ac:dyDescent="0.25">
      <c r="C338" s="186"/>
      <c r="D338" s="194"/>
      <c r="E338" s="193"/>
      <c r="H338" s="194"/>
      <c r="I338" s="193"/>
    </row>
    <row r="339" spans="3:9" x14ac:dyDescent="0.25">
      <c r="C339" s="186"/>
      <c r="D339" s="194"/>
      <c r="E339" s="193"/>
      <c r="H339" s="194"/>
      <c r="I339" s="193"/>
    </row>
    <row r="340" spans="3:9" x14ac:dyDescent="0.25">
      <c r="C340" s="186"/>
      <c r="D340" s="194"/>
      <c r="E340" s="193"/>
      <c r="H340" s="194"/>
      <c r="I340" s="193"/>
    </row>
    <row r="341" spans="3:9" x14ac:dyDescent="0.25">
      <c r="C341" s="186"/>
      <c r="D341" s="194"/>
      <c r="E341" s="193"/>
      <c r="H341" s="194"/>
      <c r="I341" s="193"/>
    </row>
    <row r="342" spans="3:9" x14ac:dyDescent="0.25">
      <c r="C342" s="186"/>
      <c r="D342" s="194"/>
      <c r="E342" s="193"/>
      <c r="H342" s="194"/>
      <c r="I342" s="193"/>
    </row>
    <row r="343" spans="3:9" x14ac:dyDescent="0.25">
      <c r="C343" s="186"/>
      <c r="D343" s="194"/>
      <c r="E343" s="193"/>
      <c r="H343" s="194"/>
      <c r="I343" s="193"/>
    </row>
    <row r="344" spans="3:9" x14ac:dyDescent="0.25">
      <c r="C344" s="186"/>
      <c r="D344" s="194"/>
      <c r="E344" s="193"/>
      <c r="H344" s="194"/>
      <c r="I344" s="193"/>
    </row>
    <row r="345" spans="3:9" x14ac:dyDescent="0.25">
      <c r="C345" s="186"/>
      <c r="D345" s="194"/>
      <c r="E345" s="193"/>
      <c r="H345" s="194"/>
      <c r="I345" s="193"/>
    </row>
    <row r="346" spans="3:9" x14ac:dyDescent="0.25">
      <c r="C346" s="186"/>
      <c r="D346" s="194"/>
      <c r="E346" s="193"/>
      <c r="H346" s="194"/>
      <c r="I346" s="193"/>
    </row>
    <row r="347" spans="3:9" x14ac:dyDescent="0.25">
      <c r="C347" s="186"/>
      <c r="D347" s="194"/>
      <c r="E347" s="193"/>
      <c r="H347" s="194"/>
      <c r="I347" s="193"/>
    </row>
    <row r="348" spans="3:9" x14ac:dyDescent="0.25">
      <c r="C348" s="186"/>
      <c r="D348" s="194"/>
      <c r="E348" s="193"/>
      <c r="H348" s="194"/>
      <c r="I348" s="193"/>
    </row>
  </sheetData>
  <mergeCells count="4">
    <mergeCell ref="F126:H126"/>
    <mergeCell ref="F254:H254"/>
    <mergeCell ref="F124:H124"/>
    <mergeCell ref="F22:H2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U33"/>
  <sheetViews>
    <sheetView zoomScaleNormal="100" workbookViewId="0">
      <pane ySplit="2" topLeftCell="A3" activePane="bottomLeft" state="frozen"/>
      <selection pane="bottomLeft" activeCell="V25" sqref="V25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375" bestFit="1" customWidth="1"/>
    <col min="5" max="5" width="3.625" customWidth="1"/>
    <col min="6" max="7" width="4" bestFit="1" customWidth="1"/>
    <col min="8" max="18" width="3.625" customWidth="1"/>
    <col min="19" max="19" width="6.375" customWidth="1"/>
    <col min="20" max="20" width="6.625" bestFit="1" customWidth="1"/>
    <col min="21" max="21" width="20.125" bestFit="1" customWidth="1"/>
    <col min="22" max="22" width="28.375" bestFit="1" customWidth="1"/>
    <col min="23" max="23" width="18.75" bestFit="1" customWidth="1"/>
    <col min="24" max="24" width="20.25" bestFit="1" customWidth="1"/>
    <col min="25" max="25" width="22.125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261" t="s">
        <v>399</v>
      </c>
      <c r="B1" s="1262"/>
      <c r="C1" s="1262"/>
      <c r="D1" s="100"/>
      <c r="E1" s="1263" t="s">
        <v>24</v>
      </c>
      <c r="F1" s="1264"/>
      <c r="G1" s="1265"/>
      <c r="H1" s="1263" t="s">
        <v>23</v>
      </c>
      <c r="I1" s="1265"/>
      <c r="J1" s="1258" t="s">
        <v>6</v>
      </c>
      <c r="K1" s="1260"/>
      <c r="L1" s="1260"/>
      <c r="M1" s="1259"/>
      <c r="N1" s="1258" t="s">
        <v>7</v>
      </c>
      <c r="O1" s="1259"/>
      <c r="P1" s="1258" t="s">
        <v>25</v>
      </c>
      <c r="Q1" s="1260"/>
      <c r="R1" s="1259"/>
      <c r="S1" s="234" t="s">
        <v>8</v>
      </c>
      <c r="T1" s="234" t="s">
        <v>9</v>
      </c>
      <c r="U1" s="55" t="s">
        <v>10</v>
      </c>
      <c r="V1" s="54" t="s">
        <v>11</v>
      </c>
      <c r="W1" s="55" t="s">
        <v>211</v>
      </c>
      <c r="X1" s="56" t="s">
        <v>26</v>
      </c>
      <c r="Y1" s="108" t="s">
        <v>27</v>
      </c>
      <c r="Z1" s="1256" t="s">
        <v>20</v>
      </c>
      <c r="AA1" s="1257"/>
      <c r="AB1" s="1257"/>
      <c r="AC1" s="1257"/>
      <c r="AD1" s="1256" t="s">
        <v>61</v>
      </c>
      <c r="AE1" s="1257"/>
      <c r="AF1" s="1257"/>
      <c r="AG1" s="1257"/>
      <c r="AH1" s="1256" t="s">
        <v>62</v>
      </c>
      <c r="AI1" s="1257"/>
      <c r="AJ1" s="1257"/>
      <c r="AK1" s="1257"/>
      <c r="AL1" s="1256" t="s">
        <v>63</v>
      </c>
      <c r="AM1" s="1257"/>
      <c r="AN1" s="1257"/>
      <c r="AO1" s="1257"/>
      <c r="AQ1" s="223" t="s">
        <v>121</v>
      </c>
      <c r="AR1" s="218"/>
      <c r="AS1" s="218"/>
      <c r="AT1" s="223" t="s">
        <v>121</v>
      </c>
    </row>
    <row r="2" spans="1:47" ht="14.95" customHeight="1" thickBot="1" x14ac:dyDescent="0.3">
      <c r="A2" s="57" t="s">
        <v>19</v>
      </c>
      <c r="B2" s="58" t="s">
        <v>18</v>
      </c>
      <c r="C2" s="59" t="s">
        <v>17</v>
      </c>
      <c r="D2" s="60" t="s">
        <v>41</v>
      </c>
      <c r="E2" s="60" t="s">
        <v>16</v>
      </c>
      <c r="F2" s="60" t="s">
        <v>4</v>
      </c>
      <c r="G2" s="60" t="s">
        <v>5</v>
      </c>
      <c r="H2" s="61" t="s">
        <v>12</v>
      </c>
      <c r="I2" s="61" t="s">
        <v>3</v>
      </c>
      <c r="J2" s="61" t="s">
        <v>12</v>
      </c>
      <c r="K2" s="61" t="s">
        <v>13</v>
      </c>
      <c r="L2" s="61" t="s">
        <v>2</v>
      </c>
      <c r="M2" s="61" t="s">
        <v>14</v>
      </c>
      <c r="N2" s="61" t="s">
        <v>15</v>
      </c>
      <c r="O2" s="61" t="s">
        <v>16</v>
      </c>
      <c r="P2" s="61" t="s">
        <v>21</v>
      </c>
      <c r="Q2" s="61" t="s">
        <v>22</v>
      </c>
      <c r="R2" s="61" t="s">
        <v>12</v>
      </c>
      <c r="S2" s="62"/>
      <c r="T2" s="63"/>
      <c r="U2" s="64"/>
      <c r="V2" s="62"/>
      <c r="W2" s="64"/>
      <c r="X2" s="65"/>
      <c r="Y2" s="66"/>
      <c r="Z2" s="188" t="s">
        <v>0</v>
      </c>
      <c r="AA2" s="188" t="s">
        <v>1</v>
      </c>
      <c r="AB2" s="188" t="s">
        <v>2</v>
      </c>
      <c r="AC2" s="188" t="s">
        <v>3</v>
      </c>
      <c r="AD2" s="188" t="s">
        <v>0</v>
      </c>
      <c r="AE2" s="188" t="s">
        <v>1</v>
      </c>
      <c r="AF2" s="188" t="s">
        <v>2</v>
      </c>
      <c r="AG2" s="188" t="s">
        <v>3</v>
      </c>
      <c r="AH2" s="188" t="s">
        <v>0</v>
      </c>
      <c r="AI2" s="188" t="s">
        <v>1</v>
      </c>
      <c r="AJ2" s="188" t="s">
        <v>2</v>
      </c>
      <c r="AK2" s="188" t="s">
        <v>3</v>
      </c>
      <c r="AL2" s="188" t="s">
        <v>0</v>
      </c>
      <c r="AM2" s="188" t="s">
        <v>1</v>
      </c>
      <c r="AN2" s="188" t="s">
        <v>2</v>
      </c>
      <c r="AO2" s="188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">
      <c r="A3" s="289" t="s">
        <v>229</v>
      </c>
      <c r="B3" s="290" t="s">
        <v>45</v>
      </c>
      <c r="C3" s="290" t="s">
        <v>34</v>
      </c>
      <c r="D3" s="300" t="s">
        <v>142</v>
      </c>
      <c r="E3" s="291" t="s">
        <v>1</v>
      </c>
      <c r="F3" s="291">
        <v>31</v>
      </c>
      <c r="G3" s="291">
        <v>27</v>
      </c>
      <c r="H3" s="692" t="s">
        <v>80</v>
      </c>
      <c r="I3" s="692" t="s">
        <v>80</v>
      </c>
      <c r="J3" s="692">
        <v>4</v>
      </c>
      <c r="K3" s="692">
        <v>4</v>
      </c>
      <c r="L3" s="692">
        <v>0</v>
      </c>
      <c r="M3" s="692">
        <v>1</v>
      </c>
      <c r="N3" s="692">
        <v>0</v>
      </c>
      <c r="O3" s="692">
        <v>0</v>
      </c>
      <c r="P3" s="692" t="s">
        <v>80</v>
      </c>
      <c r="Q3" s="692" t="s">
        <v>80</v>
      </c>
      <c r="R3" s="692">
        <v>3</v>
      </c>
      <c r="S3" s="292">
        <v>28532</v>
      </c>
      <c r="T3" s="406" t="s">
        <v>416</v>
      </c>
      <c r="U3" s="294" t="s">
        <v>169</v>
      </c>
      <c r="V3" s="292" t="s">
        <v>237</v>
      </c>
      <c r="W3" s="292" t="s">
        <v>188</v>
      </c>
      <c r="X3" s="295" t="s">
        <v>189</v>
      </c>
      <c r="Y3" s="296" t="s">
        <v>417</v>
      </c>
      <c r="Z3" s="295">
        <v>1</v>
      </c>
      <c r="AA3" s="295">
        <v>1</v>
      </c>
      <c r="AB3" s="295">
        <v>0</v>
      </c>
      <c r="AC3" s="307">
        <v>0</v>
      </c>
      <c r="AD3" s="295">
        <v>1</v>
      </c>
      <c r="AE3" s="295">
        <v>1</v>
      </c>
      <c r="AF3" s="295">
        <v>0</v>
      </c>
      <c r="AG3" s="307">
        <v>0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Nzl2019alltestshistplayed</f>
        <v>664</v>
      </c>
      <c r="AT3" s="214" t="s">
        <v>101</v>
      </c>
      <c r="AU3" s="215">
        <f>New_ZealandRWChistplayed</f>
        <v>63</v>
      </c>
    </row>
    <row r="4" spans="1:47" ht="14.95" customHeight="1" thickBot="1" x14ac:dyDescent="0.35">
      <c r="A4" s="289" t="s">
        <v>232</v>
      </c>
      <c r="B4" s="290" t="s">
        <v>45</v>
      </c>
      <c r="C4" s="290" t="s">
        <v>34</v>
      </c>
      <c r="D4" s="300" t="s">
        <v>242</v>
      </c>
      <c r="E4" s="291" t="s">
        <v>1</v>
      </c>
      <c r="F4" s="291">
        <v>43</v>
      </c>
      <c r="G4" s="291">
        <v>17</v>
      </c>
      <c r="H4" s="692" t="s">
        <v>80</v>
      </c>
      <c r="I4" s="692" t="s">
        <v>80</v>
      </c>
      <c r="J4" s="692">
        <v>6</v>
      </c>
      <c r="K4" s="692">
        <v>5</v>
      </c>
      <c r="L4" s="692">
        <v>0</v>
      </c>
      <c r="M4" s="692">
        <v>1</v>
      </c>
      <c r="N4" s="692">
        <v>1</v>
      </c>
      <c r="O4" s="692">
        <v>0</v>
      </c>
      <c r="P4" s="692" t="s">
        <v>80</v>
      </c>
      <c r="Q4" s="692" t="s">
        <v>80</v>
      </c>
      <c r="R4" s="692">
        <v>2</v>
      </c>
      <c r="S4" s="292">
        <v>33827</v>
      </c>
      <c r="T4" s="302" t="s">
        <v>448</v>
      </c>
      <c r="U4" s="295" t="s">
        <v>189</v>
      </c>
      <c r="V4" s="292" t="s">
        <v>188</v>
      </c>
      <c r="W4" s="292" t="s">
        <v>237</v>
      </c>
      <c r="X4" s="294" t="s">
        <v>169</v>
      </c>
      <c r="Y4" s="296" t="s">
        <v>417</v>
      </c>
      <c r="Z4" s="295">
        <v>1</v>
      </c>
      <c r="AA4" s="295">
        <v>1</v>
      </c>
      <c r="AB4" s="295">
        <v>0</v>
      </c>
      <c r="AC4" s="307">
        <v>0</v>
      </c>
      <c r="AD4" s="295">
        <v>1</v>
      </c>
      <c r="AE4" s="295">
        <v>1</v>
      </c>
      <c r="AF4" s="295">
        <v>0</v>
      </c>
      <c r="AG4" s="307">
        <v>0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Nzl2019alltestshistwon</f>
        <v>509</v>
      </c>
      <c r="AT4" s="216" t="s">
        <v>102</v>
      </c>
      <c r="AU4" s="217">
        <f>New_ZealandRWChistwon</f>
        <v>54</v>
      </c>
    </row>
    <row r="5" spans="1:47" ht="14.95" customHeight="1" thickBot="1" x14ac:dyDescent="0.3">
      <c r="A5" s="289" t="s">
        <v>239</v>
      </c>
      <c r="B5" s="300" t="s">
        <v>45</v>
      </c>
      <c r="C5" s="290" t="s">
        <v>34</v>
      </c>
      <c r="D5" s="300" t="s">
        <v>289</v>
      </c>
      <c r="E5" s="291" t="s">
        <v>1</v>
      </c>
      <c r="F5" s="291">
        <v>29</v>
      </c>
      <c r="G5" s="301">
        <v>19</v>
      </c>
      <c r="H5" s="714" t="s">
        <v>80</v>
      </c>
      <c r="I5" s="692" t="s">
        <v>80</v>
      </c>
      <c r="J5" s="692">
        <v>4</v>
      </c>
      <c r="K5" s="692">
        <v>3</v>
      </c>
      <c r="L5" s="692">
        <v>0</v>
      </c>
      <c r="M5" s="692">
        <v>1</v>
      </c>
      <c r="N5" s="692">
        <v>0</v>
      </c>
      <c r="O5" s="692">
        <v>0</v>
      </c>
      <c r="P5" s="692" t="s">
        <v>80</v>
      </c>
      <c r="Q5" s="692" t="s">
        <v>80</v>
      </c>
      <c r="R5" s="692">
        <v>1</v>
      </c>
      <c r="S5" s="295">
        <v>24162</v>
      </c>
      <c r="T5" s="577" t="s">
        <v>503</v>
      </c>
      <c r="U5" s="298" t="s">
        <v>162</v>
      </c>
      <c r="V5" s="295" t="s">
        <v>188</v>
      </c>
      <c r="W5" s="295" t="s">
        <v>237</v>
      </c>
      <c r="X5" s="295" t="s">
        <v>241</v>
      </c>
      <c r="Y5" s="299" t="s">
        <v>417</v>
      </c>
      <c r="Z5" s="295">
        <v>1</v>
      </c>
      <c r="AA5" s="295">
        <v>1</v>
      </c>
      <c r="AB5" s="295">
        <v>0</v>
      </c>
      <c r="AC5" s="307">
        <v>0</v>
      </c>
      <c r="AD5" s="295">
        <v>1</v>
      </c>
      <c r="AE5" s="295">
        <v>1</v>
      </c>
      <c r="AF5" s="295">
        <v>0</v>
      </c>
      <c r="AG5" s="307">
        <v>0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Nzl2019alltestshistdrawn</f>
        <v>23</v>
      </c>
      <c r="AT5" s="216" t="s">
        <v>107</v>
      </c>
      <c r="AU5" s="217">
        <f>New_ZealandRWChistdrawn</f>
        <v>0</v>
      </c>
    </row>
    <row r="6" spans="1:47" ht="14.95" customHeight="1" thickBot="1" x14ac:dyDescent="0.35">
      <c r="A6" s="268" t="s">
        <v>537</v>
      </c>
      <c r="B6" s="270" t="s">
        <v>199</v>
      </c>
      <c r="C6" s="270" t="s">
        <v>37</v>
      </c>
      <c r="D6" s="269" t="s">
        <v>541</v>
      </c>
      <c r="E6" s="271" t="s">
        <v>1</v>
      </c>
      <c r="F6" s="271">
        <v>41</v>
      </c>
      <c r="G6" s="272">
        <v>24</v>
      </c>
      <c r="H6" s="726">
        <v>1</v>
      </c>
      <c r="I6" s="715">
        <v>0</v>
      </c>
      <c r="J6" s="691">
        <v>6</v>
      </c>
      <c r="K6" s="691">
        <v>4</v>
      </c>
      <c r="L6" s="691">
        <v>0</v>
      </c>
      <c r="M6" s="691">
        <v>1</v>
      </c>
      <c r="N6" s="691">
        <v>2</v>
      </c>
      <c r="O6" s="691">
        <v>0</v>
      </c>
      <c r="P6" s="691">
        <v>0</v>
      </c>
      <c r="Q6" s="691">
        <v>0</v>
      </c>
      <c r="R6" s="691">
        <v>3</v>
      </c>
      <c r="S6" s="273">
        <v>55740</v>
      </c>
      <c r="T6" s="575" t="s">
        <v>339</v>
      </c>
      <c r="U6" s="274" t="s">
        <v>190</v>
      </c>
      <c r="V6" s="273" t="s">
        <v>215</v>
      </c>
      <c r="W6" s="273" t="s">
        <v>237</v>
      </c>
      <c r="X6" s="273" t="s">
        <v>169</v>
      </c>
      <c r="Y6" s="275" t="s">
        <v>216</v>
      </c>
      <c r="Z6" s="273">
        <v>1</v>
      </c>
      <c r="AA6" s="273">
        <v>1</v>
      </c>
      <c r="AB6" s="273">
        <v>0</v>
      </c>
      <c r="AC6" s="287">
        <v>0</v>
      </c>
      <c r="AD6" s="273">
        <v>0</v>
      </c>
      <c r="AE6" s="273">
        <v>0</v>
      </c>
      <c r="AF6" s="273">
        <v>0</v>
      </c>
      <c r="AG6" s="287">
        <v>0</v>
      </c>
      <c r="AH6" s="273">
        <v>1</v>
      </c>
      <c r="AI6" s="273">
        <v>1</v>
      </c>
      <c r="AJ6" s="273">
        <v>0</v>
      </c>
      <c r="AK6" s="287">
        <v>0</v>
      </c>
      <c r="AL6" s="273">
        <v>0</v>
      </c>
      <c r="AM6" s="273">
        <v>0</v>
      </c>
      <c r="AN6" s="273">
        <v>0</v>
      </c>
      <c r="AO6" s="287">
        <v>0</v>
      </c>
      <c r="AQ6" s="216" t="s">
        <v>103</v>
      </c>
      <c r="AR6" s="217">
        <f>Nzl2019alltestshistlost</f>
        <v>132</v>
      </c>
      <c r="AT6" s="216" t="s">
        <v>103</v>
      </c>
      <c r="AU6" s="217">
        <f>New_ZealandRWChistlost</f>
        <v>9</v>
      </c>
    </row>
    <row r="7" spans="1:47" ht="14.95" customHeight="1" thickBot="1" x14ac:dyDescent="0.3">
      <c r="A7" s="268" t="s">
        <v>243</v>
      </c>
      <c r="B7" s="270" t="s">
        <v>199</v>
      </c>
      <c r="C7" s="270" t="s">
        <v>37</v>
      </c>
      <c r="D7" s="269" t="s">
        <v>556</v>
      </c>
      <c r="E7" s="271" t="s">
        <v>3</v>
      </c>
      <c r="F7" s="271">
        <v>23</v>
      </c>
      <c r="G7" s="272">
        <v>29</v>
      </c>
      <c r="H7" s="715">
        <v>0</v>
      </c>
      <c r="I7" s="691">
        <v>1</v>
      </c>
      <c r="J7" s="691">
        <v>3</v>
      </c>
      <c r="K7" s="691">
        <v>1</v>
      </c>
      <c r="L7" s="691">
        <v>0</v>
      </c>
      <c r="M7" s="691">
        <v>2</v>
      </c>
      <c r="N7" s="691">
        <v>3</v>
      </c>
      <c r="O7" s="691">
        <v>0</v>
      </c>
      <c r="P7" s="691">
        <v>0</v>
      </c>
      <c r="Q7" s="691">
        <v>0</v>
      </c>
      <c r="R7" s="691">
        <v>2</v>
      </c>
      <c r="S7" s="273">
        <v>48000</v>
      </c>
      <c r="T7" s="624" t="s">
        <v>557</v>
      </c>
      <c r="U7" s="273" t="s">
        <v>169</v>
      </c>
      <c r="V7" s="273" t="s">
        <v>215</v>
      </c>
      <c r="W7" s="274" t="s">
        <v>237</v>
      </c>
      <c r="X7" s="274" t="s">
        <v>190</v>
      </c>
      <c r="Y7" s="275" t="s">
        <v>216</v>
      </c>
      <c r="Z7" s="273">
        <v>1</v>
      </c>
      <c r="AA7" s="273">
        <v>0</v>
      </c>
      <c r="AB7" s="273">
        <v>0</v>
      </c>
      <c r="AC7" s="287">
        <v>1</v>
      </c>
      <c r="AD7" s="273">
        <v>0</v>
      </c>
      <c r="AE7" s="273">
        <v>0</v>
      </c>
      <c r="AF7" s="273">
        <v>0</v>
      </c>
      <c r="AG7" s="287">
        <v>0</v>
      </c>
      <c r="AH7" s="273">
        <v>1</v>
      </c>
      <c r="AI7" s="273">
        <v>0</v>
      </c>
      <c r="AJ7" s="273">
        <v>0</v>
      </c>
      <c r="AK7" s="287">
        <v>1</v>
      </c>
      <c r="AL7" s="273">
        <v>0</v>
      </c>
      <c r="AM7" s="273">
        <v>0</v>
      </c>
      <c r="AN7" s="273">
        <v>0</v>
      </c>
      <c r="AO7" s="287">
        <v>0</v>
      </c>
      <c r="AQ7" s="216" t="s">
        <v>108</v>
      </c>
      <c r="AR7" s="217">
        <f>Nzl2019alltestshistptsscored</f>
        <v>19010</v>
      </c>
      <c r="AT7" s="216" t="s">
        <v>108</v>
      </c>
      <c r="AU7" s="217">
        <f>New_ZealandRWChistptsscored</f>
        <v>2888</v>
      </c>
    </row>
    <row r="8" spans="1:47" ht="14.95" customHeight="1" thickBot="1" x14ac:dyDescent="0.35">
      <c r="A8" s="289" t="s">
        <v>253</v>
      </c>
      <c r="B8" s="300" t="s">
        <v>199</v>
      </c>
      <c r="C8" s="290" t="s">
        <v>138</v>
      </c>
      <c r="D8" s="300" t="s">
        <v>495</v>
      </c>
      <c r="E8" s="291" t="s">
        <v>1</v>
      </c>
      <c r="F8" s="291">
        <v>24</v>
      </c>
      <c r="G8" s="301">
        <v>17</v>
      </c>
      <c r="H8" s="714">
        <v>0</v>
      </c>
      <c r="I8" s="692">
        <v>0</v>
      </c>
      <c r="J8" s="692">
        <v>3</v>
      </c>
      <c r="K8" s="692">
        <v>3</v>
      </c>
      <c r="L8" s="692">
        <v>0</v>
      </c>
      <c r="M8" s="692">
        <v>1</v>
      </c>
      <c r="N8" s="692">
        <v>0</v>
      </c>
      <c r="O8" s="692">
        <v>0</v>
      </c>
      <c r="P8" s="692">
        <v>0</v>
      </c>
      <c r="Q8" s="692">
        <v>1</v>
      </c>
      <c r="R8" s="692">
        <v>2</v>
      </c>
      <c r="S8" s="295">
        <v>48312</v>
      </c>
      <c r="T8" s="310" t="s">
        <v>433</v>
      </c>
      <c r="U8" s="295" t="s">
        <v>161</v>
      </c>
      <c r="V8" s="295" t="s">
        <v>188</v>
      </c>
      <c r="W8" s="295" t="s">
        <v>181</v>
      </c>
      <c r="X8" s="295" t="s">
        <v>184</v>
      </c>
      <c r="Y8" s="299" t="s">
        <v>170</v>
      </c>
      <c r="Z8" s="295">
        <v>1</v>
      </c>
      <c r="AA8" s="295">
        <v>1</v>
      </c>
      <c r="AB8" s="295">
        <v>0</v>
      </c>
      <c r="AC8" s="307">
        <v>0</v>
      </c>
      <c r="AD8" s="295">
        <v>1</v>
      </c>
      <c r="AE8" s="295">
        <v>1</v>
      </c>
      <c r="AF8" s="295">
        <v>0</v>
      </c>
      <c r="AG8" s="307">
        <v>0</v>
      </c>
      <c r="AH8" s="295">
        <v>0</v>
      </c>
      <c r="AI8" s="295">
        <v>0</v>
      </c>
      <c r="AJ8" s="295">
        <v>0</v>
      </c>
      <c r="AK8" s="307">
        <v>0</v>
      </c>
      <c r="AL8" s="295">
        <v>0</v>
      </c>
      <c r="AM8" s="295">
        <v>0</v>
      </c>
      <c r="AN8" s="295">
        <v>0</v>
      </c>
      <c r="AO8" s="307">
        <v>0</v>
      </c>
      <c r="AQ8" s="216" t="s">
        <v>109</v>
      </c>
      <c r="AR8" s="217">
        <f>Nzl2019alltestshistptscon</f>
        <v>9277</v>
      </c>
      <c r="AT8" s="216" t="s">
        <v>109</v>
      </c>
      <c r="AU8" s="217">
        <f>New_ZealandRWChistptsconcorrect</f>
        <v>842</v>
      </c>
    </row>
    <row r="9" spans="1:47" ht="14.95" customHeight="1" thickBot="1" x14ac:dyDescent="0.35">
      <c r="A9" s="304" t="s">
        <v>634</v>
      </c>
      <c r="B9" s="576" t="s">
        <v>199</v>
      </c>
      <c r="C9" s="305" t="s">
        <v>138</v>
      </c>
      <c r="D9" s="576" t="s">
        <v>242</v>
      </c>
      <c r="E9" s="291" t="s">
        <v>3</v>
      </c>
      <c r="F9" s="291">
        <v>10</v>
      </c>
      <c r="G9" s="301">
        <v>43</v>
      </c>
      <c r="H9" s="714">
        <v>0</v>
      </c>
      <c r="I9" s="692">
        <v>0</v>
      </c>
      <c r="J9" s="692">
        <v>1</v>
      </c>
      <c r="K9" s="692">
        <v>1</v>
      </c>
      <c r="L9" s="692">
        <v>0</v>
      </c>
      <c r="M9" s="692">
        <v>1</v>
      </c>
      <c r="N9" s="692">
        <v>0</v>
      </c>
      <c r="O9" s="692">
        <v>0</v>
      </c>
      <c r="P9" s="692">
        <v>1</v>
      </c>
      <c r="Q9" s="692">
        <v>0</v>
      </c>
      <c r="R9" s="692">
        <v>6</v>
      </c>
      <c r="S9" s="295">
        <v>34068</v>
      </c>
      <c r="T9" s="473" t="s">
        <v>350</v>
      </c>
      <c r="U9" s="295" t="s">
        <v>184</v>
      </c>
      <c r="V9" s="295" t="s">
        <v>181</v>
      </c>
      <c r="W9" s="295" t="s">
        <v>188</v>
      </c>
      <c r="X9" s="298" t="s">
        <v>162</v>
      </c>
      <c r="Y9" s="295" t="s">
        <v>170</v>
      </c>
      <c r="Z9" s="307">
        <v>1</v>
      </c>
      <c r="AA9" s="307">
        <v>0</v>
      </c>
      <c r="AB9" s="307">
        <v>0</v>
      </c>
      <c r="AC9" s="307">
        <v>1</v>
      </c>
      <c r="AD9" s="307">
        <v>1</v>
      </c>
      <c r="AE9" s="307">
        <v>0</v>
      </c>
      <c r="AF9" s="307">
        <v>0</v>
      </c>
      <c r="AG9" s="307">
        <v>1</v>
      </c>
      <c r="AH9" s="307">
        <v>0</v>
      </c>
      <c r="AI9" s="307">
        <v>0</v>
      </c>
      <c r="AJ9" s="307">
        <v>0</v>
      </c>
      <c r="AK9" s="307">
        <v>0</v>
      </c>
      <c r="AL9" s="307">
        <v>0</v>
      </c>
      <c r="AM9" s="307">
        <v>0</v>
      </c>
      <c r="AN9" s="307">
        <v>0</v>
      </c>
      <c r="AO9" s="307">
        <v>0</v>
      </c>
      <c r="AQ9" s="216" t="s">
        <v>100</v>
      </c>
      <c r="AR9" s="217">
        <f>Nzl2019alltestshisttriesscored</f>
        <v>2502</v>
      </c>
      <c r="AT9" s="216" t="s">
        <v>100</v>
      </c>
      <c r="AU9" s="217">
        <f>New_ZealandRWChisttriesscored</f>
        <v>396</v>
      </c>
    </row>
    <row r="10" spans="1:47" ht="14.95" customHeight="1" thickBot="1" x14ac:dyDescent="0.35">
      <c r="A10" s="304" t="s">
        <v>683</v>
      </c>
      <c r="B10" s="576" t="s">
        <v>199</v>
      </c>
      <c r="C10" s="508" t="s">
        <v>29</v>
      </c>
      <c r="D10" s="576" t="s">
        <v>495</v>
      </c>
      <c r="E10" s="291" t="s">
        <v>1</v>
      </c>
      <c r="F10" s="291">
        <v>33</v>
      </c>
      <c r="G10" s="301">
        <v>24</v>
      </c>
      <c r="H10" s="714">
        <v>0</v>
      </c>
      <c r="I10" s="692">
        <v>0</v>
      </c>
      <c r="J10" s="692">
        <v>4</v>
      </c>
      <c r="K10" s="692">
        <v>2</v>
      </c>
      <c r="L10" s="692">
        <v>0</v>
      </c>
      <c r="M10" s="692">
        <v>3</v>
      </c>
      <c r="N10" s="692">
        <v>0</v>
      </c>
      <c r="O10" s="692">
        <v>0</v>
      </c>
      <c r="P10" s="692">
        <v>0</v>
      </c>
      <c r="Q10" s="692">
        <v>0</v>
      </c>
      <c r="R10" s="692">
        <v>3</v>
      </c>
      <c r="S10" s="295">
        <v>46437</v>
      </c>
      <c r="T10" s="310" t="s">
        <v>694</v>
      </c>
      <c r="U10" s="295" t="s">
        <v>187</v>
      </c>
      <c r="V10" s="295" t="s">
        <v>185</v>
      </c>
      <c r="W10" s="295" t="s">
        <v>228</v>
      </c>
      <c r="X10" s="295" t="s">
        <v>167</v>
      </c>
      <c r="Y10" s="295" t="s">
        <v>216</v>
      </c>
      <c r="Z10" s="307">
        <v>1</v>
      </c>
      <c r="AA10" s="307">
        <v>1</v>
      </c>
      <c r="AB10" s="307">
        <v>0</v>
      </c>
      <c r="AC10" s="307">
        <v>0</v>
      </c>
      <c r="AD10" s="307">
        <v>1</v>
      </c>
      <c r="AE10" s="307">
        <v>1</v>
      </c>
      <c r="AF10" s="307">
        <v>0</v>
      </c>
      <c r="AG10" s="307">
        <v>0</v>
      </c>
      <c r="AH10" s="307">
        <v>0</v>
      </c>
      <c r="AI10" s="307">
        <v>0</v>
      </c>
      <c r="AJ10" s="307">
        <v>0</v>
      </c>
      <c r="AK10" s="307">
        <v>0</v>
      </c>
      <c r="AL10" s="307">
        <v>0</v>
      </c>
      <c r="AM10" s="307">
        <v>0</v>
      </c>
      <c r="AN10" s="307">
        <v>0</v>
      </c>
      <c r="AO10" s="307">
        <v>0</v>
      </c>
    </row>
    <row r="11" spans="1:47" ht="14.95" customHeight="1" thickBot="1" x14ac:dyDescent="0.3">
      <c r="A11" s="284" t="s">
        <v>702</v>
      </c>
      <c r="B11" s="495" t="s">
        <v>199</v>
      </c>
      <c r="C11" s="283" t="s">
        <v>29</v>
      </c>
      <c r="D11" s="495" t="s">
        <v>703</v>
      </c>
      <c r="E11" s="271" t="s">
        <v>1</v>
      </c>
      <c r="F11" s="271">
        <v>28</v>
      </c>
      <c r="G11" s="272">
        <v>14</v>
      </c>
      <c r="H11" s="715">
        <v>1</v>
      </c>
      <c r="I11" s="691">
        <v>0</v>
      </c>
      <c r="J11" s="691">
        <v>4</v>
      </c>
      <c r="K11" s="691">
        <v>1</v>
      </c>
      <c r="L11" s="691">
        <v>0</v>
      </c>
      <c r="M11" s="691">
        <v>2</v>
      </c>
      <c r="N11" s="691">
        <v>0</v>
      </c>
      <c r="O11" s="691">
        <v>0</v>
      </c>
      <c r="P11" s="691">
        <v>0</v>
      </c>
      <c r="Q11" s="691">
        <v>0</v>
      </c>
      <c r="R11" s="691">
        <v>1</v>
      </c>
      <c r="S11" s="274">
        <v>60113</v>
      </c>
      <c r="T11" s="286" t="s">
        <v>705</v>
      </c>
      <c r="U11" s="273" t="s">
        <v>167</v>
      </c>
      <c r="V11" s="273" t="s">
        <v>228</v>
      </c>
      <c r="W11" s="273" t="s">
        <v>185</v>
      </c>
      <c r="X11" s="273" t="s">
        <v>161</v>
      </c>
      <c r="Y11" s="273" t="s">
        <v>216</v>
      </c>
      <c r="Z11" s="287">
        <v>1</v>
      </c>
      <c r="AA11" s="287">
        <v>1</v>
      </c>
      <c r="AB11" s="287">
        <v>0</v>
      </c>
      <c r="AC11" s="287">
        <v>0</v>
      </c>
      <c r="AD11" s="287">
        <v>0</v>
      </c>
      <c r="AE11" s="287">
        <v>0</v>
      </c>
      <c r="AF11" s="287">
        <v>0</v>
      </c>
      <c r="AG11" s="287">
        <v>0</v>
      </c>
      <c r="AH11" s="287">
        <v>1</v>
      </c>
      <c r="AI11" s="287">
        <v>1</v>
      </c>
      <c r="AJ11" s="287">
        <v>0</v>
      </c>
      <c r="AK11" s="287">
        <v>0</v>
      </c>
      <c r="AL11" s="287">
        <v>0</v>
      </c>
      <c r="AM11" s="287">
        <v>0</v>
      </c>
      <c r="AN11" s="287">
        <v>0</v>
      </c>
      <c r="AO11" s="287">
        <v>0</v>
      </c>
    </row>
    <row r="12" spans="1:47" ht="14.8" customHeight="1" thickBot="1" x14ac:dyDescent="0.3">
      <c r="A12" s="340" t="s">
        <v>330</v>
      </c>
      <c r="B12" s="341" t="s">
        <v>605</v>
      </c>
      <c r="C12" s="341" t="s">
        <v>39</v>
      </c>
      <c r="D12" s="373" t="s">
        <v>230</v>
      </c>
      <c r="E12" s="314" t="s">
        <v>1</v>
      </c>
      <c r="F12" s="314">
        <v>26</v>
      </c>
      <c r="G12" s="813">
        <v>13</v>
      </c>
      <c r="H12" s="814" t="s">
        <v>80</v>
      </c>
      <c r="I12" s="699" t="s">
        <v>80</v>
      </c>
      <c r="J12" s="699">
        <v>4</v>
      </c>
      <c r="K12" s="699">
        <v>3</v>
      </c>
      <c r="L12" s="699">
        <v>0</v>
      </c>
      <c r="M12" s="699">
        <v>0</v>
      </c>
      <c r="N12" s="699">
        <v>0</v>
      </c>
      <c r="O12" s="699">
        <v>0</v>
      </c>
      <c r="P12" s="699" t="s">
        <v>80</v>
      </c>
      <c r="Q12" s="699" t="s">
        <v>80</v>
      </c>
      <c r="R12" s="699">
        <v>1</v>
      </c>
      <c r="S12" s="317">
        <v>61841</v>
      </c>
      <c r="T12" s="854" t="s">
        <v>276</v>
      </c>
      <c r="U12" s="317" t="s">
        <v>190</v>
      </c>
      <c r="V12" s="317" t="s">
        <v>196</v>
      </c>
      <c r="W12" s="317" t="s">
        <v>774</v>
      </c>
      <c r="X12" s="317" t="s">
        <v>161</v>
      </c>
      <c r="Y12" s="317" t="s">
        <v>194</v>
      </c>
      <c r="Z12" s="725">
        <v>1</v>
      </c>
      <c r="AA12" s="725">
        <v>1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1</v>
      </c>
      <c r="AM12" s="725">
        <v>1</v>
      </c>
      <c r="AN12" s="725">
        <v>0</v>
      </c>
      <c r="AO12" s="725">
        <v>0</v>
      </c>
    </row>
    <row r="13" spans="1:47" ht="14.95" customHeight="1" thickBot="1" x14ac:dyDescent="0.35">
      <c r="A13" s="284" t="s">
        <v>263</v>
      </c>
      <c r="B13" s="283" t="s">
        <v>605</v>
      </c>
      <c r="C13" s="283" t="s">
        <v>35</v>
      </c>
      <c r="D13" s="495" t="s">
        <v>89</v>
      </c>
      <c r="E13" s="271" t="s">
        <v>1</v>
      </c>
      <c r="F13" s="271">
        <v>25</v>
      </c>
      <c r="G13" s="272">
        <v>17</v>
      </c>
      <c r="H13" s="715" t="s">
        <v>80</v>
      </c>
      <c r="I13" s="691" t="s">
        <v>80</v>
      </c>
      <c r="J13" s="691">
        <v>3</v>
      </c>
      <c r="K13" s="691">
        <v>2</v>
      </c>
      <c r="L13" s="691">
        <v>0</v>
      </c>
      <c r="M13" s="691">
        <v>2</v>
      </c>
      <c r="N13" s="691">
        <v>3</v>
      </c>
      <c r="O13" s="691">
        <v>0</v>
      </c>
      <c r="P13" s="691" t="s">
        <v>80</v>
      </c>
      <c r="Q13" s="691" t="s">
        <v>80</v>
      </c>
      <c r="R13" s="691">
        <v>2</v>
      </c>
      <c r="S13" s="273">
        <v>67144</v>
      </c>
      <c r="T13" s="316" t="s">
        <v>768</v>
      </c>
      <c r="U13" s="273" t="s">
        <v>169</v>
      </c>
      <c r="V13" s="273" t="s">
        <v>215</v>
      </c>
      <c r="W13" s="273" t="s">
        <v>185</v>
      </c>
      <c r="X13" s="273" t="s">
        <v>190</v>
      </c>
      <c r="Y13" s="275" t="s">
        <v>216</v>
      </c>
      <c r="Z13" s="273">
        <v>1</v>
      </c>
      <c r="AA13" s="287">
        <v>1</v>
      </c>
      <c r="AB13" s="287">
        <v>0</v>
      </c>
      <c r="AC13" s="287">
        <v>0</v>
      </c>
      <c r="AD13" s="287">
        <v>0</v>
      </c>
      <c r="AE13" s="287">
        <v>0</v>
      </c>
      <c r="AF13" s="287">
        <v>0</v>
      </c>
      <c r="AG13" s="287">
        <v>0</v>
      </c>
      <c r="AH13" s="287">
        <v>1</v>
      </c>
      <c r="AI13" s="287">
        <v>1</v>
      </c>
      <c r="AJ13" s="287">
        <v>0</v>
      </c>
      <c r="AK13" s="287">
        <v>0</v>
      </c>
      <c r="AL13" s="287">
        <v>0</v>
      </c>
      <c r="AM13" s="287">
        <v>0</v>
      </c>
      <c r="AN13" s="287">
        <v>0</v>
      </c>
      <c r="AO13" s="287">
        <v>0</v>
      </c>
    </row>
    <row r="14" spans="1:47" ht="14.95" customHeight="1" thickBot="1" x14ac:dyDescent="0.35">
      <c r="A14" s="284" t="s">
        <v>264</v>
      </c>
      <c r="B14" s="283" t="s">
        <v>516</v>
      </c>
      <c r="C14" s="283" t="s">
        <v>30</v>
      </c>
      <c r="D14" s="495" t="s">
        <v>88</v>
      </c>
      <c r="E14" s="271" t="s">
        <v>3</v>
      </c>
      <c r="F14" s="271">
        <v>19</v>
      </c>
      <c r="G14" s="272">
        <v>33</v>
      </c>
      <c r="H14" s="715" t="s">
        <v>80</v>
      </c>
      <c r="I14" s="691" t="s">
        <v>80</v>
      </c>
      <c r="J14" s="691">
        <v>3</v>
      </c>
      <c r="K14" s="691">
        <v>2</v>
      </c>
      <c r="L14" s="691">
        <v>0</v>
      </c>
      <c r="M14" s="691">
        <v>0</v>
      </c>
      <c r="N14" s="691">
        <v>1</v>
      </c>
      <c r="O14" s="691">
        <v>0</v>
      </c>
      <c r="P14" s="691" t="s">
        <v>80</v>
      </c>
      <c r="Q14" s="691" t="s">
        <v>80</v>
      </c>
      <c r="R14" s="691">
        <v>4</v>
      </c>
      <c r="S14" s="273">
        <v>81953</v>
      </c>
      <c r="T14" s="575" t="s">
        <v>802</v>
      </c>
      <c r="U14" s="273" t="s">
        <v>187</v>
      </c>
      <c r="V14" s="273" t="s">
        <v>215</v>
      </c>
      <c r="W14" s="273" t="s">
        <v>235</v>
      </c>
      <c r="X14" s="273" t="s">
        <v>194</v>
      </c>
      <c r="Y14" s="275" t="s">
        <v>214</v>
      </c>
      <c r="Z14" s="273">
        <v>1</v>
      </c>
      <c r="AA14" s="287">
        <v>0</v>
      </c>
      <c r="AB14" s="287">
        <v>0</v>
      </c>
      <c r="AC14" s="287">
        <v>1</v>
      </c>
      <c r="AD14" s="287">
        <v>0</v>
      </c>
      <c r="AE14" s="287">
        <v>0</v>
      </c>
      <c r="AF14" s="287">
        <v>0</v>
      </c>
      <c r="AG14" s="287">
        <v>0</v>
      </c>
      <c r="AH14" s="287">
        <v>1</v>
      </c>
      <c r="AI14" s="287">
        <v>0</v>
      </c>
      <c r="AJ14" s="287">
        <v>0</v>
      </c>
      <c r="AK14" s="287">
        <v>1</v>
      </c>
      <c r="AL14" s="287">
        <v>0</v>
      </c>
      <c r="AM14" s="287">
        <v>0</v>
      </c>
      <c r="AN14" s="287">
        <v>0</v>
      </c>
      <c r="AO14" s="287">
        <v>0</v>
      </c>
    </row>
    <row r="15" spans="1:47" ht="14.95" customHeight="1" thickBot="1" x14ac:dyDescent="0.35">
      <c r="A15" s="284" t="s">
        <v>266</v>
      </c>
      <c r="B15" s="283" t="s">
        <v>605</v>
      </c>
      <c r="C15" s="283" t="s">
        <v>32</v>
      </c>
      <c r="D15" s="495" t="s">
        <v>84</v>
      </c>
      <c r="E15" s="271" t="s">
        <v>1</v>
      </c>
      <c r="F15" s="271">
        <v>52</v>
      </c>
      <c r="G15" s="272">
        <v>26</v>
      </c>
      <c r="H15" s="715" t="s">
        <v>80</v>
      </c>
      <c r="I15" s="691" t="s">
        <v>80</v>
      </c>
      <c r="J15" s="691">
        <v>7</v>
      </c>
      <c r="K15" s="691">
        <v>7</v>
      </c>
      <c r="L15" s="691">
        <v>0</v>
      </c>
      <c r="M15" s="691">
        <v>1</v>
      </c>
      <c r="N15" s="691">
        <v>0</v>
      </c>
      <c r="O15" s="691">
        <v>0</v>
      </c>
      <c r="P15" s="691" t="s">
        <v>80</v>
      </c>
      <c r="Q15" s="691" t="s">
        <v>80</v>
      </c>
      <c r="R15" s="691">
        <v>4</v>
      </c>
      <c r="S15" s="273">
        <v>68388</v>
      </c>
      <c r="T15" s="316" t="s">
        <v>833</v>
      </c>
      <c r="U15" s="273" t="s">
        <v>175</v>
      </c>
      <c r="V15" s="273" t="s">
        <v>196</v>
      </c>
      <c r="W15" s="273" t="s">
        <v>251</v>
      </c>
      <c r="X15" s="273" t="s">
        <v>187</v>
      </c>
      <c r="Y15" s="275" t="s">
        <v>214</v>
      </c>
      <c r="Z15" s="273">
        <v>1</v>
      </c>
      <c r="AA15" s="287">
        <v>1</v>
      </c>
      <c r="AB15" s="287">
        <v>0</v>
      </c>
      <c r="AC15" s="287">
        <v>0</v>
      </c>
      <c r="AD15" s="287">
        <v>1</v>
      </c>
      <c r="AE15" s="287">
        <v>1</v>
      </c>
      <c r="AF15" s="287">
        <v>0</v>
      </c>
      <c r="AG15" s="287">
        <v>0</v>
      </c>
      <c r="AH15" s="287">
        <v>0</v>
      </c>
      <c r="AI15" s="287">
        <v>0</v>
      </c>
      <c r="AJ15" s="287">
        <v>0</v>
      </c>
      <c r="AK15" s="287">
        <v>0</v>
      </c>
      <c r="AL15" s="287">
        <v>0</v>
      </c>
      <c r="AM15" s="287">
        <v>0</v>
      </c>
      <c r="AN15" s="287">
        <v>0</v>
      </c>
      <c r="AO15" s="287">
        <v>0</v>
      </c>
    </row>
    <row r="16" spans="1:47" ht="14.95" customHeight="1" thickBot="1" x14ac:dyDescent="0.3">
      <c r="A16" s="179"/>
      <c r="B16" s="180"/>
      <c r="C16" s="1078" t="s">
        <v>144</v>
      </c>
      <c r="D16" s="1079"/>
      <c r="E16" s="1080"/>
      <c r="F16" s="329">
        <f t="shared" ref="F16:R16" si="0">SUM(F6:F11)</f>
        <v>159</v>
      </c>
      <c r="G16" s="329">
        <f t="shared" si="0"/>
        <v>151</v>
      </c>
      <c r="H16" s="329">
        <f t="shared" si="0"/>
        <v>2</v>
      </c>
      <c r="I16" s="329">
        <f t="shared" si="0"/>
        <v>1</v>
      </c>
      <c r="J16" s="329">
        <f t="shared" si="0"/>
        <v>21</v>
      </c>
      <c r="K16" s="329">
        <f t="shared" si="0"/>
        <v>12</v>
      </c>
      <c r="L16" s="329">
        <f t="shared" si="0"/>
        <v>0</v>
      </c>
      <c r="M16" s="329">
        <f t="shared" si="0"/>
        <v>10</v>
      </c>
      <c r="N16" s="329">
        <f t="shared" si="0"/>
        <v>5</v>
      </c>
      <c r="O16" s="329">
        <f t="shared" si="0"/>
        <v>0</v>
      </c>
      <c r="P16" s="329">
        <f t="shared" si="0"/>
        <v>1</v>
      </c>
      <c r="Q16" s="329">
        <f t="shared" si="0"/>
        <v>1</v>
      </c>
      <c r="R16" s="329">
        <f t="shared" si="0"/>
        <v>17</v>
      </c>
      <c r="S16" s="326"/>
      <c r="T16" s="326"/>
      <c r="U16" s="326"/>
      <c r="V16" s="326"/>
      <c r="W16" s="326"/>
      <c r="X16" s="327"/>
      <c r="Y16" s="334" t="s">
        <v>144</v>
      </c>
      <c r="Z16" s="329">
        <f t="shared" ref="Z16:AO16" si="1">SUM(Z6:Z11)</f>
        <v>6</v>
      </c>
      <c r="AA16" s="329">
        <f t="shared" si="1"/>
        <v>4</v>
      </c>
      <c r="AB16" s="329">
        <f t="shared" si="1"/>
        <v>0</v>
      </c>
      <c r="AC16" s="329">
        <f t="shared" si="1"/>
        <v>2</v>
      </c>
      <c r="AD16" s="330">
        <f t="shared" si="1"/>
        <v>3</v>
      </c>
      <c r="AE16" s="330">
        <f t="shared" si="1"/>
        <v>2</v>
      </c>
      <c r="AF16" s="330">
        <f t="shared" si="1"/>
        <v>0</v>
      </c>
      <c r="AG16" s="330">
        <f t="shared" si="1"/>
        <v>1</v>
      </c>
      <c r="AH16" s="331">
        <f t="shared" si="1"/>
        <v>3</v>
      </c>
      <c r="AI16" s="331">
        <f t="shared" si="1"/>
        <v>2</v>
      </c>
      <c r="AJ16" s="331">
        <f t="shared" si="1"/>
        <v>0</v>
      </c>
      <c r="AK16" s="331">
        <f t="shared" si="1"/>
        <v>1</v>
      </c>
      <c r="AL16" s="329">
        <f t="shared" si="1"/>
        <v>0</v>
      </c>
      <c r="AM16" s="329">
        <f t="shared" si="1"/>
        <v>0</v>
      </c>
      <c r="AN16" s="329">
        <f t="shared" si="1"/>
        <v>0</v>
      </c>
      <c r="AO16" s="329">
        <f t="shared" si="1"/>
        <v>0</v>
      </c>
    </row>
    <row r="17" spans="1:41" ht="14.95" customHeight="1" thickBot="1" x14ac:dyDescent="0.3">
      <c r="A17" s="179"/>
      <c r="B17" s="180"/>
      <c r="C17" s="1093" t="s">
        <v>238</v>
      </c>
      <c r="D17" s="1266"/>
      <c r="E17" s="1267"/>
      <c r="F17" s="410">
        <f>SUM(F3:F5)</f>
        <v>103</v>
      </c>
      <c r="G17" s="410">
        <f>SUM(G3:G5)</f>
        <v>63</v>
      </c>
      <c r="H17" s="410" t="s">
        <v>80</v>
      </c>
      <c r="I17" s="410" t="s">
        <v>80</v>
      </c>
      <c r="J17" s="410">
        <f t="shared" ref="J17:O17" si="2">SUM(J3:J5)</f>
        <v>14</v>
      </c>
      <c r="K17" s="410">
        <f t="shared" si="2"/>
        <v>12</v>
      </c>
      <c r="L17" s="410">
        <f t="shared" si="2"/>
        <v>0</v>
      </c>
      <c r="M17" s="410">
        <f t="shared" si="2"/>
        <v>3</v>
      </c>
      <c r="N17" s="410">
        <f t="shared" si="2"/>
        <v>1</v>
      </c>
      <c r="O17" s="410">
        <f t="shared" si="2"/>
        <v>0</v>
      </c>
      <c r="P17" s="410" t="s">
        <v>80</v>
      </c>
      <c r="Q17" s="410" t="s">
        <v>80</v>
      </c>
      <c r="R17" s="410">
        <f>SUM(R3:R5)</f>
        <v>6</v>
      </c>
      <c r="S17" s="411"/>
      <c r="T17" s="411"/>
      <c r="U17" s="411"/>
      <c r="V17" s="411"/>
      <c r="W17" s="411"/>
      <c r="X17" s="412"/>
      <c r="Y17" s="546" t="s">
        <v>238</v>
      </c>
      <c r="Z17" s="414">
        <f t="shared" ref="Z17:AO17" si="3">SUM(Z3:Z5)</f>
        <v>3</v>
      </c>
      <c r="AA17" s="410">
        <f t="shared" si="3"/>
        <v>3</v>
      </c>
      <c r="AB17" s="410">
        <f t="shared" si="3"/>
        <v>0</v>
      </c>
      <c r="AC17" s="410">
        <f t="shared" si="3"/>
        <v>0</v>
      </c>
      <c r="AD17" s="415">
        <f t="shared" si="3"/>
        <v>3</v>
      </c>
      <c r="AE17" s="415">
        <f t="shared" si="3"/>
        <v>3</v>
      </c>
      <c r="AF17" s="415">
        <f t="shared" si="3"/>
        <v>0</v>
      </c>
      <c r="AG17" s="415">
        <f t="shared" si="3"/>
        <v>0</v>
      </c>
      <c r="AH17" s="416">
        <f t="shared" si="3"/>
        <v>0</v>
      </c>
      <c r="AI17" s="416">
        <f t="shared" si="3"/>
        <v>0</v>
      </c>
      <c r="AJ17" s="416">
        <f t="shared" si="3"/>
        <v>0</v>
      </c>
      <c r="AK17" s="416">
        <f t="shared" si="3"/>
        <v>0</v>
      </c>
      <c r="AL17" s="410">
        <f t="shared" si="3"/>
        <v>0</v>
      </c>
      <c r="AM17" s="410">
        <f t="shared" si="3"/>
        <v>0</v>
      </c>
      <c r="AN17" s="410">
        <f t="shared" si="3"/>
        <v>0</v>
      </c>
      <c r="AO17" s="410">
        <f t="shared" si="3"/>
        <v>0</v>
      </c>
    </row>
    <row r="18" spans="1:41" ht="14.95" customHeight="1" thickBot="1" x14ac:dyDescent="0.3">
      <c r="A18" s="179"/>
      <c r="B18" s="180"/>
      <c r="C18" s="1084" t="s">
        <v>231</v>
      </c>
      <c r="D18" s="1085"/>
      <c r="E18" s="1086"/>
      <c r="F18" s="539">
        <f>SUM(F12:F15)</f>
        <v>122</v>
      </c>
      <c r="G18" s="539">
        <f>SUM(G12:G15)</f>
        <v>89</v>
      </c>
      <c r="H18" s="539" t="s">
        <v>80</v>
      </c>
      <c r="I18" s="539" t="s">
        <v>80</v>
      </c>
      <c r="J18" s="539">
        <f t="shared" ref="J18:O18" si="4">SUM(J12:J15)</f>
        <v>17</v>
      </c>
      <c r="K18" s="539">
        <f t="shared" si="4"/>
        <v>14</v>
      </c>
      <c r="L18" s="539">
        <f t="shared" si="4"/>
        <v>0</v>
      </c>
      <c r="M18" s="539">
        <f t="shared" si="4"/>
        <v>3</v>
      </c>
      <c r="N18" s="539">
        <f t="shared" si="4"/>
        <v>4</v>
      </c>
      <c r="O18" s="539">
        <f t="shared" si="4"/>
        <v>0</v>
      </c>
      <c r="P18" s="539" t="s">
        <v>80</v>
      </c>
      <c r="Q18" s="539" t="s">
        <v>80</v>
      </c>
      <c r="R18" s="539">
        <f>SUM(R12:R15)</f>
        <v>11</v>
      </c>
      <c r="S18" s="540"/>
      <c r="T18" s="540"/>
      <c r="U18" s="540"/>
      <c r="V18" s="540"/>
      <c r="W18" s="540"/>
      <c r="X18" s="541"/>
      <c r="Y18" s="542" t="s">
        <v>231</v>
      </c>
      <c r="Z18" s="543">
        <f t="shared" ref="Z18:AO18" si="5">SUM(Z12:Z15)</f>
        <v>4</v>
      </c>
      <c r="AA18" s="539">
        <f t="shared" si="5"/>
        <v>3</v>
      </c>
      <c r="AB18" s="539">
        <f t="shared" si="5"/>
        <v>0</v>
      </c>
      <c r="AC18" s="539">
        <f t="shared" si="5"/>
        <v>1</v>
      </c>
      <c r="AD18" s="544">
        <f t="shared" si="5"/>
        <v>1</v>
      </c>
      <c r="AE18" s="544">
        <f t="shared" si="5"/>
        <v>1</v>
      </c>
      <c r="AF18" s="544">
        <f t="shared" si="5"/>
        <v>0</v>
      </c>
      <c r="AG18" s="544">
        <f t="shared" si="5"/>
        <v>0</v>
      </c>
      <c r="AH18" s="545">
        <f t="shared" si="5"/>
        <v>2</v>
      </c>
      <c r="AI18" s="545">
        <f t="shared" si="5"/>
        <v>1</v>
      </c>
      <c r="AJ18" s="545">
        <f t="shared" si="5"/>
        <v>0</v>
      </c>
      <c r="AK18" s="545">
        <f t="shared" si="5"/>
        <v>1</v>
      </c>
      <c r="AL18" s="539">
        <f t="shared" si="5"/>
        <v>1</v>
      </c>
      <c r="AM18" s="539">
        <f t="shared" si="5"/>
        <v>1</v>
      </c>
      <c r="AN18" s="539">
        <f t="shared" si="5"/>
        <v>0</v>
      </c>
      <c r="AO18" s="539">
        <f t="shared" si="5"/>
        <v>0</v>
      </c>
    </row>
    <row r="19" spans="1:41" ht="14.95" customHeight="1" thickBot="1" x14ac:dyDescent="0.3">
      <c r="A19" s="179"/>
      <c r="B19" s="180"/>
      <c r="C19" s="1087" t="s">
        <v>81</v>
      </c>
      <c r="D19" s="1088"/>
      <c r="E19" s="1089"/>
      <c r="F19" s="231">
        <f t="shared" ref="F19:R19" si="6">SUM(F3:F15)</f>
        <v>384</v>
      </c>
      <c r="G19" s="231">
        <f t="shared" si="6"/>
        <v>303</v>
      </c>
      <c r="H19" s="231">
        <f t="shared" si="6"/>
        <v>2</v>
      </c>
      <c r="I19" s="231">
        <f t="shared" si="6"/>
        <v>1</v>
      </c>
      <c r="J19" s="231">
        <f t="shared" si="6"/>
        <v>52</v>
      </c>
      <c r="K19" s="231">
        <f t="shared" si="6"/>
        <v>38</v>
      </c>
      <c r="L19" s="231">
        <f t="shared" si="6"/>
        <v>0</v>
      </c>
      <c r="M19" s="231">
        <f t="shared" si="6"/>
        <v>16</v>
      </c>
      <c r="N19" s="231">
        <f t="shared" si="6"/>
        <v>10</v>
      </c>
      <c r="O19" s="231">
        <f t="shared" si="6"/>
        <v>0</v>
      </c>
      <c r="P19" s="231">
        <f t="shared" si="6"/>
        <v>1</v>
      </c>
      <c r="Q19" s="231">
        <f t="shared" si="6"/>
        <v>1</v>
      </c>
      <c r="R19" s="231">
        <f t="shared" si="6"/>
        <v>34</v>
      </c>
      <c r="S19" s="228"/>
      <c r="T19" s="228"/>
      <c r="U19" s="228"/>
      <c r="V19" s="228"/>
      <c r="W19" s="228"/>
      <c r="X19" s="13"/>
      <c r="Y19" s="246" t="s">
        <v>81</v>
      </c>
      <c r="Z19" s="231">
        <f t="shared" ref="Z19:AO19" si="7">SUM(Z3:Z15)</f>
        <v>13</v>
      </c>
      <c r="AA19" s="231">
        <f t="shared" si="7"/>
        <v>10</v>
      </c>
      <c r="AB19" s="231">
        <f t="shared" si="7"/>
        <v>0</v>
      </c>
      <c r="AC19" s="231">
        <f t="shared" si="7"/>
        <v>3</v>
      </c>
      <c r="AD19" s="229">
        <f t="shared" si="7"/>
        <v>7</v>
      </c>
      <c r="AE19" s="229">
        <f t="shared" si="7"/>
        <v>6</v>
      </c>
      <c r="AF19" s="229">
        <f t="shared" si="7"/>
        <v>0</v>
      </c>
      <c r="AG19" s="229">
        <f t="shared" si="7"/>
        <v>1</v>
      </c>
      <c r="AH19" s="230">
        <f t="shared" si="7"/>
        <v>5</v>
      </c>
      <c r="AI19" s="230">
        <f t="shared" si="7"/>
        <v>3</v>
      </c>
      <c r="AJ19" s="230">
        <f t="shared" si="7"/>
        <v>0</v>
      </c>
      <c r="AK19" s="230">
        <f t="shared" si="7"/>
        <v>2</v>
      </c>
      <c r="AL19" s="231">
        <f t="shared" si="7"/>
        <v>1</v>
      </c>
      <c r="AM19" s="231">
        <f t="shared" si="7"/>
        <v>1</v>
      </c>
      <c r="AN19" s="231">
        <f t="shared" si="7"/>
        <v>0</v>
      </c>
      <c r="AO19" s="231">
        <f t="shared" si="7"/>
        <v>0</v>
      </c>
    </row>
    <row r="20" spans="1:41" x14ac:dyDescent="0.25">
      <c r="A20" s="1108"/>
      <c r="B20" s="1268"/>
      <c r="C20" s="1268"/>
      <c r="D20" s="1268"/>
      <c r="E20" s="1268"/>
      <c r="F20" s="1268"/>
      <c r="G20" s="1268"/>
      <c r="H20" s="1268"/>
      <c r="I20" s="1268"/>
      <c r="J20" s="1268"/>
      <c r="K20" s="1268"/>
      <c r="L20" s="1268"/>
      <c r="M20" s="1268"/>
      <c r="N20" s="1268"/>
      <c r="O20" s="1268"/>
      <c r="P20" s="1268"/>
      <c r="Q20" s="1268"/>
      <c r="R20" s="1268"/>
      <c r="S20" s="404"/>
      <c r="T20" s="404"/>
      <c r="U20" s="404"/>
      <c r="V20" s="404"/>
      <c r="W20" s="404"/>
      <c r="X20" s="13"/>
      <c r="Y20" s="1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</row>
    <row r="21" spans="1:41" ht="14.95" customHeight="1" x14ac:dyDescent="0.25">
      <c r="A21" s="1108" t="s">
        <v>447</v>
      </c>
      <c r="B21" s="1063"/>
      <c r="C21" s="1063"/>
      <c r="D21" s="1063"/>
      <c r="E21" s="1063"/>
      <c r="F21" s="1063"/>
      <c r="G21" s="1063"/>
      <c r="H21" s="1063"/>
      <c r="I21" s="1063"/>
      <c r="J21" s="1063"/>
      <c r="K21" s="1063"/>
      <c r="L21" s="1063"/>
      <c r="M21" s="1063"/>
      <c r="N21" s="1063"/>
      <c r="O21" s="1063"/>
      <c r="P21" s="1063"/>
      <c r="Q21" s="1063"/>
      <c r="R21" s="1063"/>
    </row>
    <row r="22" spans="1:41" ht="14.95" customHeight="1" x14ac:dyDescent="0.25">
      <c r="A22" s="1108" t="s">
        <v>558</v>
      </c>
      <c r="B22" s="1063"/>
      <c r="C22" s="1063"/>
      <c r="D22" s="1063"/>
      <c r="E22" s="1063"/>
      <c r="F22" s="1063"/>
      <c r="G22" s="1063"/>
      <c r="H22" s="1063"/>
      <c r="I22" s="1063"/>
      <c r="J22" s="1063"/>
      <c r="K22" s="1063"/>
      <c r="L22" s="1063"/>
      <c r="M22" s="1063"/>
      <c r="N22" s="1063"/>
      <c r="O22" s="1063"/>
      <c r="P22" s="1063"/>
      <c r="Q22" s="1063"/>
      <c r="R22" s="1063"/>
    </row>
    <row r="23" spans="1:41" x14ac:dyDescent="0.25">
      <c r="A23" t="s">
        <v>559</v>
      </c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</row>
    <row r="24" spans="1:41" x14ac:dyDescent="0.25">
      <c r="A24" t="s">
        <v>718</v>
      </c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</row>
    <row r="25" spans="1:41" x14ac:dyDescent="0.25">
      <c r="A25" s="1108" t="s">
        <v>287</v>
      </c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</row>
    <row r="26" spans="1:41" x14ac:dyDescent="0.25">
      <c r="A26" s="1108" t="s">
        <v>265</v>
      </c>
      <c r="B26" s="1063"/>
      <c r="C26" s="1063"/>
      <c r="D26" s="1063"/>
      <c r="E26" s="1063"/>
      <c r="F26" s="1063"/>
      <c r="G26" s="1063"/>
      <c r="H26" s="1063"/>
      <c r="I26" s="1063"/>
      <c r="J26" s="1063"/>
      <c r="K26" s="1063"/>
      <c r="L26" s="1063"/>
      <c r="M26" s="1063"/>
      <c r="N26" s="1063"/>
      <c r="O26" s="1063"/>
      <c r="P26" s="1063"/>
      <c r="Q26" s="1063"/>
      <c r="R26" s="1063"/>
      <c r="S26" s="1063"/>
      <c r="T26" s="1063"/>
      <c r="U26" s="1063"/>
      <c r="V26" s="1063"/>
      <c r="W26" s="1063"/>
      <c r="X26" s="1063"/>
      <c r="Y26" s="1063"/>
      <c r="Z26" s="1063"/>
      <c r="AA26" s="1063"/>
      <c r="AB26" s="1063"/>
      <c r="AC26" s="1063"/>
      <c r="AD26" s="1063"/>
      <c r="AE26" s="1063"/>
      <c r="AF26" s="1063"/>
      <c r="AG26" s="1063"/>
      <c r="AH26" s="1063"/>
      <c r="AI26" s="1063"/>
      <c r="AJ26" s="1063"/>
      <c r="AK26" s="1063"/>
      <c r="AL26" s="1063"/>
      <c r="AM26" s="1063"/>
      <c r="AN26" s="1063"/>
      <c r="AO26" s="1063"/>
    </row>
    <row r="27" spans="1:41" x14ac:dyDescent="0.25">
      <c r="A27" s="1108" t="s">
        <v>609</v>
      </c>
      <c r="B27" s="1063"/>
      <c r="C27" s="1063"/>
      <c r="D27" s="1063"/>
      <c r="E27" s="1063"/>
      <c r="F27" s="1063"/>
      <c r="G27" s="1063"/>
      <c r="H27" s="1063"/>
      <c r="I27" s="1063"/>
      <c r="J27" s="1063"/>
      <c r="K27" s="1063"/>
      <c r="L27" s="1063"/>
      <c r="M27" s="1063"/>
      <c r="N27" s="1063"/>
      <c r="O27" s="1063"/>
      <c r="P27" s="1063"/>
      <c r="Q27" s="1063"/>
      <c r="R27" s="1063"/>
    </row>
    <row r="28" spans="1:41" x14ac:dyDescent="0.25">
      <c r="A28" s="1108" t="s">
        <v>727</v>
      </c>
      <c r="B28" s="1063"/>
      <c r="C28" s="1063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  <c r="O28" s="1063"/>
      <c r="P28" s="1063"/>
      <c r="Q28" s="1063"/>
      <c r="R28" s="1063"/>
    </row>
    <row r="29" spans="1:41" x14ac:dyDescent="0.25">
      <c r="A29" t="s">
        <v>133</v>
      </c>
    </row>
    <row r="30" spans="1:41" x14ac:dyDescent="0.25">
      <c r="A30" s="376"/>
      <c r="B30" t="s">
        <v>44</v>
      </c>
    </row>
    <row r="31" spans="1:41" x14ac:dyDescent="0.25">
      <c r="A31" s="377"/>
      <c r="B31" t="s">
        <v>42</v>
      </c>
    </row>
    <row r="32" spans="1:41" x14ac:dyDescent="0.25">
      <c r="A32" s="378"/>
      <c r="B32" t="s">
        <v>43</v>
      </c>
    </row>
    <row r="33" spans="1:1" ht="16.3" x14ac:dyDescent="0.3">
      <c r="A33" s="792" t="s">
        <v>28</v>
      </c>
    </row>
  </sheetData>
  <mergeCells count="21">
    <mergeCell ref="A28:R28"/>
    <mergeCell ref="C19:E19"/>
    <mergeCell ref="A25:R25"/>
    <mergeCell ref="A27:R27"/>
    <mergeCell ref="A1:C1"/>
    <mergeCell ref="E1:G1"/>
    <mergeCell ref="H1:I1"/>
    <mergeCell ref="J1:M1"/>
    <mergeCell ref="A21:R21"/>
    <mergeCell ref="A22:R22"/>
    <mergeCell ref="C16:E16"/>
    <mergeCell ref="C17:E17"/>
    <mergeCell ref="C18:E18"/>
    <mergeCell ref="A20:R20"/>
    <mergeCell ref="A26:AO26"/>
    <mergeCell ref="Z1:AC1"/>
    <mergeCell ref="AD1:AG1"/>
    <mergeCell ref="AH1:AK1"/>
    <mergeCell ref="AL1:AO1"/>
    <mergeCell ref="N1:O1"/>
    <mergeCell ref="P1:R1"/>
  </mergeCells>
  <pageMargins left="0.7" right="0.7" top="0.75" bottom="0.75" header="0.3" footer="0.3"/>
  <pageSetup paperSize="9" orientation="portrait" r:id="rId1"/>
  <ignoredErrors>
    <ignoredError sqref="F16:AO16 S17:Y17 P17:Q17 H17:I17 F17:G17 J17:O17 R17 Z17:AO17 S18:Y18 F18:G18 J18:O18 R18 Z18:AO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FAFD-B72B-4192-A3F3-7EADB143656E}">
  <dimension ref="A1:AT23"/>
  <sheetViews>
    <sheetView workbookViewId="0">
      <selection activeCell="W28" sqref="W28"/>
    </sheetView>
  </sheetViews>
  <sheetFormatPr defaultRowHeight="14.3" x14ac:dyDescent="0.25"/>
  <cols>
    <col min="1" max="1" width="7.375" customWidth="1"/>
    <col min="2" max="2" width="5.125" customWidth="1"/>
    <col min="3" max="3" width="12.625" customWidth="1"/>
    <col min="4" max="4" width="4.875" customWidth="1"/>
    <col min="5" max="18" width="3.625" customWidth="1"/>
    <col min="19" max="20" width="6.375" customWidth="1"/>
    <col min="21" max="21" width="19.375" bestFit="1" customWidth="1"/>
    <col min="22" max="22" width="21" bestFit="1" customWidth="1"/>
    <col min="23" max="23" width="23.125" bestFit="1" customWidth="1"/>
    <col min="24" max="24" width="23.25" bestFit="1" customWidth="1"/>
    <col min="25" max="40" width="3.625" customWidth="1"/>
    <col min="41" max="41" width="1.625" customWidth="1"/>
    <col min="42" max="42" width="12.375" bestFit="1" customWidth="1"/>
    <col min="45" max="45" width="12.375" bestFit="1" customWidth="1"/>
  </cols>
  <sheetData>
    <row r="1" spans="1:46" ht="14.95" thickBot="1" x14ac:dyDescent="0.3">
      <c r="A1" s="1276" t="s">
        <v>332</v>
      </c>
      <c r="B1" s="1277"/>
      <c r="C1" s="1278"/>
      <c r="D1" s="385"/>
      <c r="E1" s="1279" t="s">
        <v>24</v>
      </c>
      <c r="F1" s="1280"/>
      <c r="G1" s="1281"/>
      <c r="H1" s="1279" t="s">
        <v>23</v>
      </c>
      <c r="I1" s="1281"/>
      <c r="J1" s="1273" t="s">
        <v>6</v>
      </c>
      <c r="K1" s="1275"/>
      <c r="L1" s="1275"/>
      <c r="M1" s="1274"/>
      <c r="N1" s="1273" t="s">
        <v>7</v>
      </c>
      <c r="O1" s="1274"/>
      <c r="P1" s="1273" t="s">
        <v>25</v>
      </c>
      <c r="Q1" s="1275"/>
      <c r="R1" s="1274"/>
      <c r="S1" s="386" t="s">
        <v>8</v>
      </c>
      <c r="T1" s="386" t="s">
        <v>9</v>
      </c>
      <c r="U1" s="387" t="s">
        <v>10</v>
      </c>
      <c r="V1" s="388" t="s">
        <v>11</v>
      </c>
      <c r="W1" s="387" t="s">
        <v>26</v>
      </c>
      <c r="X1" s="388" t="s">
        <v>27</v>
      </c>
      <c r="Y1" s="1269" t="s">
        <v>20</v>
      </c>
      <c r="Z1" s="1270"/>
      <c r="AA1" s="1270"/>
      <c r="AB1" s="1271"/>
      <c r="AC1" s="1269" t="s">
        <v>61</v>
      </c>
      <c r="AD1" s="1270"/>
      <c r="AE1" s="1270"/>
      <c r="AF1" s="1271"/>
      <c r="AG1" s="1269" t="s">
        <v>62</v>
      </c>
      <c r="AH1" s="1270"/>
      <c r="AI1" s="1270"/>
      <c r="AJ1" s="1271"/>
      <c r="AK1" s="1269" t="s">
        <v>63</v>
      </c>
      <c r="AL1" s="1270"/>
      <c r="AM1" s="1270"/>
      <c r="AN1" s="1271"/>
      <c r="AP1" s="453" t="s">
        <v>202</v>
      </c>
      <c r="AQ1" s="452"/>
      <c r="AR1" s="218"/>
      <c r="AS1" s="453" t="s">
        <v>202</v>
      </c>
      <c r="AT1" s="452"/>
    </row>
    <row r="2" spans="1:46" ht="14.95" customHeight="1" thickBot="1" x14ac:dyDescent="0.3">
      <c r="A2" s="389" t="s">
        <v>19</v>
      </c>
      <c r="B2" s="390" t="s">
        <v>18</v>
      </c>
      <c r="C2" s="391" t="s">
        <v>17</v>
      </c>
      <c r="D2" s="392" t="s">
        <v>41</v>
      </c>
      <c r="E2" s="392" t="s">
        <v>16</v>
      </c>
      <c r="F2" s="392" t="s">
        <v>4</v>
      </c>
      <c r="G2" s="392" t="s">
        <v>5</v>
      </c>
      <c r="H2" s="393" t="s">
        <v>12</v>
      </c>
      <c r="I2" s="393" t="s">
        <v>3</v>
      </c>
      <c r="J2" s="393" t="s">
        <v>12</v>
      </c>
      <c r="K2" s="393" t="s">
        <v>13</v>
      </c>
      <c r="L2" s="393" t="s">
        <v>2</v>
      </c>
      <c r="M2" s="393" t="s">
        <v>14</v>
      </c>
      <c r="N2" s="393" t="s">
        <v>15</v>
      </c>
      <c r="O2" s="393" t="s">
        <v>16</v>
      </c>
      <c r="P2" s="393" t="s">
        <v>21</v>
      </c>
      <c r="Q2" s="393" t="s">
        <v>22</v>
      </c>
      <c r="R2" s="393" t="s">
        <v>12</v>
      </c>
      <c r="S2" s="394"/>
      <c r="T2" s="395"/>
      <c r="U2" s="396"/>
      <c r="V2" s="394"/>
      <c r="W2" s="396"/>
      <c r="X2" s="397"/>
      <c r="Y2" s="398" t="s">
        <v>0</v>
      </c>
      <c r="Z2" s="398" t="s">
        <v>1</v>
      </c>
      <c r="AA2" s="398" t="s">
        <v>2</v>
      </c>
      <c r="AB2" s="398" t="s">
        <v>3</v>
      </c>
      <c r="AC2" s="398" t="s">
        <v>0</v>
      </c>
      <c r="AD2" s="398" t="s">
        <v>1</v>
      </c>
      <c r="AE2" s="398" t="s">
        <v>2</v>
      </c>
      <c r="AF2" s="398" t="s">
        <v>3</v>
      </c>
      <c r="AG2" s="398" t="s">
        <v>0</v>
      </c>
      <c r="AH2" s="398" t="s">
        <v>1</v>
      </c>
      <c r="AI2" s="398" t="s">
        <v>2</v>
      </c>
      <c r="AJ2" s="398" t="s">
        <v>3</v>
      </c>
      <c r="AK2" s="398" t="s">
        <v>0</v>
      </c>
      <c r="AL2" s="398" t="s">
        <v>1</v>
      </c>
      <c r="AM2" s="398" t="s">
        <v>2</v>
      </c>
      <c r="AN2" s="398" t="s">
        <v>3</v>
      </c>
      <c r="AP2" s="205" t="s">
        <v>81</v>
      </c>
      <c r="AQ2" s="138"/>
      <c r="AS2" s="225" t="s">
        <v>99</v>
      </c>
      <c r="AT2" s="225"/>
    </row>
    <row r="3" spans="1:46" ht="14.95" customHeight="1" thickBot="1" x14ac:dyDescent="0.35">
      <c r="A3" s="363" t="s">
        <v>283</v>
      </c>
      <c r="B3" s="344" t="s">
        <v>183</v>
      </c>
      <c r="C3" s="290" t="s">
        <v>171</v>
      </c>
      <c r="D3" s="300" t="s">
        <v>222</v>
      </c>
      <c r="E3" s="291" t="s">
        <v>1</v>
      </c>
      <c r="F3" s="291">
        <v>40</v>
      </c>
      <c r="G3" s="291">
        <v>30</v>
      </c>
      <c r="H3" s="692">
        <v>1</v>
      </c>
      <c r="I3" s="692">
        <v>0</v>
      </c>
      <c r="J3" s="692">
        <v>6</v>
      </c>
      <c r="K3" s="692">
        <v>5</v>
      </c>
      <c r="L3" s="692">
        <v>0</v>
      </c>
      <c r="M3" s="692">
        <v>0</v>
      </c>
      <c r="N3" s="692">
        <v>1</v>
      </c>
      <c r="O3" s="692">
        <v>0</v>
      </c>
      <c r="P3" s="692">
        <v>0</v>
      </c>
      <c r="Q3" s="692">
        <v>0</v>
      </c>
      <c r="R3" s="692">
        <v>3</v>
      </c>
      <c r="S3" s="292">
        <v>4000</v>
      </c>
      <c r="T3" s="302" t="s">
        <v>333</v>
      </c>
      <c r="U3" s="294" t="s">
        <v>334</v>
      </c>
      <c r="V3" s="292" t="s">
        <v>157</v>
      </c>
      <c r="W3" s="295" t="s">
        <v>337</v>
      </c>
      <c r="X3" s="296" t="s">
        <v>338</v>
      </c>
      <c r="Y3" s="716">
        <v>1</v>
      </c>
      <c r="Z3" s="716">
        <v>1</v>
      </c>
      <c r="AA3" s="716">
        <v>0</v>
      </c>
      <c r="AB3" s="717">
        <v>0</v>
      </c>
      <c r="AC3" s="716">
        <v>1</v>
      </c>
      <c r="AD3" s="716">
        <v>1</v>
      </c>
      <c r="AE3" s="716">
        <v>0</v>
      </c>
      <c r="AF3" s="717">
        <v>0</v>
      </c>
      <c r="AG3" s="716">
        <v>0</v>
      </c>
      <c r="AH3" s="716">
        <v>0</v>
      </c>
      <c r="AI3" s="716">
        <v>0</v>
      </c>
      <c r="AJ3" s="717">
        <v>0</v>
      </c>
      <c r="AK3" s="716">
        <v>0</v>
      </c>
      <c r="AL3" s="716">
        <v>0</v>
      </c>
      <c r="AM3" s="716">
        <v>0</v>
      </c>
      <c r="AN3" s="717">
        <v>0</v>
      </c>
      <c r="AP3" s="214" t="s">
        <v>101</v>
      </c>
      <c r="AQ3" s="215">
        <f>Poralltestshistplayed</f>
        <v>332</v>
      </c>
      <c r="AS3" s="454" t="s">
        <v>101</v>
      </c>
      <c r="AT3" s="455">
        <f>Porrwchistplayed</f>
        <v>8</v>
      </c>
    </row>
    <row r="4" spans="1:46" ht="14.95" customHeight="1" thickBot="1" x14ac:dyDescent="0.35">
      <c r="A4" s="363" t="s">
        <v>285</v>
      </c>
      <c r="B4" s="344" t="s">
        <v>183</v>
      </c>
      <c r="C4" s="290" t="s">
        <v>173</v>
      </c>
      <c r="D4" s="300" t="s">
        <v>222</v>
      </c>
      <c r="E4" s="291" t="s">
        <v>1</v>
      </c>
      <c r="F4" s="291">
        <v>56</v>
      </c>
      <c r="G4" s="291">
        <v>14</v>
      </c>
      <c r="H4" s="692">
        <v>1</v>
      </c>
      <c r="I4" s="692">
        <v>0</v>
      </c>
      <c r="J4" s="692">
        <v>8</v>
      </c>
      <c r="K4" s="692">
        <v>8</v>
      </c>
      <c r="L4" s="692">
        <v>0</v>
      </c>
      <c r="M4" s="692">
        <v>0</v>
      </c>
      <c r="N4" s="692">
        <v>1</v>
      </c>
      <c r="O4" s="692">
        <v>0</v>
      </c>
      <c r="P4" s="692">
        <v>0</v>
      </c>
      <c r="Q4" s="692">
        <v>0</v>
      </c>
      <c r="R4" s="692">
        <v>2</v>
      </c>
      <c r="S4" s="292">
        <v>7000</v>
      </c>
      <c r="T4" s="302" t="s">
        <v>359</v>
      </c>
      <c r="U4" s="294" t="s">
        <v>360</v>
      </c>
      <c r="V4" s="292" t="s">
        <v>157</v>
      </c>
      <c r="W4" s="295" t="s">
        <v>361</v>
      </c>
      <c r="X4" s="296" t="s">
        <v>362</v>
      </c>
      <c r="Y4" s="716">
        <v>1</v>
      </c>
      <c r="Z4" s="716">
        <v>1</v>
      </c>
      <c r="AA4" s="716">
        <v>0</v>
      </c>
      <c r="AB4" s="717">
        <v>0</v>
      </c>
      <c r="AC4" s="716">
        <v>1</v>
      </c>
      <c r="AD4" s="716">
        <v>1</v>
      </c>
      <c r="AE4" s="716">
        <v>0</v>
      </c>
      <c r="AF4" s="717">
        <v>0</v>
      </c>
      <c r="AG4" s="716">
        <v>0</v>
      </c>
      <c r="AH4" s="716">
        <v>0</v>
      </c>
      <c r="AI4" s="716">
        <v>0</v>
      </c>
      <c r="AJ4" s="717">
        <v>0</v>
      </c>
      <c r="AK4" s="716">
        <v>0</v>
      </c>
      <c r="AL4" s="716">
        <v>0</v>
      </c>
      <c r="AM4" s="716">
        <v>0</v>
      </c>
      <c r="AN4" s="717">
        <v>0</v>
      </c>
      <c r="AP4" s="216" t="s">
        <v>102</v>
      </c>
      <c r="AQ4" s="217">
        <f>Poralltestshistwon</f>
        <v>143</v>
      </c>
      <c r="AS4" s="456" t="s">
        <v>102</v>
      </c>
      <c r="AT4" s="457">
        <f>Porrwchistwon</f>
        <v>1</v>
      </c>
    </row>
    <row r="5" spans="1:46" ht="14.95" customHeight="1" thickBot="1" x14ac:dyDescent="0.35">
      <c r="A5" s="384" t="s">
        <v>363</v>
      </c>
      <c r="B5" s="282" t="s">
        <v>183</v>
      </c>
      <c r="C5" s="270" t="s">
        <v>94</v>
      </c>
      <c r="D5" s="269" t="s">
        <v>364</v>
      </c>
      <c r="E5" s="271" t="s">
        <v>1</v>
      </c>
      <c r="F5" s="271">
        <v>34</v>
      </c>
      <c r="G5" s="271">
        <v>6</v>
      </c>
      <c r="H5" s="691">
        <v>1</v>
      </c>
      <c r="I5" s="691">
        <v>0</v>
      </c>
      <c r="J5" s="691">
        <v>5</v>
      </c>
      <c r="K5" s="691">
        <v>3</v>
      </c>
      <c r="L5" s="691">
        <v>0</v>
      </c>
      <c r="M5" s="691">
        <v>1</v>
      </c>
      <c r="N5" s="691">
        <v>0</v>
      </c>
      <c r="O5" s="691">
        <v>0</v>
      </c>
      <c r="P5" s="691">
        <v>0</v>
      </c>
      <c r="Q5" s="691">
        <v>0</v>
      </c>
      <c r="R5" s="691">
        <v>0</v>
      </c>
      <c r="S5" s="277">
        <v>3000</v>
      </c>
      <c r="T5" s="278" t="s">
        <v>225</v>
      </c>
      <c r="U5" s="279" t="s">
        <v>277</v>
      </c>
      <c r="V5" s="277" t="s">
        <v>157</v>
      </c>
      <c r="W5" s="273" t="s">
        <v>366</v>
      </c>
      <c r="X5" s="280" t="s">
        <v>367</v>
      </c>
      <c r="Y5" s="718">
        <v>1</v>
      </c>
      <c r="Z5" s="718">
        <v>1</v>
      </c>
      <c r="AA5" s="718">
        <v>0</v>
      </c>
      <c r="AB5" s="719">
        <v>0</v>
      </c>
      <c r="AC5" s="718">
        <v>0</v>
      </c>
      <c r="AD5" s="718">
        <v>0</v>
      </c>
      <c r="AE5" s="718">
        <v>0</v>
      </c>
      <c r="AF5" s="719">
        <v>0</v>
      </c>
      <c r="AG5" s="718">
        <v>1</v>
      </c>
      <c r="AH5" s="718">
        <v>1</v>
      </c>
      <c r="AI5" s="718">
        <v>0</v>
      </c>
      <c r="AJ5" s="719">
        <v>0</v>
      </c>
      <c r="AK5" s="718">
        <v>0</v>
      </c>
      <c r="AL5" s="718">
        <v>0</v>
      </c>
      <c r="AM5" s="718">
        <v>0</v>
      </c>
      <c r="AN5" s="719">
        <v>0</v>
      </c>
      <c r="AP5" s="216" t="s">
        <v>107</v>
      </c>
      <c r="AQ5" s="217">
        <f>Poralltestshistdrawn</f>
        <v>16</v>
      </c>
      <c r="AS5" s="456" t="s">
        <v>107</v>
      </c>
      <c r="AT5" s="457">
        <f>Porrwchistdrawn</f>
        <v>1</v>
      </c>
    </row>
    <row r="6" spans="1:46" ht="14.95" customHeight="1" thickBot="1" x14ac:dyDescent="0.3">
      <c r="A6" s="363" t="s">
        <v>374</v>
      </c>
      <c r="B6" s="344" t="s">
        <v>221</v>
      </c>
      <c r="C6" s="290" t="s">
        <v>95</v>
      </c>
      <c r="D6" s="300" t="s">
        <v>380</v>
      </c>
      <c r="E6" s="291" t="s">
        <v>3</v>
      </c>
      <c r="F6" s="291">
        <v>31</v>
      </c>
      <c r="G6" s="291">
        <v>42</v>
      </c>
      <c r="H6" s="692" t="s">
        <v>80</v>
      </c>
      <c r="I6" s="692" t="s">
        <v>80</v>
      </c>
      <c r="J6" s="692">
        <v>4</v>
      </c>
      <c r="K6" s="692">
        <v>4</v>
      </c>
      <c r="L6" s="692">
        <v>0</v>
      </c>
      <c r="M6" s="692">
        <v>1</v>
      </c>
      <c r="N6" s="692">
        <v>3</v>
      </c>
      <c r="O6" s="692">
        <v>0</v>
      </c>
      <c r="P6" s="692" t="s">
        <v>80</v>
      </c>
      <c r="Q6" s="692" t="s">
        <v>80</v>
      </c>
      <c r="R6" s="692">
        <v>3</v>
      </c>
      <c r="S6" s="292">
        <v>6500</v>
      </c>
      <c r="T6" s="303" t="s">
        <v>375</v>
      </c>
      <c r="U6" s="294" t="s">
        <v>280</v>
      </c>
      <c r="V6" s="292" t="s">
        <v>157</v>
      </c>
      <c r="W6" s="295" t="s">
        <v>376</v>
      </c>
      <c r="X6" s="296" t="s">
        <v>377</v>
      </c>
      <c r="Y6" s="716">
        <v>1</v>
      </c>
      <c r="Z6" s="716">
        <v>0</v>
      </c>
      <c r="AA6" s="716">
        <v>0</v>
      </c>
      <c r="AB6" s="717">
        <v>1</v>
      </c>
      <c r="AC6" s="716">
        <v>1</v>
      </c>
      <c r="AD6" s="716">
        <v>0</v>
      </c>
      <c r="AE6" s="716">
        <v>0</v>
      </c>
      <c r="AF6" s="717">
        <v>1</v>
      </c>
      <c r="AG6" s="716">
        <v>0</v>
      </c>
      <c r="AH6" s="716">
        <v>0</v>
      </c>
      <c r="AI6" s="716">
        <v>0</v>
      </c>
      <c r="AJ6" s="717">
        <v>0</v>
      </c>
      <c r="AK6" s="716">
        <v>0</v>
      </c>
      <c r="AL6" s="716">
        <v>0</v>
      </c>
      <c r="AM6" s="716">
        <v>0</v>
      </c>
      <c r="AN6" s="717">
        <v>0</v>
      </c>
      <c r="AP6" s="216" t="s">
        <v>103</v>
      </c>
      <c r="AQ6" s="217">
        <f>Poralltestshistlost</f>
        <v>173</v>
      </c>
      <c r="AS6" s="456" t="s">
        <v>103</v>
      </c>
      <c r="AT6" s="457">
        <f>Porrwchistlost</f>
        <v>6</v>
      </c>
    </row>
    <row r="7" spans="1:46" ht="14.95" customHeight="1" thickBot="1" x14ac:dyDescent="0.3">
      <c r="A7" s="363" t="s">
        <v>387</v>
      </c>
      <c r="B7" s="344" t="s">
        <v>223</v>
      </c>
      <c r="C7" s="290" t="s">
        <v>94</v>
      </c>
      <c r="D7" s="300" t="s">
        <v>380</v>
      </c>
      <c r="E7" s="291" t="s">
        <v>3</v>
      </c>
      <c r="F7" s="291">
        <v>7</v>
      </c>
      <c r="G7" s="291">
        <v>21</v>
      </c>
      <c r="H7" s="692" t="s">
        <v>80</v>
      </c>
      <c r="I7" s="692" t="s">
        <v>80</v>
      </c>
      <c r="J7" s="692">
        <v>1</v>
      </c>
      <c r="K7" s="692">
        <v>1</v>
      </c>
      <c r="L7" s="692">
        <v>0</v>
      </c>
      <c r="M7" s="692">
        <v>0</v>
      </c>
      <c r="N7" s="692">
        <v>0</v>
      </c>
      <c r="O7" s="692">
        <v>0</v>
      </c>
      <c r="P7" s="692" t="s">
        <v>80</v>
      </c>
      <c r="Q7" s="692" t="s">
        <v>80</v>
      </c>
      <c r="R7" s="692">
        <v>2</v>
      </c>
      <c r="S7" s="292">
        <v>600</v>
      </c>
      <c r="T7" s="293" t="s">
        <v>393</v>
      </c>
      <c r="U7" s="294" t="s">
        <v>278</v>
      </c>
      <c r="V7" s="292" t="s">
        <v>157</v>
      </c>
      <c r="W7" s="295" t="s">
        <v>334</v>
      </c>
      <c r="X7" s="296" t="s">
        <v>394</v>
      </c>
      <c r="Y7" s="716">
        <v>1</v>
      </c>
      <c r="Z7" s="716">
        <v>0</v>
      </c>
      <c r="AA7" s="716">
        <v>0</v>
      </c>
      <c r="AB7" s="717">
        <v>1</v>
      </c>
      <c r="AC7" s="716">
        <v>1</v>
      </c>
      <c r="AD7" s="716">
        <v>0</v>
      </c>
      <c r="AE7" s="716">
        <v>0</v>
      </c>
      <c r="AF7" s="717">
        <v>1</v>
      </c>
      <c r="AG7" s="716">
        <v>0</v>
      </c>
      <c r="AH7" s="716">
        <v>0</v>
      </c>
      <c r="AI7" s="716">
        <v>0</v>
      </c>
      <c r="AJ7" s="717">
        <v>0</v>
      </c>
      <c r="AK7" s="716">
        <v>0</v>
      </c>
      <c r="AL7" s="716">
        <v>0</v>
      </c>
      <c r="AM7" s="716">
        <v>0</v>
      </c>
      <c r="AN7" s="717">
        <v>0</v>
      </c>
      <c r="AP7" s="216" t="s">
        <v>108</v>
      </c>
      <c r="AQ7" s="217">
        <f>Poralltestshistptsscored</f>
        <v>6620</v>
      </c>
      <c r="AS7" s="456" t="s">
        <v>108</v>
      </c>
      <c r="AT7" s="457">
        <f>Porrwchistptsscored</f>
        <v>102</v>
      </c>
    </row>
    <row r="8" spans="1:46" ht="14.95" customHeight="1" thickBot="1" x14ac:dyDescent="0.3">
      <c r="A8" s="363" t="s">
        <v>232</v>
      </c>
      <c r="B8" s="344" t="s">
        <v>45</v>
      </c>
      <c r="C8" s="290" t="s">
        <v>39</v>
      </c>
      <c r="D8" s="300" t="s">
        <v>380</v>
      </c>
      <c r="E8" s="291" t="s">
        <v>3</v>
      </c>
      <c r="F8" s="291">
        <v>7</v>
      </c>
      <c r="G8" s="291">
        <v>106</v>
      </c>
      <c r="H8" s="692" t="s">
        <v>80</v>
      </c>
      <c r="I8" s="692" t="s">
        <v>80</v>
      </c>
      <c r="J8" s="692">
        <v>1</v>
      </c>
      <c r="K8" s="692">
        <v>1</v>
      </c>
      <c r="L8" s="692">
        <v>0</v>
      </c>
      <c r="M8" s="692">
        <v>0</v>
      </c>
      <c r="N8" s="692">
        <v>0</v>
      </c>
      <c r="O8" s="692">
        <v>0</v>
      </c>
      <c r="P8" s="692" t="s">
        <v>80</v>
      </c>
      <c r="Q8" s="692" t="s">
        <v>80</v>
      </c>
      <c r="R8" s="692">
        <v>16</v>
      </c>
      <c r="S8" s="292">
        <v>8000</v>
      </c>
      <c r="T8" s="293" t="s">
        <v>455</v>
      </c>
      <c r="U8" s="294" t="s">
        <v>421</v>
      </c>
      <c r="V8" s="292" t="s">
        <v>251</v>
      </c>
      <c r="W8" s="295" t="s">
        <v>456</v>
      </c>
      <c r="X8" s="296" t="s">
        <v>345</v>
      </c>
      <c r="Y8" s="716">
        <v>1</v>
      </c>
      <c r="Z8" s="716">
        <v>0</v>
      </c>
      <c r="AA8" s="716">
        <v>0</v>
      </c>
      <c r="AB8" s="717">
        <v>1</v>
      </c>
      <c r="AC8" s="716">
        <v>1</v>
      </c>
      <c r="AD8" s="716">
        <v>0</v>
      </c>
      <c r="AE8" s="716">
        <v>0</v>
      </c>
      <c r="AF8" s="717">
        <v>1</v>
      </c>
      <c r="AG8" s="716">
        <v>0</v>
      </c>
      <c r="AH8" s="716">
        <v>0</v>
      </c>
      <c r="AI8" s="716">
        <v>0</v>
      </c>
      <c r="AJ8" s="717">
        <v>0</v>
      </c>
      <c r="AK8" s="716">
        <v>0</v>
      </c>
      <c r="AL8" s="716">
        <v>0</v>
      </c>
      <c r="AM8" s="716">
        <v>0</v>
      </c>
      <c r="AN8" s="717">
        <v>0</v>
      </c>
      <c r="AP8" s="216" t="s">
        <v>109</v>
      </c>
      <c r="AQ8" s="217">
        <f>Poralltestshistptsconc</f>
        <v>7462</v>
      </c>
      <c r="AS8" s="456" t="s">
        <v>109</v>
      </c>
      <c r="AT8" s="457">
        <f>Porrwchistpgtsagainst</f>
        <v>312</v>
      </c>
    </row>
    <row r="9" spans="1:46" ht="14.95" customHeight="1" thickBot="1" x14ac:dyDescent="0.35">
      <c r="A9" s="304" t="s">
        <v>263</v>
      </c>
      <c r="B9" s="305" t="s">
        <v>45</v>
      </c>
      <c r="C9" s="290" t="s">
        <v>79</v>
      </c>
      <c r="D9" s="300" t="s">
        <v>380</v>
      </c>
      <c r="E9" s="291" t="s">
        <v>3</v>
      </c>
      <c r="F9" s="291">
        <v>8</v>
      </c>
      <c r="G9" s="291">
        <v>26</v>
      </c>
      <c r="H9" s="692" t="s">
        <v>80</v>
      </c>
      <c r="I9" s="692" t="s">
        <v>80</v>
      </c>
      <c r="J9" s="692">
        <v>1</v>
      </c>
      <c r="K9" s="692">
        <v>0</v>
      </c>
      <c r="L9" s="692">
        <v>0</v>
      </c>
      <c r="M9" s="692">
        <v>1</v>
      </c>
      <c r="N9" s="692">
        <v>0</v>
      </c>
      <c r="O9" s="692">
        <v>1</v>
      </c>
      <c r="P9" s="692" t="s">
        <v>80</v>
      </c>
      <c r="Q9" s="692" t="s">
        <v>80</v>
      </c>
      <c r="R9" s="692">
        <v>3</v>
      </c>
      <c r="S9" s="865" t="s">
        <v>157</v>
      </c>
      <c r="T9" s="710" t="s">
        <v>779</v>
      </c>
      <c r="U9" s="294" t="s">
        <v>166</v>
      </c>
      <c r="V9" s="292" t="s">
        <v>256</v>
      </c>
      <c r="W9" s="296" t="s">
        <v>777</v>
      </c>
      <c r="X9" s="295" t="s">
        <v>778</v>
      </c>
      <c r="Y9" s="295">
        <v>1</v>
      </c>
      <c r="Z9" s="295">
        <v>0</v>
      </c>
      <c r="AA9" s="307">
        <v>0</v>
      </c>
      <c r="AB9" s="295">
        <v>1</v>
      </c>
      <c r="AC9" s="295">
        <v>1</v>
      </c>
      <c r="AD9" s="295">
        <v>0</v>
      </c>
      <c r="AE9" s="295">
        <v>0</v>
      </c>
      <c r="AF9" s="307">
        <v>1</v>
      </c>
      <c r="AG9" s="295">
        <v>0</v>
      </c>
      <c r="AH9" s="295">
        <v>0</v>
      </c>
      <c r="AI9" s="295">
        <v>0</v>
      </c>
      <c r="AJ9" s="307">
        <v>0</v>
      </c>
      <c r="AK9" s="295">
        <v>0</v>
      </c>
      <c r="AL9" s="295">
        <v>0</v>
      </c>
      <c r="AM9" s="295">
        <v>0</v>
      </c>
      <c r="AN9" s="307">
        <v>0</v>
      </c>
      <c r="AP9" s="216" t="s">
        <v>100</v>
      </c>
      <c r="AQ9" s="217">
        <f>Poralltestshisttriesscored</f>
        <v>758</v>
      </c>
      <c r="AS9" s="456" t="s">
        <v>100</v>
      </c>
      <c r="AT9" s="457">
        <f>Porrwchisttriesscored</f>
        <v>12</v>
      </c>
    </row>
    <row r="10" spans="1:46" ht="14.95" customHeight="1" thickBot="1" x14ac:dyDescent="0.35">
      <c r="A10" s="304" t="s">
        <v>264</v>
      </c>
      <c r="B10" s="305" t="s">
        <v>45</v>
      </c>
      <c r="C10" s="290" t="s">
        <v>792</v>
      </c>
      <c r="D10" s="300" t="s">
        <v>380</v>
      </c>
      <c r="E10" s="291" t="s">
        <v>1</v>
      </c>
      <c r="F10" s="291">
        <v>58</v>
      </c>
      <c r="G10" s="291">
        <v>12</v>
      </c>
      <c r="H10" s="692" t="s">
        <v>80</v>
      </c>
      <c r="I10" s="692" t="s">
        <v>80</v>
      </c>
      <c r="J10" s="692">
        <v>9</v>
      </c>
      <c r="K10" s="692">
        <v>5</v>
      </c>
      <c r="L10" s="692">
        <v>0</v>
      </c>
      <c r="M10" s="692">
        <v>1</v>
      </c>
      <c r="N10" s="692">
        <v>0</v>
      </c>
      <c r="O10" s="692">
        <v>0</v>
      </c>
      <c r="P10" s="692" t="s">
        <v>80</v>
      </c>
      <c r="Q10" s="692" t="s">
        <v>80</v>
      </c>
      <c r="R10" s="692">
        <v>2</v>
      </c>
      <c r="S10" s="865">
        <v>2412</v>
      </c>
      <c r="T10" s="302" t="s">
        <v>506</v>
      </c>
      <c r="U10" s="294" t="s">
        <v>175</v>
      </c>
      <c r="V10" s="292" t="s">
        <v>793</v>
      </c>
      <c r="W10" s="295" t="s">
        <v>781</v>
      </c>
      <c r="X10" s="296" t="s">
        <v>783</v>
      </c>
      <c r="Y10" s="295">
        <v>1</v>
      </c>
      <c r="Z10" s="295">
        <v>1</v>
      </c>
      <c r="AA10" s="295">
        <v>0</v>
      </c>
      <c r="AB10" s="307">
        <v>0</v>
      </c>
      <c r="AC10" s="295">
        <v>1</v>
      </c>
      <c r="AD10" s="295">
        <v>1</v>
      </c>
      <c r="AE10" s="295">
        <v>0</v>
      </c>
      <c r="AF10" s="307">
        <v>0</v>
      </c>
      <c r="AG10" s="295">
        <v>0</v>
      </c>
      <c r="AH10" s="295">
        <v>0</v>
      </c>
      <c r="AI10" s="295">
        <v>0</v>
      </c>
      <c r="AJ10" s="307">
        <v>0</v>
      </c>
      <c r="AK10" s="295">
        <v>0</v>
      </c>
      <c r="AL10" s="295">
        <v>0</v>
      </c>
      <c r="AM10" s="295">
        <v>0</v>
      </c>
      <c r="AN10" s="307">
        <v>0</v>
      </c>
    </row>
    <row r="11" spans="1:46" ht="14.95" customHeight="1" thickBot="1" x14ac:dyDescent="0.3">
      <c r="A11" s="304" t="s">
        <v>266</v>
      </c>
      <c r="B11" s="305" t="s">
        <v>45</v>
      </c>
      <c r="C11" s="305" t="s">
        <v>40</v>
      </c>
      <c r="D11" s="300" t="s">
        <v>734</v>
      </c>
      <c r="E11" s="291" t="s">
        <v>1</v>
      </c>
      <c r="F11" s="291">
        <v>33</v>
      </c>
      <c r="G11" s="291">
        <v>27</v>
      </c>
      <c r="H11" s="692" t="s">
        <v>80</v>
      </c>
      <c r="I11" s="692" t="s">
        <v>80</v>
      </c>
      <c r="J11" s="692">
        <v>3</v>
      </c>
      <c r="K11" s="692">
        <v>3</v>
      </c>
      <c r="L11" s="692">
        <v>0</v>
      </c>
      <c r="M11" s="692">
        <v>4</v>
      </c>
      <c r="N11" s="692">
        <v>1</v>
      </c>
      <c r="O11" s="692">
        <v>0</v>
      </c>
      <c r="P11" s="692" t="s">
        <v>80</v>
      </c>
      <c r="Q11" s="692" t="s">
        <v>80</v>
      </c>
      <c r="R11" s="692">
        <v>2</v>
      </c>
      <c r="S11" s="716" t="s">
        <v>157</v>
      </c>
      <c r="T11" s="730" t="s">
        <v>485</v>
      </c>
      <c r="U11" s="295" t="s">
        <v>216</v>
      </c>
      <c r="V11" s="295" t="s">
        <v>185</v>
      </c>
      <c r="W11" s="295" t="s">
        <v>278</v>
      </c>
      <c r="X11" s="295" t="s">
        <v>791</v>
      </c>
      <c r="Y11" s="295">
        <v>1</v>
      </c>
      <c r="Z11" s="295">
        <v>1</v>
      </c>
      <c r="AA11" s="295">
        <v>0</v>
      </c>
      <c r="AB11" s="307">
        <v>0</v>
      </c>
      <c r="AC11" s="295">
        <v>1</v>
      </c>
      <c r="AD11" s="295">
        <v>1</v>
      </c>
      <c r="AE11" s="295">
        <v>0</v>
      </c>
      <c r="AF11" s="307">
        <v>0</v>
      </c>
      <c r="AG11" s="295">
        <v>0</v>
      </c>
      <c r="AH11" s="295">
        <v>0</v>
      </c>
      <c r="AI11" s="295">
        <v>0</v>
      </c>
      <c r="AJ11" s="307">
        <v>0</v>
      </c>
      <c r="AK11" s="295">
        <v>0</v>
      </c>
      <c r="AL11" s="295">
        <v>0</v>
      </c>
      <c r="AM11" s="295">
        <v>0</v>
      </c>
      <c r="AN11" s="307">
        <v>0</v>
      </c>
    </row>
    <row r="12" spans="1:46" ht="14.95" customHeight="1" thickBot="1" x14ac:dyDescent="0.3">
      <c r="A12" s="179"/>
      <c r="B12" s="180"/>
      <c r="C12" s="1272" t="s">
        <v>83</v>
      </c>
      <c r="D12" s="1157"/>
      <c r="E12" s="1158"/>
      <c r="F12" s="178">
        <f>SUM(F3:F7)</f>
        <v>168</v>
      </c>
      <c r="G12" s="178">
        <f t="shared" ref="G12:R12" si="0">SUM(G3:G7)</f>
        <v>113</v>
      </c>
      <c r="H12" s="178">
        <f t="shared" si="0"/>
        <v>3</v>
      </c>
      <c r="I12" s="178">
        <f t="shared" si="0"/>
        <v>0</v>
      </c>
      <c r="J12" s="178">
        <f t="shared" si="0"/>
        <v>24</v>
      </c>
      <c r="K12" s="178">
        <f t="shared" si="0"/>
        <v>21</v>
      </c>
      <c r="L12" s="178">
        <f t="shared" si="0"/>
        <v>0</v>
      </c>
      <c r="M12" s="178">
        <f t="shared" si="0"/>
        <v>2</v>
      </c>
      <c r="N12" s="178">
        <f t="shared" si="0"/>
        <v>5</v>
      </c>
      <c r="O12" s="178">
        <f t="shared" si="0"/>
        <v>0</v>
      </c>
      <c r="P12" s="178">
        <f t="shared" si="0"/>
        <v>0</v>
      </c>
      <c r="Q12" s="178">
        <f t="shared" si="0"/>
        <v>0</v>
      </c>
      <c r="R12" s="178">
        <f t="shared" si="0"/>
        <v>10</v>
      </c>
      <c r="W12" s="175"/>
      <c r="X12" s="249" t="s">
        <v>83</v>
      </c>
      <c r="Y12" s="178">
        <f t="shared" ref="Y12:AN12" si="1">SUM(Y3:Y7)</f>
        <v>5</v>
      </c>
      <c r="Z12" s="178">
        <f t="shared" si="1"/>
        <v>3</v>
      </c>
      <c r="AA12" s="178">
        <f t="shared" si="1"/>
        <v>0</v>
      </c>
      <c r="AB12" s="178">
        <f t="shared" si="1"/>
        <v>2</v>
      </c>
      <c r="AC12" s="176">
        <f t="shared" si="1"/>
        <v>4</v>
      </c>
      <c r="AD12" s="176">
        <f t="shared" si="1"/>
        <v>2</v>
      </c>
      <c r="AE12" s="176">
        <f t="shared" si="1"/>
        <v>0</v>
      </c>
      <c r="AF12" s="176">
        <f t="shared" si="1"/>
        <v>2</v>
      </c>
      <c r="AG12" s="177">
        <f t="shared" si="1"/>
        <v>1</v>
      </c>
      <c r="AH12" s="177">
        <f t="shared" si="1"/>
        <v>1</v>
      </c>
      <c r="AI12" s="177">
        <f t="shared" si="1"/>
        <v>0</v>
      </c>
      <c r="AJ12" s="177">
        <f t="shared" si="1"/>
        <v>0</v>
      </c>
      <c r="AK12" s="178">
        <f t="shared" si="1"/>
        <v>0</v>
      </c>
      <c r="AL12" s="178">
        <f t="shared" si="1"/>
        <v>0</v>
      </c>
      <c r="AM12" s="178">
        <f t="shared" si="1"/>
        <v>0</v>
      </c>
      <c r="AN12" s="178">
        <f t="shared" si="1"/>
        <v>0</v>
      </c>
    </row>
    <row r="13" spans="1:46" ht="14.95" thickBot="1" x14ac:dyDescent="0.3">
      <c r="A13" s="179"/>
      <c r="B13" s="180"/>
      <c r="C13" s="1078" t="s">
        <v>135</v>
      </c>
      <c r="D13" s="1098"/>
      <c r="E13" s="1099"/>
      <c r="F13" s="329">
        <f>SUM(F8:F11)</f>
        <v>106</v>
      </c>
      <c r="G13" s="329">
        <f>SUM(G8:G11)</f>
        <v>171</v>
      </c>
      <c r="H13" s="329" t="s">
        <v>80</v>
      </c>
      <c r="I13" s="329" t="s">
        <v>80</v>
      </c>
      <c r="J13" s="329">
        <f t="shared" ref="J13:O13" si="2">SUM(J8:J11)</f>
        <v>14</v>
      </c>
      <c r="K13" s="329">
        <f t="shared" si="2"/>
        <v>9</v>
      </c>
      <c r="L13" s="329">
        <f t="shared" si="2"/>
        <v>0</v>
      </c>
      <c r="M13" s="329">
        <f t="shared" si="2"/>
        <v>6</v>
      </c>
      <c r="N13" s="329">
        <f t="shared" si="2"/>
        <v>1</v>
      </c>
      <c r="O13" s="329">
        <f t="shared" si="2"/>
        <v>1</v>
      </c>
      <c r="P13" s="329" t="s">
        <v>80</v>
      </c>
      <c r="Q13" s="329" t="s">
        <v>80</v>
      </c>
      <c r="R13" s="329">
        <f>SUM(R8:R11)</f>
        <v>23</v>
      </c>
      <c r="S13" s="339"/>
      <c r="T13" s="339"/>
      <c r="U13" s="339"/>
      <c r="V13" s="339"/>
      <c r="W13" s="327"/>
      <c r="X13" s="334" t="s">
        <v>135</v>
      </c>
      <c r="Y13" s="329">
        <f t="shared" ref="Y13:AN13" si="3">SUM(Y8:Y11)</f>
        <v>4</v>
      </c>
      <c r="Z13" s="329">
        <f t="shared" si="3"/>
        <v>2</v>
      </c>
      <c r="AA13" s="329">
        <f t="shared" si="3"/>
        <v>0</v>
      </c>
      <c r="AB13" s="329">
        <f t="shared" si="3"/>
        <v>2</v>
      </c>
      <c r="AC13" s="330">
        <f t="shared" si="3"/>
        <v>4</v>
      </c>
      <c r="AD13" s="330">
        <f t="shared" si="3"/>
        <v>2</v>
      </c>
      <c r="AE13" s="330">
        <f t="shared" si="3"/>
        <v>0</v>
      </c>
      <c r="AF13" s="330">
        <f t="shared" si="3"/>
        <v>2</v>
      </c>
      <c r="AG13" s="331">
        <f t="shared" si="3"/>
        <v>0</v>
      </c>
      <c r="AH13" s="331">
        <f t="shared" si="3"/>
        <v>0</v>
      </c>
      <c r="AI13" s="331">
        <f t="shared" si="3"/>
        <v>0</v>
      </c>
      <c r="AJ13" s="331">
        <f t="shared" si="3"/>
        <v>0</v>
      </c>
      <c r="AK13" s="329">
        <f t="shared" si="3"/>
        <v>0</v>
      </c>
      <c r="AL13" s="329">
        <f t="shared" si="3"/>
        <v>0</v>
      </c>
      <c r="AM13" s="329">
        <f t="shared" si="3"/>
        <v>0</v>
      </c>
      <c r="AN13" s="329">
        <f t="shared" si="3"/>
        <v>0</v>
      </c>
    </row>
    <row r="14" spans="1:46" ht="14.95" thickBot="1" x14ac:dyDescent="0.3">
      <c r="A14" s="179"/>
      <c r="B14" s="180"/>
      <c r="C14" s="1087" t="s">
        <v>81</v>
      </c>
      <c r="D14" s="1088"/>
      <c r="E14" s="1089"/>
      <c r="F14" s="231">
        <f t="shared" ref="F14:R14" si="4">SUM(F3:F11)</f>
        <v>274</v>
      </c>
      <c r="G14" s="231">
        <f t="shared" si="4"/>
        <v>284</v>
      </c>
      <c r="H14" s="231">
        <f t="shared" si="4"/>
        <v>3</v>
      </c>
      <c r="I14" s="231">
        <f t="shared" si="4"/>
        <v>0</v>
      </c>
      <c r="J14" s="231">
        <f t="shared" si="4"/>
        <v>38</v>
      </c>
      <c r="K14" s="231">
        <f t="shared" si="4"/>
        <v>30</v>
      </c>
      <c r="L14" s="231">
        <f t="shared" si="4"/>
        <v>0</v>
      </c>
      <c r="M14" s="231">
        <f t="shared" si="4"/>
        <v>8</v>
      </c>
      <c r="N14" s="231">
        <f t="shared" si="4"/>
        <v>6</v>
      </c>
      <c r="O14" s="231">
        <f t="shared" si="4"/>
        <v>1</v>
      </c>
      <c r="P14" s="231">
        <f t="shared" si="4"/>
        <v>0</v>
      </c>
      <c r="Q14" s="231">
        <f t="shared" si="4"/>
        <v>0</v>
      </c>
      <c r="R14" s="231">
        <f t="shared" si="4"/>
        <v>33</v>
      </c>
      <c r="S14" s="228"/>
      <c r="T14" s="228"/>
      <c r="U14" s="228"/>
      <c r="V14" s="228"/>
      <c r="W14" s="13"/>
      <c r="X14" s="246" t="s">
        <v>81</v>
      </c>
      <c r="Y14" s="231">
        <f t="shared" ref="Y14:AN14" si="5">SUM(Y3:Y11)</f>
        <v>9</v>
      </c>
      <c r="Z14" s="231">
        <f t="shared" si="5"/>
        <v>5</v>
      </c>
      <c r="AA14" s="231">
        <f t="shared" si="5"/>
        <v>0</v>
      </c>
      <c r="AB14" s="231">
        <f t="shared" si="5"/>
        <v>4</v>
      </c>
      <c r="AC14" s="229">
        <f t="shared" si="5"/>
        <v>8</v>
      </c>
      <c r="AD14" s="229">
        <f t="shared" si="5"/>
        <v>4</v>
      </c>
      <c r="AE14" s="229">
        <f t="shared" si="5"/>
        <v>0</v>
      </c>
      <c r="AF14" s="229">
        <f t="shared" si="5"/>
        <v>4</v>
      </c>
      <c r="AG14" s="230">
        <f t="shared" si="5"/>
        <v>1</v>
      </c>
      <c r="AH14" s="230">
        <f t="shared" si="5"/>
        <v>1</v>
      </c>
      <c r="AI14" s="230">
        <f t="shared" si="5"/>
        <v>0</v>
      </c>
      <c r="AJ14" s="230">
        <f t="shared" si="5"/>
        <v>0</v>
      </c>
      <c r="AK14" s="231">
        <f t="shared" si="5"/>
        <v>0</v>
      </c>
      <c r="AL14" s="231">
        <f t="shared" si="5"/>
        <v>0</v>
      </c>
      <c r="AM14" s="231">
        <f t="shared" si="5"/>
        <v>0</v>
      </c>
      <c r="AN14" s="231">
        <f t="shared" si="5"/>
        <v>0</v>
      </c>
    </row>
    <row r="15" spans="1:46" x14ac:dyDescent="0.25">
      <c r="A15" s="179"/>
      <c r="B15" s="180"/>
      <c r="C15" s="402"/>
      <c r="D15" s="402"/>
      <c r="E15" s="402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4"/>
      <c r="T15" s="404"/>
      <c r="U15" s="404"/>
      <c r="V15" s="404"/>
      <c r="W15" s="13"/>
      <c r="X15" s="1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</row>
    <row r="16" spans="1:46" x14ac:dyDescent="0.25">
      <c r="A16" s="1108" t="s">
        <v>368</v>
      </c>
      <c r="B16" s="1063"/>
      <c r="C16" s="1063"/>
      <c r="D16" s="1063"/>
      <c r="E16" s="1063"/>
      <c r="F16" s="1063"/>
      <c r="G16" s="1063"/>
      <c r="H16" s="1063"/>
      <c r="I16" s="1063"/>
      <c r="J16" s="1063"/>
      <c r="K16" s="1063"/>
      <c r="L16" s="1063"/>
      <c r="M16" s="1063"/>
      <c r="N16" s="1063"/>
      <c r="O16" s="1063"/>
      <c r="P16" s="1063"/>
      <c r="Q16" s="1063"/>
      <c r="R16" s="1063"/>
      <c r="S16" s="1063"/>
      <c r="T16" s="1063"/>
      <c r="U16" s="1063"/>
      <c r="V16" s="1063"/>
      <c r="W16" s="1063"/>
      <c r="X16" s="1063"/>
      <c r="Y16" s="1063"/>
      <c r="Z16" s="1063"/>
      <c r="AA16" s="1063"/>
      <c r="AB16" s="1063"/>
      <c r="AC16" s="1063"/>
      <c r="AD16" s="1063"/>
      <c r="AE16" s="1063"/>
      <c r="AF16" s="1063"/>
      <c r="AG16" s="1063"/>
      <c r="AH16" s="1063"/>
      <c r="AI16" s="1063"/>
      <c r="AJ16" s="1063"/>
      <c r="AK16" s="1063"/>
      <c r="AL16" s="1063"/>
      <c r="AM16" s="1063"/>
      <c r="AN16" s="1063"/>
    </row>
    <row r="17" spans="1:18" x14ac:dyDescent="0.25">
      <c r="A17" t="s">
        <v>735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t="s">
        <v>217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t="s">
        <v>218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376"/>
      <c r="B20" t="s">
        <v>44</v>
      </c>
    </row>
    <row r="21" spans="1:18" x14ac:dyDescent="0.25">
      <c r="A21" s="377"/>
      <c r="B21" t="s">
        <v>42</v>
      </c>
    </row>
    <row r="22" spans="1:18" x14ac:dyDescent="0.25">
      <c r="A22" s="378"/>
      <c r="B22" t="s">
        <v>43</v>
      </c>
    </row>
    <row r="23" spans="1:18" ht="16.3" x14ac:dyDescent="0.3">
      <c r="A23" s="792" t="s">
        <v>28</v>
      </c>
    </row>
  </sheetData>
  <mergeCells count="14">
    <mergeCell ref="C14:E14"/>
    <mergeCell ref="A16:AN16"/>
    <mergeCell ref="Y1:AB1"/>
    <mergeCell ref="AC1:AF1"/>
    <mergeCell ref="AG1:AJ1"/>
    <mergeCell ref="AK1:AN1"/>
    <mergeCell ref="C12:E12"/>
    <mergeCell ref="N1:O1"/>
    <mergeCell ref="P1:R1"/>
    <mergeCell ref="C13:E13"/>
    <mergeCell ref="A1:C1"/>
    <mergeCell ref="E1:G1"/>
    <mergeCell ref="H1:I1"/>
    <mergeCell ref="J1:M1"/>
  </mergeCells>
  <pageMargins left="0.7" right="0.7" top="0.75" bottom="0.75" header="0.3" footer="0.3"/>
  <pageSetup orientation="portrait" r:id="rId1"/>
  <ignoredErrors>
    <ignoredError sqref="F12:AN13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26"/>
  <sheetViews>
    <sheetView zoomScaleNormal="100" workbookViewId="0">
      <selection activeCell="S12" sqref="S12:X12"/>
    </sheetView>
  </sheetViews>
  <sheetFormatPr defaultRowHeight="14.3" x14ac:dyDescent="0.25"/>
  <cols>
    <col min="1" max="1" width="7.375" customWidth="1"/>
    <col min="2" max="2" width="5.125" bestFit="1" customWidth="1"/>
    <col min="3" max="3" width="12.625" customWidth="1"/>
    <col min="4" max="4" width="4.875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19.75" bestFit="1" customWidth="1"/>
    <col min="22" max="22" width="19.5" bestFit="1" customWidth="1"/>
    <col min="23" max="23" width="19.375" bestFit="1" customWidth="1"/>
    <col min="24" max="24" width="23.25" bestFit="1" customWidth="1"/>
    <col min="25" max="40" width="3.625" customWidth="1"/>
    <col min="41" max="41" width="1.625" customWidth="1"/>
    <col min="42" max="42" width="12.375" bestFit="1" customWidth="1"/>
    <col min="45" max="45" width="12.375" bestFit="1" customWidth="1"/>
  </cols>
  <sheetData>
    <row r="1" spans="1:46" ht="14.95" customHeight="1" thickBot="1" x14ac:dyDescent="0.3">
      <c r="A1" s="1288" t="s">
        <v>322</v>
      </c>
      <c r="B1" s="1289"/>
      <c r="C1" s="1290"/>
      <c r="D1" s="101"/>
      <c r="E1" s="1291" t="s">
        <v>24</v>
      </c>
      <c r="F1" s="1292"/>
      <c r="G1" s="1293"/>
      <c r="H1" s="1291" t="s">
        <v>23</v>
      </c>
      <c r="I1" s="1293"/>
      <c r="J1" s="1285" t="s">
        <v>6</v>
      </c>
      <c r="K1" s="1286"/>
      <c r="L1" s="1286"/>
      <c r="M1" s="1287"/>
      <c r="N1" s="1285" t="s">
        <v>7</v>
      </c>
      <c r="O1" s="1287"/>
      <c r="P1" s="1285" t="s">
        <v>25</v>
      </c>
      <c r="Q1" s="1286"/>
      <c r="R1" s="1287"/>
      <c r="S1" s="199" t="s">
        <v>8</v>
      </c>
      <c r="T1" s="199" t="s">
        <v>9</v>
      </c>
      <c r="U1" s="68" t="s">
        <v>10</v>
      </c>
      <c r="V1" s="67" t="s">
        <v>11</v>
      </c>
      <c r="W1" s="68" t="s">
        <v>26</v>
      </c>
      <c r="X1" s="67" t="s">
        <v>27</v>
      </c>
      <c r="Y1" s="1284" t="s">
        <v>20</v>
      </c>
      <c r="Z1" s="1177"/>
      <c r="AA1" s="1177"/>
      <c r="AB1" s="1178"/>
      <c r="AC1" s="1284" t="s">
        <v>61</v>
      </c>
      <c r="AD1" s="1177"/>
      <c r="AE1" s="1177"/>
      <c r="AF1" s="1178"/>
      <c r="AG1" s="1284" t="s">
        <v>62</v>
      </c>
      <c r="AH1" s="1177"/>
      <c r="AI1" s="1177"/>
      <c r="AJ1" s="1178"/>
      <c r="AK1" s="1284" t="s">
        <v>63</v>
      </c>
      <c r="AL1" s="1177"/>
      <c r="AM1" s="1177"/>
      <c r="AN1" s="1178"/>
      <c r="AP1" s="443" t="s">
        <v>195</v>
      </c>
      <c r="AQ1" s="218"/>
      <c r="AR1" s="218"/>
      <c r="AS1" s="443" t="s">
        <v>195</v>
      </c>
    </row>
    <row r="2" spans="1:46" ht="14.95" customHeight="1" thickBot="1" x14ac:dyDescent="0.3">
      <c r="A2" s="69" t="s">
        <v>19</v>
      </c>
      <c r="B2" s="70" t="s">
        <v>18</v>
      </c>
      <c r="C2" s="71" t="s">
        <v>17</v>
      </c>
      <c r="D2" s="72" t="s">
        <v>41</v>
      </c>
      <c r="E2" s="72" t="s">
        <v>16</v>
      </c>
      <c r="F2" s="72" t="s">
        <v>4</v>
      </c>
      <c r="G2" s="72" t="s">
        <v>5</v>
      </c>
      <c r="H2" s="73" t="s">
        <v>12</v>
      </c>
      <c r="I2" s="73" t="s">
        <v>3</v>
      </c>
      <c r="J2" s="73" t="s">
        <v>12</v>
      </c>
      <c r="K2" s="73" t="s">
        <v>13</v>
      </c>
      <c r="L2" s="73" t="s">
        <v>2</v>
      </c>
      <c r="M2" s="73" t="s">
        <v>14</v>
      </c>
      <c r="N2" s="73" t="s">
        <v>15</v>
      </c>
      <c r="O2" s="73" t="s">
        <v>16</v>
      </c>
      <c r="P2" s="73" t="s">
        <v>21</v>
      </c>
      <c r="Q2" s="73" t="s">
        <v>22</v>
      </c>
      <c r="R2" s="73" t="s">
        <v>12</v>
      </c>
      <c r="S2" s="74"/>
      <c r="T2" s="75"/>
      <c r="U2" s="76"/>
      <c r="V2" s="74"/>
      <c r="W2" s="76"/>
      <c r="X2" s="111"/>
      <c r="Y2" s="245" t="s">
        <v>0</v>
      </c>
      <c r="Z2" s="245" t="s">
        <v>1</v>
      </c>
      <c r="AA2" s="245" t="s">
        <v>2</v>
      </c>
      <c r="AB2" s="245" t="s">
        <v>3</v>
      </c>
      <c r="AC2" s="245" t="s">
        <v>0</v>
      </c>
      <c r="AD2" s="245" t="s">
        <v>1</v>
      </c>
      <c r="AE2" s="245" t="s">
        <v>2</v>
      </c>
      <c r="AF2" s="245" t="s">
        <v>3</v>
      </c>
      <c r="AG2" s="245" t="s">
        <v>0</v>
      </c>
      <c r="AH2" s="245" t="s">
        <v>1</v>
      </c>
      <c r="AI2" s="245" t="s">
        <v>2</v>
      </c>
      <c r="AJ2" s="245" t="s">
        <v>3</v>
      </c>
      <c r="AK2" s="245" t="s">
        <v>0</v>
      </c>
      <c r="AL2" s="245" t="s">
        <v>1</v>
      </c>
      <c r="AM2" s="245" t="s">
        <v>2</v>
      </c>
      <c r="AN2" s="245" t="s">
        <v>3</v>
      </c>
      <c r="AP2" s="205" t="s">
        <v>81</v>
      </c>
      <c r="AQ2" s="138"/>
      <c r="AS2" s="206" t="s">
        <v>99</v>
      </c>
      <c r="AT2" s="138"/>
    </row>
    <row r="3" spans="1:46" ht="14.95" customHeight="1" thickBot="1" x14ac:dyDescent="0.35">
      <c r="A3" s="363" t="s">
        <v>282</v>
      </c>
      <c r="B3" s="344" t="s">
        <v>183</v>
      </c>
      <c r="C3" s="290" t="s">
        <v>173</v>
      </c>
      <c r="D3" s="300" t="s">
        <v>174</v>
      </c>
      <c r="E3" s="291" t="s">
        <v>1</v>
      </c>
      <c r="F3" s="291">
        <v>48</v>
      </c>
      <c r="G3" s="291">
        <v>10</v>
      </c>
      <c r="H3" s="692">
        <v>1</v>
      </c>
      <c r="I3" s="692">
        <v>0</v>
      </c>
      <c r="J3" s="692">
        <v>6</v>
      </c>
      <c r="K3" s="692">
        <v>5</v>
      </c>
      <c r="L3" s="692">
        <v>0</v>
      </c>
      <c r="M3" s="692">
        <v>2</v>
      </c>
      <c r="N3" s="692">
        <v>0</v>
      </c>
      <c r="O3" s="692">
        <v>0</v>
      </c>
      <c r="P3" s="692">
        <v>0</v>
      </c>
      <c r="Q3" s="692">
        <v>0</v>
      </c>
      <c r="R3" s="692">
        <v>1</v>
      </c>
      <c r="S3" s="292">
        <v>4200</v>
      </c>
      <c r="T3" s="302" t="s">
        <v>213</v>
      </c>
      <c r="U3" s="294" t="s">
        <v>324</v>
      </c>
      <c r="V3" s="292" t="s">
        <v>157</v>
      </c>
      <c r="W3" s="294" t="s">
        <v>335</v>
      </c>
      <c r="X3" s="296" t="s">
        <v>336</v>
      </c>
      <c r="Y3" s="716">
        <v>1</v>
      </c>
      <c r="Z3" s="716">
        <v>1</v>
      </c>
      <c r="AA3" s="716">
        <v>0</v>
      </c>
      <c r="AB3" s="717">
        <v>0</v>
      </c>
      <c r="AC3" s="716">
        <v>1</v>
      </c>
      <c r="AD3" s="716">
        <v>1</v>
      </c>
      <c r="AE3" s="716">
        <v>0</v>
      </c>
      <c r="AF3" s="717">
        <v>0</v>
      </c>
      <c r="AG3" s="716">
        <v>0</v>
      </c>
      <c r="AH3" s="716">
        <v>0</v>
      </c>
      <c r="AI3" s="716">
        <v>0</v>
      </c>
      <c r="AJ3" s="717">
        <v>0</v>
      </c>
      <c r="AK3" s="716">
        <v>0</v>
      </c>
      <c r="AL3" s="716">
        <v>0</v>
      </c>
      <c r="AM3" s="716">
        <v>0</v>
      </c>
      <c r="AN3" s="717">
        <v>0</v>
      </c>
      <c r="AP3" s="214" t="s">
        <v>101</v>
      </c>
      <c r="AQ3" s="215">
        <f>Romaniaalltestshistplayed</f>
        <v>508</v>
      </c>
      <c r="AS3" s="214" t="s">
        <v>101</v>
      </c>
      <c r="AT3" s="215">
        <f>Romaniarwchistplayed</f>
        <v>32</v>
      </c>
    </row>
    <row r="4" spans="1:46" ht="14.95" customHeight="1" thickBot="1" x14ac:dyDescent="0.35">
      <c r="A4" s="384" t="s">
        <v>284</v>
      </c>
      <c r="B4" s="282" t="s">
        <v>183</v>
      </c>
      <c r="C4" s="270" t="s">
        <v>171</v>
      </c>
      <c r="D4" s="269" t="s">
        <v>348</v>
      </c>
      <c r="E4" s="271" t="s">
        <v>1</v>
      </c>
      <c r="F4" s="271">
        <v>31</v>
      </c>
      <c r="G4" s="271">
        <v>14</v>
      </c>
      <c r="H4" s="691">
        <v>0</v>
      </c>
      <c r="I4" s="691">
        <v>0</v>
      </c>
      <c r="J4" s="691">
        <v>3</v>
      </c>
      <c r="K4" s="691">
        <v>2</v>
      </c>
      <c r="L4" s="691">
        <v>0</v>
      </c>
      <c r="M4" s="691">
        <v>4</v>
      </c>
      <c r="N4" s="691">
        <v>2</v>
      </c>
      <c r="O4" s="691">
        <v>0</v>
      </c>
      <c r="P4" s="691">
        <v>0</v>
      </c>
      <c r="Q4" s="691">
        <v>0</v>
      </c>
      <c r="R4" s="691">
        <v>2</v>
      </c>
      <c r="S4" s="277">
        <v>5400</v>
      </c>
      <c r="T4" s="278" t="s">
        <v>350</v>
      </c>
      <c r="U4" s="279" t="s">
        <v>175</v>
      </c>
      <c r="V4" s="277" t="s">
        <v>157</v>
      </c>
      <c r="W4" s="273" t="s">
        <v>351</v>
      </c>
      <c r="X4" s="280" t="s">
        <v>352</v>
      </c>
      <c r="Y4" s="718">
        <v>1</v>
      </c>
      <c r="Z4" s="718">
        <v>1</v>
      </c>
      <c r="AA4" s="718">
        <v>0</v>
      </c>
      <c r="AB4" s="719">
        <v>0</v>
      </c>
      <c r="AC4" s="718">
        <v>0</v>
      </c>
      <c r="AD4" s="718">
        <v>0</v>
      </c>
      <c r="AE4" s="718">
        <v>0</v>
      </c>
      <c r="AF4" s="719">
        <v>0</v>
      </c>
      <c r="AG4" s="718">
        <v>1</v>
      </c>
      <c r="AH4" s="718">
        <v>1</v>
      </c>
      <c r="AI4" s="718">
        <v>0</v>
      </c>
      <c r="AJ4" s="719">
        <v>0</v>
      </c>
      <c r="AK4" s="718">
        <v>0</v>
      </c>
      <c r="AL4" s="718">
        <v>0</v>
      </c>
      <c r="AM4" s="718">
        <v>0</v>
      </c>
      <c r="AN4" s="719">
        <v>0</v>
      </c>
      <c r="AP4" s="216" t="s">
        <v>102</v>
      </c>
      <c r="AQ4" s="217">
        <f>Romaniaalltestshistlost</f>
        <v>213</v>
      </c>
      <c r="AS4" s="216" t="s">
        <v>102</v>
      </c>
      <c r="AT4" s="217">
        <f>Romaniarwchistwon</f>
        <v>6</v>
      </c>
    </row>
    <row r="5" spans="1:46" ht="14.95" customHeight="1" thickBot="1" x14ac:dyDescent="0.3">
      <c r="A5" s="363" t="s">
        <v>363</v>
      </c>
      <c r="B5" s="344" t="s">
        <v>183</v>
      </c>
      <c r="C5" s="290" t="s">
        <v>96</v>
      </c>
      <c r="D5" s="300" t="s">
        <v>364</v>
      </c>
      <c r="E5" s="291" t="s">
        <v>3</v>
      </c>
      <c r="F5" s="291">
        <v>6</v>
      </c>
      <c r="G5" s="291">
        <v>34</v>
      </c>
      <c r="H5" s="692">
        <v>0</v>
      </c>
      <c r="I5" s="692">
        <v>0</v>
      </c>
      <c r="J5" s="692">
        <v>0</v>
      </c>
      <c r="K5" s="692">
        <v>0</v>
      </c>
      <c r="L5" s="692">
        <v>0</v>
      </c>
      <c r="M5" s="692">
        <v>2</v>
      </c>
      <c r="N5" s="692">
        <v>3</v>
      </c>
      <c r="O5" s="692">
        <v>0</v>
      </c>
      <c r="P5" s="692">
        <v>1</v>
      </c>
      <c r="Q5" s="692">
        <v>0</v>
      </c>
      <c r="R5" s="692">
        <v>5</v>
      </c>
      <c r="S5" s="292">
        <v>3000</v>
      </c>
      <c r="T5" s="293" t="s">
        <v>365</v>
      </c>
      <c r="U5" s="294" t="s">
        <v>277</v>
      </c>
      <c r="V5" s="292" t="s">
        <v>157</v>
      </c>
      <c r="W5" s="295" t="s">
        <v>366</v>
      </c>
      <c r="X5" s="296" t="s">
        <v>367</v>
      </c>
      <c r="Y5" s="716">
        <v>1</v>
      </c>
      <c r="Z5" s="716">
        <v>0</v>
      </c>
      <c r="AA5" s="716">
        <v>0</v>
      </c>
      <c r="AB5" s="717">
        <v>1</v>
      </c>
      <c r="AC5" s="716">
        <v>1</v>
      </c>
      <c r="AD5" s="716">
        <v>0</v>
      </c>
      <c r="AE5" s="716">
        <v>0</v>
      </c>
      <c r="AF5" s="717">
        <v>1</v>
      </c>
      <c r="AG5" s="716">
        <v>0</v>
      </c>
      <c r="AH5" s="716">
        <v>0</v>
      </c>
      <c r="AI5" s="716">
        <v>0</v>
      </c>
      <c r="AJ5" s="717">
        <v>0</v>
      </c>
      <c r="AK5" s="716">
        <v>0</v>
      </c>
      <c r="AL5" s="716">
        <v>0</v>
      </c>
      <c r="AM5" s="716">
        <v>0</v>
      </c>
      <c r="AN5" s="717">
        <v>0</v>
      </c>
      <c r="AP5" s="216" t="s">
        <v>107</v>
      </c>
      <c r="AQ5" s="217">
        <f>Romaniaalltestshistdrawn</f>
        <v>12</v>
      </c>
      <c r="AS5" s="216" t="s">
        <v>107</v>
      </c>
      <c r="AT5" s="217">
        <f>Romaniarwchistdrawn</f>
        <v>0</v>
      </c>
    </row>
    <row r="6" spans="1:46" ht="14.95" customHeight="1" thickBot="1" x14ac:dyDescent="0.3">
      <c r="A6" s="384" t="s">
        <v>219</v>
      </c>
      <c r="B6" s="282" t="s">
        <v>221</v>
      </c>
      <c r="C6" s="270" t="s">
        <v>38</v>
      </c>
      <c r="D6" s="269" t="s">
        <v>176</v>
      </c>
      <c r="E6" s="271" t="s">
        <v>3</v>
      </c>
      <c r="F6" s="271">
        <v>5</v>
      </c>
      <c r="G6" s="271">
        <v>43</v>
      </c>
      <c r="H6" s="691" t="s">
        <v>80</v>
      </c>
      <c r="I6" s="691" t="s">
        <v>80</v>
      </c>
      <c r="J6" s="691">
        <v>1</v>
      </c>
      <c r="K6" s="691">
        <v>0</v>
      </c>
      <c r="L6" s="691">
        <v>0</v>
      </c>
      <c r="M6" s="691">
        <v>0</v>
      </c>
      <c r="N6" s="691">
        <v>0</v>
      </c>
      <c r="O6" s="691">
        <v>0</v>
      </c>
      <c r="P6" s="691" t="s">
        <v>80</v>
      </c>
      <c r="Q6" s="691" t="s">
        <v>80</v>
      </c>
      <c r="R6" s="691">
        <v>7</v>
      </c>
      <c r="S6" s="277">
        <v>2975</v>
      </c>
      <c r="T6" s="281" t="s">
        <v>383</v>
      </c>
      <c r="U6" s="279" t="s">
        <v>273</v>
      </c>
      <c r="V6" s="277" t="s">
        <v>178</v>
      </c>
      <c r="W6" s="273" t="s">
        <v>372</v>
      </c>
      <c r="X6" s="280" t="s">
        <v>382</v>
      </c>
      <c r="Y6" s="718">
        <v>1</v>
      </c>
      <c r="Z6" s="718">
        <v>0</v>
      </c>
      <c r="AA6" s="718">
        <v>0</v>
      </c>
      <c r="AB6" s="719">
        <v>1</v>
      </c>
      <c r="AC6" s="718">
        <v>0</v>
      </c>
      <c r="AD6" s="718">
        <v>0</v>
      </c>
      <c r="AE6" s="718">
        <v>0</v>
      </c>
      <c r="AF6" s="719">
        <v>0</v>
      </c>
      <c r="AG6" s="718">
        <v>1</v>
      </c>
      <c r="AH6" s="718">
        <v>0</v>
      </c>
      <c r="AI6" s="718">
        <v>0</v>
      </c>
      <c r="AJ6" s="719">
        <v>1</v>
      </c>
      <c r="AK6" s="718">
        <v>0</v>
      </c>
      <c r="AL6" s="718">
        <v>0</v>
      </c>
      <c r="AM6" s="718">
        <v>0</v>
      </c>
      <c r="AN6" s="719">
        <v>0</v>
      </c>
      <c r="AP6" s="216" t="s">
        <v>103</v>
      </c>
      <c r="AQ6" s="217">
        <f>Romaniaalltestshistlost</f>
        <v>213</v>
      </c>
      <c r="AS6" s="216" t="s">
        <v>103</v>
      </c>
      <c r="AT6" s="217">
        <f>Romaniarwchistlost</f>
        <v>26</v>
      </c>
    </row>
    <row r="7" spans="1:46" ht="14.95" customHeight="1" thickBot="1" x14ac:dyDescent="0.35">
      <c r="A7" s="384" t="s">
        <v>387</v>
      </c>
      <c r="B7" s="282" t="s">
        <v>223</v>
      </c>
      <c r="C7" s="270" t="s">
        <v>96</v>
      </c>
      <c r="D7" s="269" t="s">
        <v>380</v>
      </c>
      <c r="E7" s="271" t="s">
        <v>1</v>
      </c>
      <c r="F7" s="271">
        <v>21</v>
      </c>
      <c r="G7" s="271">
        <v>7</v>
      </c>
      <c r="H7" s="691" t="s">
        <v>80</v>
      </c>
      <c r="I7" s="691" t="s">
        <v>80</v>
      </c>
      <c r="J7" s="691">
        <v>2</v>
      </c>
      <c r="K7" s="691">
        <v>1</v>
      </c>
      <c r="L7" s="691">
        <v>0</v>
      </c>
      <c r="M7" s="691">
        <v>3</v>
      </c>
      <c r="N7" s="691">
        <v>1</v>
      </c>
      <c r="O7" s="691">
        <v>0</v>
      </c>
      <c r="P7" s="691" t="s">
        <v>80</v>
      </c>
      <c r="Q7" s="691" t="s">
        <v>80</v>
      </c>
      <c r="R7" s="691">
        <v>1</v>
      </c>
      <c r="S7" s="277">
        <v>600</v>
      </c>
      <c r="T7" s="278" t="s">
        <v>396</v>
      </c>
      <c r="U7" s="279" t="s">
        <v>278</v>
      </c>
      <c r="V7" s="277" t="s">
        <v>157</v>
      </c>
      <c r="W7" s="273" t="s">
        <v>334</v>
      </c>
      <c r="X7" s="280" t="s">
        <v>394</v>
      </c>
      <c r="Y7" s="718">
        <v>1</v>
      </c>
      <c r="Z7" s="718">
        <v>1</v>
      </c>
      <c r="AA7" s="718">
        <v>0</v>
      </c>
      <c r="AB7" s="719">
        <v>0</v>
      </c>
      <c r="AC7" s="718">
        <v>0</v>
      </c>
      <c r="AD7" s="718">
        <v>0</v>
      </c>
      <c r="AE7" s="718">
        <v>0</v>
      </c>
      <c r="AF7" s="719">
        <v>0</v>
      </c>
      <c r="AG7" s="718">
        <v>1</v>
      </c>
      <c r="AH7" s="718">
        <v>1</v>
      </c>
      <c r="AI7" s="718">
        <v>0</v>
      </c>
      <c r="AJ7" s="719">
        <v>0</v>
      </c>
      <c r="AK7" s="718">
        <v>0</v>
      </c>
      <c r="AL7" s="718">
        <v>0</v>
      </c>
      <c r="AM7" s="718">
        <v>0</v>
      </c>
      <c r="AN7" s="719">
        <v>0</v>
      </c>
      <c r="AP7" s="216" t="s">
        <v>108</v>
      </c>
      <c r="AQ7" s="217">
        <f>Romaniaalltestshistptsscored</f>
        <v>11382</v>
      </c>
      <c r="AS7" s="216" t="s">
        <v>108</v>
      </c>
      <c r="AT7" s="217">
        <f>Romaniarwchistptsscored</f>
        <v>397</v>
      </c>
    </row>
    <row r="8" spans="1:46" ht="14.95" customHeight="1" thickBot="1" x14ac:dyDescent="0.3">
      <c r="A8" s="384" t="s">
        <v>229</v>
      </c>
      <c r="B8" s="282" t="s">
        <v>45</v>
      </c>
      <c r="C8" s="270" t="s">
        <v>150</v>
      </c>
      <c r="D8" s="269" t="s">
        <v>423</v>
      </c>
      <c r="E8" s="271" t="s">
        <v>3</v>
      </c>
      <c r="F8" s="271">
        <v>16</v>
      </c>
      <c r="G8" s="271">
        <v>40</v>
      </c>
      <c r="H8" s="691" t="s">
        <v>80</v>
      </c>
      <c r="I8" s="691" t="s">
        <v>80</v>
      </c>
      <c r="J8" s="691">
        <v>1</v>
      </c>
      <c r="K8" s="691">
        <v>1</v>
      </c>
      <c r="L8" s="691">
        <v>0</v>
      </c>
      <c r="M8" s="691">
        <v>3</v>
      </c>
      <c r="N8" s="691">
        <v>1</v>
      </c>
      <c r="O8" s="691">
        <v>0</v>
      </c>
      <c r="P8" s="691" t="s">
        <v>80</v>
      </c>
      <c r="Q8" s="691" t="s">
        <v>80</v>
      </c>
      <c r="R8" s="691">
        <v>5</v>
      </c>
      <c r="S8" s="277">
        <v>11432</v>
      </c>
      <c r="T8" s="281" t="s">
        <v>428</v>
      </c>
      <c r="U8" s="279" t="s">
        <v>425</v>
      </c>
      <c r="V8" s="277" t="s">
        <v>427</v>
      </c>
      <c r="W8" s="273" t="s">
        <v>426</v>
      </c>
      <c r="X8" s="280" t="s">
        <v>531</v>
      </c>
      <c r="Y8" s="718">
        <v>1</v>
      </c>
      <c r="Z8" s="718">
        <v>0</v>
      </c>
      <c r="AA8" s="718">
        <v>0</v>
      </c>
      <c r="AB8" s="719">
        <v>1</v>
      </c>
      <c r="AC8" s="718">
        <v>0</v>
      </c>
      <c r="AD8" s="718">
        <v>0</v>
      </c>
      <c r="AE8" s="718">
        <v>0</v>
      </c>
      <c r="AF8" s="719">
        <v>0</v>
      </c>
      <c r="AG8" s="718">
        <v>1</v>
      </c>
      <c r="AH8" s="718">
        <v>0</v>
      </c>
      <c r="AI8" s="718">
        <v>0</v>
      </c>
      <c r="AJ8" s="719">
        <v>1</v>
      </c>
      <c r="AK8" s="718">
        <v>0</v>
      </c>
      <c r="AL8" s="718">
        <v>0</v>
      </c>
      <c r="AM8" s="718">
        <v>0</v>
      </c>
      <c r="AN8" s="719">
        <v>0</v>
      </c>
      <c r="AP8" s="216" t="s">
        <v>109</v>
      </c>
      <c r="AQ8" s="217">
        <f>Romaniaalltestshistptscocn</f>
        <v>9803</v>
      </c>
      <c r="AS8" s="216" t="s">
        <v>109</v>
      </c>
      <c r="AT8" s="217">
        <f>Romaniarwchistptsconc</f>
        <v>1355</v>
      </c>
    </row>
    <row r="9" spans="1:46" ht="14.95" customHeight="1" thickBot="1" x14ac:dyDescent="0.3">
      <c r="A9" s="384" t="s">
        <v>232</v>
      </c>
      <c r="B9" s="282" t="s">
        <v>45</v>
      </c>
      <c r="C9" s="270" t="s">
        <v>79</v>
      </c>
      <c r="D9" s="269" t="s">
        <v>457</v>
      </c>
      <c r="E9" s="271" t="s">
        <v>3</v>
      </c>
      <c r="F9" s="271">
        <v>8</v>
      </c>
      <c r="G9" s="271">
        <v>70</v>
      </c>
      <c r="H9" s="691" t="s">
        <v>80</v>
      </c>
      <c r="I9" s="691" t="s">
        <v>80</v>
      </c>
      <c r="J9" s="691">
        <v>1</v>
      </c>
      <c r="K9" s="691">
        <v>0</v>
      </c>
      <c r="L9" s="691">
        <v>0</v>
      </c>
      <c r="M9" s="691">
        <v>1</v>
      </c>
      <c r="N9" s="691">
        <v>2</v>
      </c>
      <c r="O9" s="691">
        <v>0</v>
      </c>
      <c r="P9" s="691" t="s">
        <v>80</v>
      </c>
      <c r="Q9" s="691" t="s">
        <v>80</v>
      </c>
      <c r="R9" s="691">
        <v>11</v>
      </c>
      <c r="S9" s="277">
        <v>4250</v>
      </c>
      <c r="T9" s="281" t="s">
        <v>461</v>
      </c>
      <c r="U9" s="279" t="s">
        <v>186</v>
      </c>
      <c r="V9" s="277" t="s">
        <v>459</v>
      </c>
      <c r="W9" s="273" t="s">
        <v>252</v>
      </c>
      <c r="X9" s="280" t="s">
        <v>460</v>
      </c>
      <c r="Y9" s="718">
        <v>1</v>
      </c>
      <c r="Z9" s="718">
        <v>0</v>
      </c>
      <c r="AA9" s="718">
        <v>0</v>
      </c>
      <c r="AB9" s="719">
        <v>1</v>
      </c>
      <c r="AC9" s="718">
        <v>0</v>
      </c>
      <c r="AD9" s="718">
        <v>0</v>
      </c>
      <c r="AE9" s="718">
        <v>0</v>
      </c>
      <c r="AF9" s="719">
        <v>0</v>
      </c>
      <c r="AG9" s="718">
        <v>1</v>
      </c>
      <c r="AH9" s="718">
        <v>0</v>
      </c>
      <c r="AI9" s="718">
        <v>0</v>
      </c>
      <c r="AJ9" s="719">
        <v>1</v>
      </c>
      <c r="AK9" s="718">
        <v>0</v>
      </c>
      <c r="AL9" s="718">
        <v>0</v>
      </c>
      <c r="AM9" s="718">
        <v>0</v>
      </c>
      <c r="AN9" s="719">
        <v>0</v>
      </c>
      <c r="AP9" s="216" t="s">
        <v>100</v>
      </c>
      <c r="AQ9" s="217">
        <f>Romaniaalltestshisttriesscored</f>
        <v>1026</v>
      </c>
      <c r="AS9" s="216" t="s">
        <v>100</v>
      </c>
      <c r="AT9" s="217">
        <f>Romaniarwchisttriesscored</f>
        <v>44</v>
      </c>
    </row>
    <row r="10" spans="1:46" ht="14.95" customHeight="1" thickBot="1" x14ac:dyDescent="0.35">
      <c r="A10" s="363" t="s">
        <v>263</v>
      </c>
      <c r="B10" s="344" t="s">
        <v>45</v>
      </c>
      <c r="C10" s="290" t="s">
        <v>40</v>
      </c>
      <c r="D10" s="300" t="s">
        <v>174</v>
      </c>
      <c r="E10" s="291" t="s">
        <v>1</v>
      </c>
      <c r="F10" s="291">
        <v>31</v>
      </c>
      <c r="G10" s="291">
        <v>21</v>
      </c>
      <c r="H10" s="692" t="s">
        <v>80</v>
      </c>
      <c r="I10" s="692" t="s">
        <v>80</v>
      </c>
      <c r="J10" s="692">
        <v>3</v>
      </c>
      <c r="K10" s="692">
        <v>2</v>
      </c>
      <c r="L10" s="692">
        <v>0</v>
      </c>
      <c r="M10" s="692">
        <v>4</v>
      </c>
      <c r="N10" s="692">
        <v>0</v>
      </c>
      <c r="O10" s="692">
        <v>0</v>
      </c>
      <c r="P10" s="692" t="s">
        <v>80</v>
      </c>
      <c r="Q10" s="692" t="s">
        <v>80</v>
      </c>
      <c r="R10" s="692">
        <v>3</v>
      </c>
      <c r="S10" s="864" t="s">
        <v>828</v>
      </c>
      <c r="T10" s="302" t="s">
        <v>509</v>
      </c>
      <c r="U10" s="294" t="s">
        <v>781</v>
      </c>
      <c r="V10" s="292" t="s">
        <v>782</v>
      </c>
      <c r="W10" s="295" t="s">
        <v>280</v>
      </c>
      <c r="X10" s="296" t="s">
        <v>783</v>
      </c>
      <c r="Y10" s="716">
        <v>1</v>
      </c>
      <c r="Z10" s="716">
        <v>1</v>
      </c>
      <c r="AA10" s="716">
        <v>0</v>
      </c>
      <c r="AB10" s="717">
        <v>0</v>
      </c>
      <c r="AC10" s="716">
        <v>1</v>
      </c>
      <c r="AD10" s="716">
        <v>1</v>
      </c>
      <c r="AE10" s="716">
        <v>0</v>
      </c>
      <c r="AF10" s="717">
        <v>0</v>
      </c>
      <c r="AG10" s="716">
        <v>0</v>
      </c>
      <c r="AH10" s="716">
        <v>0</v>
      </c>
      <c r="AI10" s="716">
        <v>0</v>
      </c>
      <c r="AJ10" s="717">
        <v>0</v>
      </c>
      <c r="AK10" s="716">
        <v>0</v>
      </c>
      <c r="AL10" s="716">
        <v>0</v>
      </c>
      <c r="AM10" s="716">
        <v>0</v>
      </c>
      <c r="AN10" s="717">
        <v>0</v>
      </c>
    </row>
    <row r="11" spans="1:46" ht="14.95" thickBot="1" x14ac:dyDescent="0.3">
      <c r="A11" s="304" t="s">
        <v>264</v>
      </c>
      <c r="B11" s="305" t="s">
        <v>799</v>
      </c>
      <c r="C11" s="290" t="s">
        <v>60</v>
      </c>
      <c r="D11" s="300" t="s">
        <v>174</v>
      </c>
      <c r="E11" s="291" t="s">
        <v>3</v>
      </c>
      <c r="F11" s="291">
        <v>18</v>
      </c>
      <c r="G11" s="291">
        <v>26</v>
      </c>
      <c r="H11" s="692" t="s">
        <v>80</v>
      </c>
      <c r="I11" s="692" t="s">
        <v>80</v>
      </c>
      <c r="J11" s="692">
        <v>2</v>
      </c>
      <c r="K11" s="692">
        <v>0</v>
      </c>
      <c r="L11" s="692">
        <v>0</v>
      </c>
      <c r="M11" s="692">
        <v>2</v>
      </c>
      <c r="N11" s="692">
        <v>0</v>
      </c>
      <c r="O11" s="692">
        <v>0</v>
      </c>
      <c r="P11" s="692" t="s">
        <v>80</v>
      </c>
      <c r="Q11" s="692" t="s">
        <v>80</v>
      </c>
      <c r="R11" s="692">
        <v>2</v>
      </c>
      <c r="S11" s="864" t="s">
        <v>829</v>
      </c>
      <c r="T11" s="293" t="s">
        <v>795</v>
      </c>
      <c r="U11" s="294" t="s">
        <v>254</v>
      </c>
      <c r="V11" s="292" t="s">
        <v>168</v>
      </c>
      <c r="W11" s="295" t="s">
        <v>278</v>
      </c>
      <c r="X11" s="296" t="s">
        <v>273</v>
      </c>
      <c r="Y11" s="295">
        <v>1</v>
      </c>
      <c r="Z11" s="295">
        <v>0</v>
      </c>
      <c r="AA11" s="295">
        <v>0</v>
      </c>
      <c r="AB11" s="307">
        <v>1</v>
      </c>
      <c r="AC11" s="295">
        <v>1</v>
      </c>
      <c r="AD11" s="295">
        <v>0</v>
      </c>
      <c r="AE11" s="295">
        <v>0</v>
      </c>
      <c r="AF11" s="307">
        <v>1</v>
      </c>
      <c r="AG11" s="295">
        <v>0</v>
      </c>
      <c r="AH11" s="295">
        <v>0</v>
      </c>
      <c r="AI11" s="295">
        <v>0</v>
      </c>
      <c r="AJ11" s="307">
        <v>0</v>
      </c>
      <c r="AK11" s="295">
        <v>0</v>
      </c>
      <c r="AL11" s="295">
        <v>0</v>
      </c>
      <c r="AM11" s="295">
        <v>0</v>
      </c>
      <c r="AN11" s="307">
        <v>0</v>
      </c>
    </row>
    <row r="12" spans="1:46" ht="14.95" thickBot="1" x14ac:dyDescent="0.3">
      <c r="A12" s="304" t="s">
        <v>266</v>
      </c>
      <c r="B12" s="305" t="s">
        <v>45</v>
      </c>
      <c r="C12" s="290" t="s">
        <v>79</v>
      </c>
      <c r="D12" s="300" t="s">
        <v>174</v>
      </c>
      <c r="E12" s="291" t="s">
        <v>3</v>
      </c>
      <c r="F12" s="291">
        <v>21</v>
      </c>
      <c r="G12" s="291">
        <v>31</v>
      </c>
      <c r="H12" s="692" t="s">
        <v>80</v>
      </c>
      <c r="I12" s="692" t="s">
        <v>80</v>
      </c>
      <c r="J12" s="692">
        <v>3</v>
      </c>
      <c r="K12" s="692">
        <v>3</v>
      </c>
      <c r="L12" s="692">
        <v>0</v>
      </c>
      <c r="M12" s="692">
        <v>0</v>
      </c>
      <c r="N12" s="692">
        <v>2</v>
      </c>
      <c r="O12" s="692">
        <v>0</v>
      </c>
      <c r="P12" s="692" t="s">
        <v>80</v>
      </c>
      <c r="Q12" s="692" t="s">
        <v>80</v>
      </c>
      <c r="R12" s="692">
        <v>4</v>
      </c>
      <c r="S12" s="864" t="s">
        <v>830</v>
      </c>
      <c r="T12" s="293" t="s">
        <v>670</v>
      </c>
      <c r="U12" s="294" t="s">
        <v>585</v>
      </c>
      <c r="V12" s="292" t="s">
        <v>782</v>
      </c>
      <c r="W12" s="292" t="s">
        <v>781</v>
      </c>
      <c r="X12" s="296" t="s">
        <v>777</v>
      </c>
      <c r="Y12" s="295">
        <v>1</v>
      </c>
      <c r="Z12" s="295">
        <v>0</v>
      </c>
      <c r="AA12" s="295">
        <v>0</v>
      </c>
      <c r="AB12" s="307">
        <v>1</v>
      </c>
      <c r="AC12" s="295">
        <v>1</v>
      </c>
      <c r="AD12" s="295">
        <v>0</v>
      </c>
      <c r="AE12" s="295">
        <v>0</v>
      </c>
      <c r="AF12" s="307">
        <v>1</v>
      </c>
      <c r="AG12" s="295">
        <v>0</v>
      </c>
      <c r="AH12" s="295">
        <v>0</v>
      </c>
      <c r="AI12" s="295">
        <v>0</v>
      </c>
      <c r="AJ12" s="307">
        <v>0</v>
      </c>
      <c r="AK12" s="295">
        <v>0</v>
      </c>
      <c r="AL12" s="295">
        <v>0</v>
      </c>
      <c r="AM12" s="295">
        <v>0</v>
      </c>
      <c r="AN12" s="307">
        <v>0</v>
      </c>
    </row>
    <row r="13" spans="1:46" ht="14.95" thickBot="1" x14ac:dyDescent="0.3">
      <c r="A13" s="179"/>
      <c r="B13" s="180"/>
      <c r="C13" s="1272" t="s">
        <v>83</v>
      </c>
      <c r="D13" s="1282"/>
      <c r="E13" s="1283"/>
      <c r="F13" s="474">
        <f>SUM(F3:F7)</f>
        <v>111</v>
      </c>
      <c r="G13" s="474">
        <f t="shared" ref="G13:R13" si="0">SUM(G3:G7)</f>
        <v>108</v>
      </c>
      <c r="H13" s="474">
        <f t="shared" si="0"/>
        <v>1</v>
      </c>
      <c r="I13" s="474">
        <f t="shared" si="0"/>
        <v>0</v>
      </c>
      <c r="J13" s="474">
        <f t="shared" si="0"/>
        <v>12</v>
      </c>
      <c r="K13" s="474">
        <f t="shared" si="0"/>
        <v>8</v>
      </c>
      <c r="L13" s="474">
        <f t="shared" si="0"/>
        <v>0</v>
      </c>
      <c r="M13" s="474">
        <f t="shared" si="0"/>
        <v>11</v>
      </c>
      <c r="N13" s="474">
        <f t="shared" si="0"/>
        <v>6</v>
      </c>
      <c r="O13" s="474">
        <f t="shared" si="0"/>
        <v>0</v>
      </c>
      <c r="P13" s="474">
        <f t="shared" si="0"/>
        <v>1</v>
      </c>
      <c r="Q13" s="474">
        <f t="shared" si="0"/>
        <v>0</v>
      </c>
      <c r="R13" s="474">
        <f t="shared" si="0"/>
        <v>16</v>
      </c>
      <c r="W13" s="175"/>
      <c r="X13" s="250" t="s">
        <v>83</v>
      </c>
      <c r="Y13" s="178">
        <f t="shared" ref="Y13:AN13" si="1">SUM(Y3:Y7)</f>
        <v>5</v>
      </c>
      <c r="Z13" s="178">
        <f t="shared" si="1"/>
        <v>3</v>
      </c>
      <c r="AA13" s="178">
        <f t="shared" si="1"/>
        <v>0</v>
      </c>
      <c r="AB13" s="178">
        <f t="shared" si="1"/>
        <v>2</v>
      </c>
      <c r="AC13" s="176">
        <f t="shared" si="1"/>
        <v>2</v>
      </c>
      <c r="AD13" s="176">
        <f t="shared" si="1"/>
        <v>1</v>
      </c>
      <c r="AE13" s="176">
        <f t="shared" si="1"/>
        <v>0</v>
      </c>
      <c r="AF13" s="176">
        <f t="shared" si="1"/>
        <v>1</v>
      </c>
      <c r="AG13" s="177">
        <f t="shared" si="1"/>
        <v>3</v>
      </c>
      <c r="AH13" s="177">
        <f t="shared" si="1"/>
        <v>2</v>
      </c>
      <c r="AI13" s="177">
        <f t="shared" si="1"/>
        <v>0</v>
      </c>
      <c r="AJ13" s="177">
        <f t="shared" si="1"/>
        <v>1</v>
      </c>
      <c r="AK13" s="178">
        <f t="shared" si="1"/>
        <v>0</v>
      </c>
      <c r="AL13" s="178">
        <f t="shared" si="1"/>
        <v>0</v>
      </c>
      <c r="AM13" s="178">
        <f t="shared" si="1"/>
        <v>0</v>
      </c>
      <c r="AN13" s="178">
        <f t="shared" si="1"/>
        <v>0</v>
      </c>
    </row>
    <row r="14" spans="1:46" ht="14.95" thickBot="1" x14ac:dyDescent="0.3">
      <c r="A14" s="179"/>
      <c r="B14" s="180"/>
      <c r="C14" s="1078" t="s">
        <v>135</v>
      </c>
      <c r="D14" s="1098"/>
      <c r="E14" s="1099"/>
      <c r="F14" s="329">
        <f>SUM(F8:F12)</f>
        <v>94</v>
      </c>
      <c r="G14" s="329">
        <f>SUM(G8:G12)</f>
        <v>188</v>
      </c>
      <c r="H14" s="329" t="s">
        <v>80</v>
      </c>
      <c r="I14" s="329" t="s">
        <v>80</v>
      </c>
      <c r="J14" s="329">
        <f t="shared" ref="J14:O14" si="2">SUM(J8:J12)</f>
        <v>10</v>
      </c>
      <c r="K14" s="329">
        <f t="shared" si="2"/>
        <v>6</v>
      </c>
      <c r="L14" s="329">
        <f t="shared" si="2"/>
        <v>0</v>
      </c>
      <c r="M14" s="329">
        <f t="shared" si="2"/>
        <v>10</v>
      </c>
      <c r="N14" s="329">
        <f t="shared" si="2"/>
        <v>5</v>
      </c>
      <c r="O14" s="329">
        <f t="shared" si="2"/>
        <v>0</v>
      </c>
      <c r="P14" s="329" t="s">
        <v>80</v>
      </c>
      <c r="Q14" s="329" t="s">
        <v>80</v>
      </c>
      <c r="R14" s="329">
        <f>SUM(R8:R12)</f>
        <v>25</v>
      </c>
      <c r="S14" s="339"/>
      <c r="T14" s="339"/>
      <c r="U14" s="339"/>
      <c r="V14" s="339"/>
      <c r="W14" s="327"/>
      <c r="X14" s="334" t="s">
        <v>135</v>
      </c>
      <c r="Y14" s="329">
        <f t="shared" ref="Y14:AN14" si="3">SUM(Y8:Y12)</f>
        <v>5</v>
      </c>
      <c r="Z14" s="329">
        <f t="shared" si="3"/>
        <v>1</v>
      </c>
      <c r="AA14" s="329">
        <f t="shared" si="3"/>
        <v>0</v>
      </c>
      <c r="AB14" s="329">
        <f t="shared" si="3"/>
        <v>4</v>
      </c>
      <c r="AC14" s="330">
        <f t="shared" si="3"/>
        <v>3</v>
      </c>
      <c r="AD14" s="330">
        <f t="shared" si="3"/>
        <v>1</v>
      </c>
      <c r="AE14" s="330">
        <f t="shared" si="3"/>
        <v>0</v>
      </c>
      <c r="AF14" s="330">
        <f t="shared" si="3"/>
        <v>2</v>
      </c>
      <c r="AG14" s="331">
        <f t="shared" si="3"/>
        <v>2</v>
      </c>
      <c r="AH14" s="331">
        <f t="shared" si="3"/>
        <v>0</v>
      </c>
      <c r="AI14" s="331">
        <f t="shared" si="3"/>
        <v>0</v>
      </c>
      <c r="AJ14" s="331">
        <f t="shared" si="3"/>
        <v>2</v>
      </c>
      <c r="AK14" s="329">
        <f t="shared" si="3"/>
        <v>0</v>
      </c>
      <c r="AL14" s="329">
        <f t="shared" si="3"/>
        <v>0</v>
      </c>
      <c r="AM14" s="329">
        <f t="shared" si="3"/>
        <v>0</v>
      </c>
      <c r="AN14" s="329">
        <f t="shared" si="3"/>
        <v>0</v>
      </c>
    </row>
    <row r="15" spans="1:46" ht="14.95" thickBot="1" x14ac:dyDescent="0.3">
      <c r="A15" s="179"/>
      <c r="B15" s="180"/>
      <c r="C15" s="1087" t="s">
        <v>81</v>
      </c>
      <c r="D15" s="1088"/>
      <c r="E15" s="1089"/>
      <c r="F15" s="231">
        <f t="shared" ref="F15:R15" si="4">SUM(F3:F12)</f>
        <v>205</v>
      </c>
      <c r="G15" s="231">
        <f t="shared" si="4"/>
        <v>296</v>
      </c>
      <c r="H15" s="231">
        <f t="shared" si="4"/>
        <v>1</v>
      </c>
      <c r="I15" s="231">
        <f t="shared" si="4"/>
        <v>0</v>
      </c>
      <c r="J15" s="231">
        <f t="shared" si="4"/>
        <v>22</v>
      </c>
      <c r="K15" s="231">
        <f t="shared" si="4"/>
        <v>14</v>
      </c>
      <c r="L15" s="231">
        <f t="shared" si="4"/>
        <v>0</v>
      </c>
      <c r="M15" s="231">
        <f t="shared" si="4"/>
        <v>21</v>
      </c>
      <c r="N15" s="231">
        <f t="shared" si="4"/>
        <v>11</v>
      </c>
      <c r="O15" s="231">
        <f t="shared" si="4"/>
        <v>0</v>
      </c>
      <c r="P15" s="231">
        <f t="shared" si="4"/>
        <v>1</v>
      </c>
      <c r="Q15" s="231">
        <f t="shared" si="4"/>
        <v>0</v>
      </c>
      <c r="R15" s="231">
        <f t="shared" si="4"/>
        <v>41</v>
      </c>
      <c r="S15" s="228"/>
      <c r="T15" s="228"/>
      <c r="U15" s="228"/>
      <c r="V15" s="228"/>
      <c r="W15" s="13"/>
      <c r="X15" s="246" t="s">
        <v>81</v>
      </c>
      <c r="Y15" s="231">
        <f t="shared" ref="Y15:AN15" si="5">SUM(Y3:Y12)</f>
        <v>10</v>
      </c>
      <c r="Z15" s="231">
        <f t="shared" si="5"/>
        <v>4</v>
      </c>
      <c r="AA15" s="231">
        <f t="shared" si="5"/>
        <v>0</v>
      </c>
      <c r="AB15" s="231">
        <f t="shared" si="5"/>
        <v>6</v>
      </c>
      <c r="AC15" s="229">
        <f t="shared" si="5"/>
        <v>5</v>
      </c>
      <c r="AD15" s="229">
        <f t="shared" si="5"/>
        <v>2</v>
      </c>
      <c r="AE15" s="229">
        <f t="shared" si="5"/>
        <v>0</v>
      </c>
      <c r="AF15" s="229">
        <f t="shared" si="5"/>
        <v>3</v>
      </c>
      <c r="AG15" s="230">
        <f t="shared" si="5"/>
        <v>5</v>
      </c>
      <c r="AH15" s="230">
        <f t="shared" si="5"/>
        <v>2</v>
      </c>
      <c r="AI15" s="230">
        <f t="shared" si="5"/>
        <v>0</v>
      </c>
      <c r="AJ15" s="230">
        <f t="shared" si="5"/>
        <v>3</v>
      </c>
      <c r="AK15" s="231">
        <f t="shared" si="5"/>
        <v>0</v>
      </c>
      <c r="AL15" s="231">
        <f t="shared" si="5"/>
        <v>0</v>
      </c>
      <c r="AM15" s="231">
        <f t="shared" si="5"/>
        <v>0</v>
      </c>
      <c r="AN15" s="231">
        <f t="shared" si="5"/>
        <v>0</v>
      </c>
    </row>
    <row r="16" spans="1:46" x14ac:dyDescent="0.25">
      <c r="A16" s="179"/>
      <c r="B16" s="180"/>
      <c r="C16" s="402"/>
      <c r="D16" s="402"/>
      <c r="E16" s="402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4"/>
      <c r="T16" s="404"/>
      <c r="U16" s="404"/>
      <c r="V16" s="404"/>
      <c r="W16" s="13"/>
      <c r="X16" s="1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  <c r="AJ16" s="403"/>
      <c r="AK16" s="403"/>
      <c r="AL16" s="403"/>
      <c r="AM16" s="403"/>
      <c r="AN16" s="403"/>
    </row>
    <row r="17" spans="1:40" x14ac:dyDescent="0.25">
      <c r="A17" s="1108" t="s">
        <v>349</v>
      </c>
      <c r="B17" s="1063"/>
      <c r="C17" s="1063"/>
      <c r="D17" s="1063"/>
      <c r="E17" s="1063"/>
      <c r="F17" s="1063"/>
      <c r="G17" s="1063"/>
      <c r="H17" s="1063"/>
      <c r="I17" s="1063"/>
      <c r="J17" s="1063"/>
      <c r="K17" s="1063"/>
      <c r="L17" s="1063"/>
      <c r="M17" s="1063"/>
      <c r="N17" s="1063"/>
      <c r="O17" s="1063"/>
      <c r="P17" s="1063"/>
      <c r="Q17" s="1063"/>
      <c r="R17" s="1063"/>
      <c r="S17" s="1063"/>
      <c r="T17" s="1063"/>
      <c r="U17" s="1063"/>
      <c r="V17" s="1063"/>
      <c r="W17" s="1063"/>
      <c r="X17" s="1063"/>
      <c r="Y17" s="1063"/>
      <c r="Z17" s="1063"/>
      <c r="AA17" s="1063"/>
      <c r="AB17" s="1063"/>
      <c r="AC17" s="1063"/>
      <c r="AD17" s="1063"/>
      <c r="AE17" s="1063"/>
      <c r="AF17" s="1063"/>
      <c r="AG17" s="1063"/>
      <c r="AH17" s="1063"/>
      <c r="AI17" s="1063"/>
      <c r="AJ17" s="1063"/>
      <c r="AK17" s="1063"/>
      <c r="AL17" s="1063"/>
      <c r="AM17" s="1063"/>
      <c r="AN17" s="1063"/>
    </row>
    <row r="18" spans="1:40" x14ac:dyDescent="0.25">
      <c r="A18" t="s">
        <v>395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40" x14ac:dyDescent="0.25">
      <c r="A19" t="s">
        <v>549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t="s">
        <v>800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x14ac:dyDescent="0.25"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0" x14ac:dyDescent="0.25">
      <c r="A22" t="s">
        <v>794</v>
      </c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0" x14ac:dyDescent="0.25">
      <c r="A23" s="376"/>
      <c r="B23" t="s">
        <v>44</v>
      </c>
    </row>
    <row r="24" spans="1:40" x14ac:dyDescent="0.25">
      <c r="A24" s="377"/>
      <c r="B24" t="s">
        <v>42</v>
      </c>
    </row>
    <row r="25" spans="1:40" x14ac:dyDescent="0.25">
      <c r="A25" s="378"/>
      <c r="B25" t="s">
        <v>43</v>
      </c>
    </row>
    <row r="26" spans="1:40" ht="16.3" x14ac:dyDescent="0.3">
      <c r="A26" s="792" t="s">
        <v>28</v>
      </c>
    </row>
  </sheetData>
  <mergeCells count="14">
    <mergeCell ref="A17:AN17"/>
    <mergeCell ref="C13:E13"/>
    <mergeCell ref="C15:E15"/>
    <mergeCell ref="Y1:AB1"/>
    <mergeCell ref="AC1:AF1"/>
    <mergeCell ref="AG1:AJ1"/>
    <mergeCell ref="AK1:AN1"/>
    <mergeCell ref="C14:E14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  <ignoredErrors>
    <ignoredError sqref="C14:AN14 F13:AN13" formulaRange="1"/>
    <ignoredError sqref="T11:T12" twoDigitTextYear="1"/>
    <ignoredError sqref="S10:S12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U25"/>
  <sheetViews>
    <sheetView zoomScaleNormal="100" workbookViewId="0">
      <selection activeCell="U15" sqref="U15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1.375" customWidth="1"/>
    <col min="4" max="4" width="4.375" customWidth="1"/>
    <col min="5" max="18" width="3.625" customWidth="1"/>
    <col min="19" max="20" width="6.375" customWidth="1"/>
    <col min="21" max="21" width="22.125" bestFit="1" customWidth="1"/>
    <col min="22" max="22" width="28.375" bestFit="1" customWidth="1"/>
    <col min="23" max="23" width="17.625" bestFit="1" customWidth="1"/>
    <col min="24" max="24" width="20.25" bestFit="1" customWidth="1"/>
    <col min="25" max="25" width="19.25" bestFit="1" customWidth="1"/>
    <col min="26" max="41" width="3.625" customWidth="1"/>
    <col min="42" max="42" width="1.625" customWidth="1"/>
    <col min="43" max="43" width="13.125" bestFit="1" customWidth="1"/>
    <col min="45" max="45" width="1.625" customWidth="1"/>
    <col min="46" max="46" width="13.125" bestFit="1" customWidth="1"/>
  </cols>
  <sheetData>
    <row r="1" spans="1:47" ht="14.95" customHeight="1" thickBot="1" x14ac:dyDescent="0.3">
      <c r="A1" s="1300" t="s">
        <v>406</v>
      </c>
      <c r="B1" s="1301"/>
      <c r="C1" s="1301"/>
      <c r="D1" s="253"/>
      <c r="E1" s="1302" t="s">
        <v>24</v>
      </c>
      <c r="F1" s="1303"/>
      <c r="G1" s="1304"/>
      <c r="H1" s="1302" t="s">
        <v>23</v>
      </c>
      <c r="I1" s="1304"/>
      <c r="J1" s="1297" t="s">
        <v>6</v>
      </c>
      <c r="K1" s="1298"/>
      <c r="L1" s="1298"/>
      <c r="M1" s="1299"/>
      <c r="N1" s="1297" t="s">
        <v>7</v>
      </c>
      <c r="O1" s="1299"/>
      <c r="P1" s="1297" t="s">
        <v>25</v>
      </c>
      <c r="Q1" s="1298"/>
      <c r="R1" s="1299"/>
      <c r="S1" s="254" t="s">
        <v>8</v>
      </c>
      <c r="T1" s="254" t="s">
        <v>9</v>
      </c>
      <c r="U1" s="783" t="s">
        <v>10</v>
      </c>
      <c r="V1" s="254" t="s">
        <v>11</v>
      </c>
      <c r="W1" s="783" t="s">
        <v>211</v>
      </c>
      <c r="X1" s="790" t="s">
        <v>26</v>
      </c>
      <c r="Y1" s="791" t="s">
        <v>27</v>
      </c>
      <c r="Z1" s="1294" t="s">
        <v>20</v>
      </c>
      <c r="AA1" s="1194"/>
      <c r="AB1" s="1194"/>
      <c r="AC1" s="1195"/>
      <c r="AD1" s="1294" t="s">
        <v>61</v>
      </c>
      <c r="AE1" s="1194"/>
      <c r="AF1" s="1194"/>
      <c r="AG1" s="1195"/>
      <c r="AH1" s="1294" t="s">
        <v>62</v>
      </c>
      <c r="AI1" s="1194"/>
      <c r="AJ1" s="1194"/>
      <c r="AK1" s="1195"/>
      <c r="AL1" s="1294" t="s">
        <v>63</v>
      </c>
      <c r="AM1" s="1194"/>
      <c r="AN1" s="1194"/>
      <c r="AO1" s="1195"/>
      <c r="AQ1" s="224" t="s">
        <v>122</v>
      </c>
      <c r="AR1" s="218"/>
      <c r="AS1" s="218"/>
      <c r="AT1" s="224" t="s">
        <v>122</v>
      </c>
    </row>
    <row r="2" spans="1:47" ht="14.95" customHeight="1" thickBot="1" x14ac:dyDescent="0.3">
      <c r="A2" s="255" t="s">
        <v>19</v>
      </c>
      <c r="B2" s="256" t="s">
        <v>18</v>
      </c>
      <c r="C2" s="257" t="s">
        <v>17</v>
      </c>
      <c r="D2" s="258" t="s">
        <v>41</v>
      </c>
      <c r="E2" s="258" t="s">
        <v>16</v>
      </c>
      <c r="F2" s="258" t="s">
        <v>4</v>
      </c>
      <c r="G2" s="258" t="s">
        <v>5</v>
      </c>
      <c r="H2" s="259" t="s">
        <v>12</v>
      </c>
      <c r="I2" s="259" t="s">
        <v>3</v>
      </c>
      <c r="J2" s="259" t="s">
        <v>12</v>
      </c>
      <c r="K2" s="259" t="s">
        <v>13</v>
      </c>
      <c r="L2" s="259" t="s">
        <v>2</v>
      </c>
      <c r="M2" s="259" t="s">
        <v>14</v>
      </c>
      <c r="N2" s="259" t="s">
        <v>15</v>
      </c>
      <c r="O2" s="259" t="s">
        <v>16</v>
      </c>
      <c r="P2" s="259" t="s">
        <v>21</v>
      </c>
      <c r="Q2" s="259" t="s">
        <v>22</v>
      </c>
      <c r="R2" s="259" t="s">
        <v>12</v>
      </c>
      <c r="S2" s="260"/>
      <c r="T2" s="261"/>
      <c r="U2" s="262"/>
      <c r="V2" s="260"/>
      <c r="W2" s="262"/>
      <c r="X2" s="263"/>
      <c r="Y2" s="264"/>
      <c r="Z2" s="265" t="s">
        <v>0</v>
      </c>
      <c r="AA2" s="265" t="s">
        <v>1</v>
      </c>
      <c r="AB2" s="265" t="s">
        <v>2</v>
      </c>
      <c r="AC2" s="265" t="s">
        <v>3</v>
      </c>
      <c r="AD2" s="265" t="s">
        <v>0</v>
      </c>
      <c r="AE2" s="265" t="s">
        <v>1</v>
      </c>
      <c r="AF2" s="265" t="s">
        <v>2</v>
      </c>
      <c r="AG2" s="265" t="s">
        <v>3</v>
      </c>
      <c r="AH2" s="265" t="s">
        <v>0</v>
      </c>
      <c r="AI2" s="265" t="s">
        <v>1</v>
      </c>
      <c r="AJ2" s="265" t="s">
        <v>2</v>
      </c>
      <c r="AK2" s="265" t="s">
        <v>3</v>
      </c>
      <c r="AL2" s="265" t="s">
        <v>0</v>
      </c>
      <c r="AM2" s="265" t="s">
        <v>1</v>
      </c>
      <c r="AN2" s="265" t="s">
        <v>2</v>
      </c>
      <c r="AO2" s="265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">
      <c r="A3" s="318" t="s">
        <v>239</v>
      </c>
      <c r="B3" s="319" t="s">
        <v>45</v>
      </c>
      <c r="C3" s="319" t="s">
        <v>35</v>
      </c>
      <c r="D3" s="319" t="s">
        <v>495</v>
      </c>
      <c r="E3" s="314" t="s">
        <v>3</v>
      </c>
      <c r="F3" s="314">
        <v>12</v>
      </c>
      <c r="G3" s="314">
        <v>41</v>
      </c>
      <c r="H3" s="699" t="s">
        <v>80</v>
      </c>
      <c r="I3" s="699" t="s">
        <v>80</v>
      </c>
      <c r="J3" s="699">
        <v>2</v>
      </c>
      <c r="K3" s="699">
        <v>1</v>
      </c>
      <c r="L3" s="699">
        <v>0</v>
      </c>
      <c r="M3" s="699">
        <v>0</v>
      </c>
      <c r="N3" s="699">
        <v>0</v>
      </c>
      <c r="O3" s="699">
        <v>0</v>
      </c>
      <c r="P3" s="699" t="s">
        <v>80</v>
      </c>
      <c r="Q3" s="699" t="s">
        <v>80</v>
      </c>
      <c r="R3" s="699">
        <v>7</v>
      </c>
      <c r="S3" s="320">
        <v>15000</v>
      </c>
      <c r="T3" s="345" t="s">
        <v>496</v>
      </c>
      <c r="U3" s="321" t="s">
        <v>170</v>
      </c>
      <c r="V3" s="320" t="s">
        <v>185</v>
      </c>
      <c r="W3" s="320" t="s">
        <v>157</v>
      </c>
      <c r="X3" s="320" t="s">
        <v>169</v>
      </c>
      <c r="Y3" s="317" t="s">
        <v>497</v>
      </c>
      <c r="Z3" s="317">
        <v>1</v>
      </c>
      <c r="AA3" s="317">
        <v>0</v>
      </c>
      <c r="AB3" s="317">
        <v>0</v>
      </c>
      <c r="AC3" s="725">
        <v>1</v>
      </c>
      <c r="AD3" s="317">
        <v>0</v>
      </c>
      <c r="AE3" s="317">
        <v>0</v>
      </c>
      <c r="AF3" s="317">
        <v>0</v>
      </c>
      <c r="AG3" s="725">
        <v>0</v>
      </c>
      <c r="AH3" s="317">
        <v>0</v>
      </c>
      <c r="AI3" s="317">
        <v>0</v>
      </c>
      <c r="AJ3" s="317">
        <v>0</v>
      </c>
      <c r="AK3" s="725">
        <v>0</v>
      </c>
      <c r="AL3" s="317">
        <v>1</v>
      </c>
      <c r="AM3" s="317">
        <v>0</v>
      </c>
      <c r="AN3" s="317">
        <v>0</v>
      </c>
      <c r="AO3" s="725">
        <v>1</v>
      </c>
      <c r="AQ3" s="214" t="s">
        <v>101</v>
      </c>
      <c r="AR3" s="215">
        <f>Samalltestshistplayed</f>
        <v>273</v>
      </c>
      <c r="AT3" s="214" t="s">
        <v>101</v>
      </c>
      <c r="AU3" s="215">
        <f>SamRWChistplayed</f>
        <v>36</v>
      </c>
    </row>
    <row r="4" spans="1:47" ht="14.95" customHeight="1" thickBot="1" x14ac:dyDescent="0.3">
      <c r="A4" s="268" t="s">
        <v>243</v>
      </c>
      <c r="B4" s="270" t="s">
        <v>259</v>
      </c>
      <c r="C4" s="270" t="s">
        <v>91</v>
      </c>
      <c r="D4" s="270" t="s">
        <v>576</v>
      </c>
      <c r="E4" s="271" t="s">
        <v>3</v>
      </c>
      <c r="F4" s="271">
        <v>16</v>
      </c>
      <c r="G4" s="271">
        <v>30</v>
      </c>
      <c r="H4" s="691">
        <v>0</v>
      </c>
      <c r="I4" s="691">
        <v>0</v>
      </c>
      <c r="J4" s="691">
        <v>2</v>
      </c>
      <c r="K4" s="691">
        <v>0</v>
      </c>
      <c r="L4" s="691">
        <v>0</v>
      </c>
      <c r="M4" s="691">
        <v>2</v>
      </c>
      <c r="N4" s="691">
        <v>0</v>
      </c>
      <c r="O4" s="691">
        <v>0</v>
      </c>
      <c r="P4" s="691">
        <v>0</v>
      </c>
      <c r="Q4" s="691">
        <v>0</v>
      </c>
      <c r="R4" s="691">
        <v>3</v>
      </c>
      <c r="S4" s="277">
        <v>3000</v>
      </c>
      <c r="T4" s="281" t="s">
        <v>580</v>
      </c>
      <c r="U4" s="279" t="s">
        <v>162</v>
      </c>
      <c r="V4" s="277" t="s">
        <v>578</v>
      </c>
      <c r="W4" s="277" t="s">
        <v>157</v>
      </c>
      <c r="X4" s="277" t="s">
        <v>170</v>
      </c>
      <c r="Y4" s="280" t="s">
        <v>579</v>
      </c>
      <c r="Z4" s="273">
        <v>1</v>
      </c>
      <c r="AA4" s="273">
        <v>0</v>
      </c>
      <c r="AB4" s="273">
        <v>0</v>
      </c>
      <c r="AC4" s="287">
        <v>1</v>
      </c>
      <c r="AD4" s="273">
        <v>0</v>
      </c>
      <c r="AE4" s="273">
        <v>0</v>
      </c>
      <c r="AF4" s="273">
        <v>0</v>
      </c>
      <c r="AG4" s="287">
        <v>0</v>
      </c>
      <c r="AH4" s="273">
        <v>1</v>
      </c>
      <c r="AI4" s="273">
        <v>0</v>
      </c>
      <c r="AJ4" s="273">
        <v>0</v>
      </c>
      <c r="AK4" s="287">
        <v>1</v>
      </c>
      <c r="AL4" s="273">
        <v>0</v>
      </c>
      <c r="AM4" s="273">
        <v>0</v>
      </c>
      <c r="AN4" s="273">
        <v>0</v>
      </c>
      <c r="AO4" s="287">
        <v>0</v>
      </c>
      <c r="AQ4" s="216" t="s">
        <v>102</v>
      </c>
      <c r="AR4" s="217">
        <f>Samalltestshistwon</f>
        <v>119</v>
      </c>
      <c r="AT4" s="216" t="s">
        <v>102</v>
      </c>
      <c r="AU4" s="217">
        <f>SamRWChistwon</f>
        <v>14</v>
      </c>
    </row>
    <row r="5" spans="1:47" ht="14.95" customHeight="1" thickBot="1" x14ac:dyDescent="0.35">
      <c r="A5" s="318" t="s">
        <v>253</v>
      </c>
      <c r="B5" s="319" t="s">
        <v>259</v>
      </c>
      <c r="C5" s="319" t="s">
        <v>31</v>
      </c>
      <c r="D5" s="319" t="s">
        <v>610</v>
      </c>
      <c r="E5" s="314" t="s">
        <v>3</v>
      </c>
      <c r="F5" s="314">
        <v>15</v>
      </c>
      <c r="G5" s="314">
        <v>29</v>
      </c>
      <c r="H5" s="699">
        <v>0</v>
      </c>
      <c r="I5" s="699">
        <v>0</v>
      </c>
      <c r="J5" s="699">
        <v>2</v>
      </c>
      <c r="K5" s="699">
        <v>1</v>
      </c>
      <c r="L5" s="699">
        <v>0</v>
      </c>
      <c r="M5" s="699">
        <v>1</v>
      </c>
      <c r="N5" s="699">
        <v>1</v>
      </c>
      <c r="O5" s="699">
        <v>1</v>
      </c>
      <c r="P5" s="699">
        <v>1</v>
      </c>
      <c r="Q5" s="699">
        <v>0</v>
      </c>
      <c r="R5" s="699">
        <v>4</v>
      </c>
      <c r="S5" s="320">
        <v>7000</v>
      </c>
      <c r="T5" s="323" t="s">
        <v>611</v>
      </c>
      <c r="U5" s="321" t="s">
        <v>417</v>
      </c>
      <c r="V5" s="320" t="s">
        <v>240</v>
      </c>
      <c r="W5" s="317" t="s">
        <v>157</v>
      </c>
      <c r="X5" s="322" t="s">
        <v>438</v>
      </c>
      <c r="Y5" s="317" t="s">
        <v>590</v>
      </c>
      <c r="Z5" s="317">
        <v>1</v>
      </c>
      <c r="AA5" s="317">
        <v>0</v>
      </c>
      <c r="AB5" s="317">
        <v>0</v>
      </c>
      <c r="AC5" s="725">
        <v>1</v>
      </c>
      <c r="AD5" s="317">
        <v>0</v>
      </c>
      <c r="AE5" s="317">
        <v>0</v>
      </c>
      <c r="AF5" s="317">
        <v>0</v>
      </c>
      <c r="AG5" s="725">
        <v>0</v>
      </c>
      <c r="AH5" s="317">
        <v>0</v>
      </c>
      <c r="AI5" s="317">
        <v>0</v>
      </c>
      <c r="AJ5" s="317">
        <v>0</v>
      </c>
      <c r="AK5" s="725">
        <v>0</v>
      </c>
      <c r="AL5" s="317">
        <v>1</v>
      </c>
      <c r="AM5" s="317">
        <v>0</v>
      </c>
      <c r="AN5" s="317">
        <v>0</v>
      </c>
      <c r="AO5" s="725">
        <v>1</v>
      </c>
      <c r="AQ5" s="216" t="s">
        <v>107</v>
      </c>
      <c r="AR5" s="217">
        <f>Samalltestshistdrawn</f>
        <v>11</v>
      </c>
      <c r="AT5" s="216" t="s">
        <v>107</v>
      </c>
      <c r="AU5" s="217">
        <f>SamRWChistdrawn</f>
        <v>0</v>
      </c>
    </row>
    <row r="6" spans="1:47" ht="14.95" customHeight="1" thickBot="1" x14ac:dyDescent="0.3">
      <c r="A6" s="268" t="s">
        <v>179</v>
      </c>
      <c r="B6" s="270" t="s">
        <v>641</v>
      </c>
      <c r="C6" s="270" t="s">
        <v>60</v>
      </c>
      <c r="D6" s="270" t="s">
        <v>642</v>
      </c>
      <c r="E6" s="271" t="s">
        <v>3</v>
      </c>
      <c r="F6" s="271">
        <v>13</v>
      </c>
      <c r="G6" s="271">
        <v>29</v>
      </c>
      <c r="H6" s="691" t="s">
        <v>80</v>
      </c>
      <c r="I6" s="691" t="s">
        <v>80</v>
      </c>
      <c r="J6" s="691">
        <v>1</v>
      </c>
      <c r="K6" s="691">
        <v>1</v>
      </c>
      <c r="L6" s="691">
        <v>0</v>
      </c>
      <c r="M6" s="691">
        <v>2</v>
      </c>
      <c r="N6" s="691">
        <v>1</v>
      </c>
      <c r="O6" s="691">
        <v>0</v>
      </c>
      <c r="P6" s="691" t="s">
        <v>80</v>
      </c>
      <c r="Q6" s="691" t="s">
        <v>80</v>
      </c>
      <c r="R6" s="691">
        <v>4</v>
      </c>
      <c r="S6" s="277">
        <v>6452</v>
      </c>
      <c r="T6" s="281" t="s">
        <v>384</v>
      </c>
      <c r="U6" s="279" t="s">
        <v>241</v>
      </c>
      <c r="V6" s="277" t="s">
        <v>215</v>
      </c>
      <c r="W6" s="277" t="s">
        <v>256</v>
      </c>
      <c r="X6" s="277" t="s">
        <v>177</v>
      </c>
      <c r="Y6" s="280" t="s">
        <v>186</v>
      </c>
      <c r="Z6" s="273">
        <v>1</v>
      </c>
      <c r="AA6" s="273">
        <v>0</v>
      </c>
      <c r="AB6" s="273">
        <v>0</v>
      </c>
      <c r="AC6" s="287">
        <v>1</v>
      </c>
      <c r="AD6" s="273">
        <v>0</v>
      </c>
      <c r="AE6" s="273">
        <v>0</v>
      </c>
      <c r="AF6" s="273">
        <v>0</v>
      </c>
      <c r="AG6" s="287">
        <v>0</v>
      </c>
      <c r="AH6" s="273">
        <v>1</v>
      </c>
      <c r="AI6" s="273">
        <v>0</v>
      </c>
      <c r="AJ6" s="273">
        <v>0</v>
      </c>
      <c r="AK6" s="287">
        <v>1</v>
      </c>
      <c r="AL6" s="273">
        <v>0</v>
      </c>
      <c r="AM6" s="273">
        <v>0</v>
      </c>
      <c r="AN6" s="273">
        <v>0</v>
      </c>
      <c r="AO6" s="287">
        <v>0</v>
      </c>
      <c r="AQ6" s="216" t="s">
        <v>103</v>
      </c>
      <c r="AR6" s="217">
        <f>Samalltestshistlost</f>
        <v>143</v>
      </c>
      <c r="AT6" s="216" t="s">
        <v>103</v>
      </c>
      <c r="AU6" s="217">
        <f>SamRWChistlost</f>
        <v>22</v>
      </c>
    </row>
    <row r="7" spans="1:47" ht="14.95" customHeight="1" thickBot="1" x14ac:dyDescent="0.3">
      <c r="A7" s="318" t="s">
        <v>666</v>
      </c>
      <c r="B7" s="375" t="s">
        <v>487</v>
      </c>
      <c r="C7" s="319" t="s">
        <v>150</v>
      </c>
      <c r="D7" s="319" t="s">
        <v>667</v>
      </c>
      <c r="E7" s="314" t="s">
        <v>2</v>
      </c>
      <c r="F7" s="314">
        <v>32</v>
      </c>
      <c r="G7" s="314">
        <v>32</v>
      </c>
      <c r="H7" s="699" t="s">
        <v>80</v>
      </c>
      <c r="I7" s="699" t="s">
        <v>80</v>
      </c>
      <c r="J7" s="699">
        <v>5</v>
      </c>
      <c r="K7" s="699">
        <v>2</v>
      </c>
      <c r="L7" s="699">
        <v>0</v>
      </c>
      <c r="M7" s="699">
        <v>1</v>
      </c>
      <c r="N7" s="699">
        <v>1</v>
      </c>
      <c r="O7" s="699">
        <v>0</v>
      </c>
      <c r="P7" s="699" t="s">
        <v>80</v>
      </c>
      <c r="Q7" s="699" t="s">
        <v>80</v>
      </c>
      <c r="R7" s="699">
        <v>4</v>
      </c>
      <c r="S7" s="320">
        <v>8000</v>
      </c>
      <c r="T7" s="372" t="s">
        <v>685</v>
      </c>
      <c r="U7" s="321" t="s">
        <v>177</v>
      </c>
      <c r="V7" s="320" t="s">
        <v>215</v>
      </c>
      <c r="W7" s="317" t="s">
        <v>235</v>
      </c>
      <c r="X7" s="317" t="s">
        <v>163</v>
      </c>
      <c r="Y7" s="322" t="s">
        <v>661</v>
      </c>
      <c r="Z7" s="317">
        <v>1</v>
      </c>
      <c r="AA7" s="317">
        <v>0</v>
      </c>
      <c r="AB7" s="317">
        <v>1</v>
      </c>
      <c r="AC7" s="725">
        <v>0</v>
      </c>
      <c r="AD7" s="317">
        <v>0</v>
      </c>
      <c r="AE7" s="317">
        <v>0</v>
      </c>
      <c r="AF7" s="317">
        <v>0</v>
      </c>
      <c r="AG7" s="725">
        <v>0</v>
      </c>
      <c r="AH7" s="317">
        <v>0</v>
      </c>
      <c r="AI7" s="317">
        <v>0</v>
      </c>
      <c r="AJ7" s="317">
        <v>0</v>
      </c>
      <c r="AK7" s="725">
        <v>0</v>
      </c>
      <c r="AL7" s="317">
        <v>1</v>
      </c>
      <c r="AM7" s="317">
        <v>0</v>
      </c>
      <c r="AN7" s="317">
        <v>1</v>
      </c>
      <c r="AO7" s="725">
        <v>0</v>
      </c>
      <c r="AQ7" s="216" t="s">
        <v>108</v>
      </c>
      <c r="AR7" s="217">
        <f>Samalltestshistptsscored</f>
        <v>5644</v>
      </c>
      <c r="AT7" s="216" t="s">
        <v>108</v>
      </c>
      <c r="AU7" s="217">
        <f>SamRWChistptsscored</f>
        <v>804</v>
      </c>
    </row>
    <row r="8" spans="1:47" ht="14.95" customHeight="1" thickBot="1" x14ac:dyDescent="0.3">
      <c r="A8" s="268" t="s">
        <v>683</v>
      </c>
      <c r="B8" s="270" t="s">
        <v>487</v>
      </c>
      <c r="C8" s="270" t="s">
        <v>150</v>
      </c>
      <c r="D8" s="270" t="s">
        <v>689</v>
      </c>
      <c r="E8" s="271" t="s">
        <v>3</v>
      </c>
      <c r="F8" s="271">
        <v>12</v>
      </c>
      <c r="G8" s="271">
        <v>31</v>
      </c>
      <c r="H8" s="691" t="s">
        <v>80</v>
      </c>
      <c r="I8" s="691" t="s">
        <v>80</v>
      </c>
      <c r="J8" s="691">
        <v>2</v>
      </c>
      <c r="K8" s="691">
        <v>1</v>
      </c>
      <c r="L8" s="691">
        <v>0</v>
      </c>
      <c r="M8" s="691">
        <v>0</v>
      </c>
      <c r="N8" s="691">
        <v>1</v>
      </c>
      <c r="O8" s="691">
        <v>0</v>
      </c>
      <c r="P8" s="691" t="s">
        <v>80</v>
      </c>
      <c r="Q8" s="691" t="s">
        <v>80</v>
      </c>
      <c r="R8" s="691">
        <v>3</v>
      </c>
      <c r="S8" s="273">
        <v>21754</v>
      </c>
      <c r="T8" s="286" t="s">
        <v>692</v>
      </c>
      <c r="U8" s="273" t="s">
        <v>163</v>
      </c>
      <c r="V8" s="273" t="s">
        <v>586</v>
      </c>
      <c r="W8" s="273" t="s">
        <v>157</v>
      </c>
      <c r="X8" s="273" t="s">
        <v>241</v>
      </c>
      <c r="Y8" s="280" t="s">
        <v>587</v>
      </c>
      <c r="Z8" s="273">
        <v>1</v>
      </c>
      <c r="AA8" s="273">
        <v>0</v>
      </c>
      <c r="AB8" s="273">
        <v>0</v>
      </c>
      <c r="AC8" s="287">
        <v>1</v>
      </c>
      <c r="AD8" s="273">
        <v>0</v>
      </c>
      <c r="AE8" s="273">
        <v>0</v>
      </c>
      <c r="AF8" s="273">
        <v>0</v>
      </c>
      <c r="AG8" s="287">
        <v>0</v>
      </c>
      <c r="AH8" s="273">
        <v>1</v>
      </c>
      <c r="AI8" s="273">
        <v>0</v>
      </c>
      <c r="AJ8" s="273">
        <v>0</v>
      </c>
      <c r="AK8" s="287">
        <v>1</v>
      </c>
      <c r="AL8" s="273">
        <v>0</v>
      </c>
      <c r="AM8" s="273">
        <v>0</v>
      </c>
      <c r="AN8" s="273">
        <v>0</v>
      </c>
      <c r="AO8" s="287">
        <v>0</v>
      </c>
      <c r="AQ8" s="216" t="s">
        <v>109</v>
      </c>
      <c r="AR8" s="217">
        <f>Samalltestshistptscon</f>
        <v>6136</v>
      </c>
      <c r="AT8" s="216" t="s">
        <v>109</v>
      </c>
      <c r="AU8" s="217">
        <f>SamRWChistptscon</f>
        <v>935</v>
      </c>
    </row>
    <row r="9" spans="1:47" ht="14.95" customHeight="1" thickBot="1" x14ac:dyDescent="0.35">
      <c r="A9" s="340" t="s">
        <v>263</v>
      </c>
      <c r="B9" s="341" t="s">
        <v>487</v>
      </c>
      <c r="C9" s="341" t="s">
        <v>484</v>
      </c>
      <c r="D9" s="341" t="s">
        <v>745</v>
      </c>
      <c r="E9" s="247" t="s">
        <v>1</v>
      </c>
      <c r="F9" s="314">
        <v>48</v>
      </c>
      <c r="G9" s="314">
        <v>10</v>
      </c>
      <c r="H9" s="699">
        <v>1</v>
      </c>
      <c r="I9" s="699">
        <v>0</v>
      </c>
      <c r="J9" s="699">
        <v>7</v>
      </c>
      <c r="K9" s="699">
        <v>5</v>
      </c>
      <c r="L9" s="699">
        <v>0</v>
      </c>
      <c r="M9" s="699">
        <v>1</v>
      </c>
      <c r="N9" s="699">
        <v>2</v>
      </c>
      <c r="O9" s="699">
        <v>0</v>
      </c>
      <c r="P9" s="699">
        <v>0</v>
      </c>
      <c r="Q9" s="699">
        <v>0</v>
      </c>
      <c r="R9" s="699">
        <v>2</v>
      </c>
      <c r="S9" s="317">
        <v>2800</v>
      </c>
      <c r="T9" s="342" t="s">
        <v>786</v>
      </c>
      <c r="U9" s="317" t="s">
        <v>170</v>
      </c>
      <c r="V9" s="317" t="s">
        <v>188</v>
      </c>
      <c r="W9" s="317" t="s">
        <v>157</v>
      </c>
      <c r="X9" s="317" t="s">
        <v>182</v>
      </c>
      <c r="Y9" s="322" t="s">
        <v>787</v>
      </c>
      <c r="Z9" s="317">
        <v>1</v>
      </c>
      <c r="AA9" s="317">
        <v>1</v>
      </c>
      <c r="AB9" s="317">
        <v>0</v>
      </c>
      <c r="AC9" s="725">
        <v>0</v>
      </c>
      <c r="AD9" s="317">
        <v>0</v>
      </c>
      <c r="AE9" s="317">
        <v>0</v>
      </c>
      <c r="AF9" s="317">
        <v>0</v>
      </c>
      <c r="AG9" s="725">
        <v>0</v>
      </c>
      <c r="AH9" s="317">
        <v>0</v>
      </c>
      <c r="AI9" s="317">
        <v>0</v>
      </c>
      <c r="AJ9" s="317">
        <v>0</v>
      </c>
      <c r="AK9" s="725">
        <v>0</v>
      </c>
      <c r="AL9" s="317">
        <v>1</v>
      </c>
      <c r="AM9" s="317">
        <v>1</v>
      </c>
      <c r="AN9" s="317">
        <v>0</v>
      </c>
      <c r="AO9" s="725">
        <v>0</v>
      </c>
      <c r="AQ9" s="216" t="s">
        <v>100</v>
      </c>
      <c r="AR9" s="217">
        <f>SamalltestshistTRIESSCORED</f>
        <v>614</v>
      </c>
      <c r="AT9" s="216" t="s">
        <v>100</v>
      </c>
      <c r="AU9" s="217">
        <f>SamRWChisttriesscored</f>
        <v>94</v>
      </c>
    </row>
    <row r="10" spans="1:47" ht="14.95" customHeight="1" thickBot="1" x14ac:dyDescent="0.35">
      <c r="A10" s="340" t="s">
        <v>747</v>
      </c>
      <c r="B10" s="341" t="s">
        <v>487</v>
      </c>
      <c r="C10" s="341" t="s">
        <v>93</v>
      </c>
      <c r="D10" s="341" t="s">
        <v>745</v>
      </c>
      <c r="E10" s="247" t="s">
        <v>1</v>
      </c>
      <c r="F10" s="314">
        <v>26</v>
      </c>
      <c r="G10" s="314">
        <v>8</v>
      </c>
      <c r="H10" s="699">
        <v>1</v>
      </c>
      <c r="I10" s="699">
        <v>0</v>
      </c>
      <c r="J10" s="699">
        <v>4</v>
      </c>
      <c r="K10" s="699">
        <v>3</v>
      </c>
      <c r="L10" s="699">
        <v>0</v>
      </c>
      <c r="M10" s="699">
        <v>0</v>
      </c>
      <c r="N10" s="699">
        <v>0</v>
      </c>
      <c r="O10" s="699">
        <v>0</v>
      </c>
      <c r="P10" s="699">
        <v>0</v>
      </c>
      <c r="Q10" s="699">
        <v>0</v>
      </c>
      <c r="R10" s="699">
        <v>1</v>
      </c>
      <c r="S10" s="317">
        <v>2100</v>
      </c>
      <c r="T10" s="342" t="s">
        <v>344</v>
      </c>
      <c r="U10" s="317" t="s">
        <v>241</v>
      </c>
      <c r="V10" s="317" t="s">
        <v>188</v>
      </c>
      <c r="W10" s="317" t="s">
        <v>157</v>
      </c>
      <c r="X10" s="317" t="s">
        <v>186</v>
      </c>
      <c r="Y10" s="322" t="s">
        <v>787</v>
      </c>
      <c r="Z10" s="317">
        <v>1</v>
      </c>
      <c r="AA10" s="317">
        <v>1</v>
      </c>
      <c r="AB10" s="317">
        <v>0</v>
      </c>
      <c r="AC10" s="725">
        <v>0</v>
      </c>
      <c r="AD10" s="317">
        <v>0</v>
      </c>
      <c r="AE10" s="317">
        <v>0</v>
      </c>
      <c r="AF10" s="317">
        <v>0</v>
      </c>
      <c r="AG10" s="725">
        <v>0</v>
      </c>
      <c r="AH10" s="317">
        <v>0</v>
      </c>
      <c r="AI10" s="317">
        <v>0</v>
      </c>
      <c r="AJ10" s="317">
        <v>0</v>
      </c>
      <c r="AK10" s="725">
        <v>0</v>
      </c>
      <c r="AL10" s="317">
        <v>1</v>
      </c>
      <c r="AM10" s="317">
        <v>1</v>
      </c>
      <c r="AN10" s="317">
        <v>0</v>
      </c>
      <c r="AO10" s="725">
        <v>0</v>
      </c>
    </row>
    <row r="11" spans="1:47" ht="14.95" customHeight="1" thickBot="1" x14ac:dyDescent="0.3">
      <c r="A11" s="340" t="s">
        <v>750</v>
      </c>
      <c r="B11" s="341" t="s">
        <v>487</v>
      </c>
      <c r="C11" s="341" t="s">
        <v>171</v>
      </c>
      <c r="D11" s="341" t="s">
        <v>745</v>
      </c>
      <c r="E11" s="247" t="s">
        <v>2</v>
      </c>
      <c r="F11" s="314">
        <v>13</v>
      </c>
      <c r="G11" s="314">
        <v>13</v>
      </c>
      <c r="H11" s="699">
        <v>0</v>
      </c>
      <c r="I11" s="699">
        <v>0</v>
      </c>
      <c r="J11" s="699">
        <v>1</v>
      </c>
      <c r="K11" s="699">
        <v>1</v>
      </c>
      <c r="L11" s="699">
        <v>0</v>
      </c>
      <c r="M11" s="699">
        <v>2</v>
      </c>
      <c r="N11" s="699">
        <v>1</v>
      </c>
      <c r="O11" s="699">
        <v>0</v>
      </c>
      <c r="P11" s="699">
        <v>0</v>
      </c>
      <c r="Q11" s="699">
        <v>0</v>
      </c>
      <c r="R11" s="699">
        <v>1</v>
      </c>
      <c r="S11" s="317">
        <v>3500</v>
      </c>
      <c r="T11" s="854" t="s">
        <v>816</v>
      </c>
      <c r="U11" s="317" t="s">
        <v>186</v>
      </c>
      <c r="V11" s="246" t="s">
        <v>188</v>
      </c>
      <c r="W11" s="317" t="s">
        <v>157</v>
      </c>
      <c r="X11" s="317" t="s">
        <v>241</v>
      </c>
      <c r="Y11" s="322" t="s">
        <v>787</v>
      </c>
      <c r="Z11" s="317">
        <v>1</v>
      </c>
      <c r="AA11" s="317">
        <v>0</v>
      </c>
      <c r="AB11" s="317">
        <v>1</v>
      </c>
      <c r="AC11" s="725">
        <v>0</v>
      </c>
      <c r="AD11" s="317">
        <v>0</v>
      </c>
      <c r="AE11" s="317">
        <v>0</v>
      </c>
      <c r="AF11" s="317">
        <v>0</v>
      </c>
      <c r="AG11" s="725">
        <v>0</v>
      </c>
      <c r="AH11" s="317">
        <v>0</v>
      </c>
      <c r="AI11" s="317">
        <v>0</v>
      </c>
      <c r="AJ11" s="317">
        <v>0</v>
      </c>
      <c r="AK11" s="725">
        <v>0</v>
      </c>
      <c r="AL11" s="317">
        <v>1</v>
      </c>
      <c r="AM11" s="317">
        <v>0</v>
      </c>
      <c r="AN11" s="317">
        <v>1</v>
      </c>
      <c r="AO11" s="725">
        <v>0</v>
      </c>
    </row>
    <row r="12" spans="1:47" ht="14.95" customHeight="1" thickBot="1" x14ac:dyDescent="0.3">
      <c r="A12" s="179"/>
      <c r="B12" s="180"/>
      <c r="C12" s="1207" t="s">
        <v>245</v>
      </c>
      <c r="D12" s="1295"/>
      <c r="E12" s="1296"/>
      <c r="F12" s="551">
        <f>SUM(F3)</f>
        <v>12</v>
      </c>
      <c r="G12" s="551">
        <f>SUM(G3)</f>
        <v>41</v>
      </c>
      <c r="H12" s="551" t="s">
        <v>80</v>
      </c>
      <c r="I12" s="551" t="s">
        <v>80</v>
      </c>
      <c r="J12" s="551">
        <f t="shared" ref="J12:O12" si="0">SUM(J3)</f>
        <v>2</v>
      </c>
      <c r="K12" s="551">
        <f t="shared" si="0"/>
        <v>1</v>
      </c>
      <c r="L12" s="551">
        <f t="shared" si="0"/>
        <v>0</v>
      </c>
      <c r="M12" s="551">
        <f t="shared" si="0"/>
        <v>0</v>
      </c>
      <c r="N12" s="551">
        <f t="shared" si="0"/>
        <v>0</v>
      </c>
      <c r="O12" s="551">
        <f t="shared" si="0"/>
        <v>0</v>
      </c>
      <c r="P12" s="551" t="s">
        <v>80</v>
      </c>
      <c r="Q12" s="551" t="s">
        <v>80</v>
      </c>
      <c r="R12" s="551">
        <f>SUM(R3)</f>
        <v>7</v>
      </c>
      <c r="S12" s="531"/>
      <c r="T12" s="531"/>
      <c r="U12" s="531"/>
      <c r="V12" s="531"/>
      <c r="W12" s="531"/>
      <c r="X12" s="532"/>
      <c r="Y12" s="537" t="s">
        <v>245</v>
      </c>
      <c r="Z12" s="551">
        <f t="shared" ref="Z12:AO12" si="1">SUM(Z3)</f>
        <v>1</v>
      </c>
      <c r="AA12" s="551">
        <f t="shared" si="1"/>
        <v>0</v>
      </c>
      <c r="AB12" s="551">
        <f t="shared" si="1"/>
        <v>0</v>
      </c>
      <c r="AC12" s="551">
        <f t="shared" si="1"/>
        <v>1</v>
      </c>
      <c r="AD12" s="552">
        <f t="shared" si="1"/>
        <v>0</v>
      </c>
      <c r="AE12" s="552">
        <f t="shared" si="1"/>
        <v>0</v>
      </c>
      <c r="AF12" s="552">
        <f t="shared" si="1"/>
        <v>0</v>
      </c>
      <c r="AG12" s="552">
        <f t="shared" si="1"/>
        <v>0</v>
      </c>
      <c r="AH12" s="553">
        <f t="shared" si="1"/>
        <v>0</v>
      </c>
      <c r="AI12" s="553">
        <f t="shared" si="1"/>
        <v>0</v>
      </c>
      <c r="AJ12" s="553">
        <f t="shared" si="1"/>
        <v>0</v>
      </c>
      <c r="AK12" s="553">
        <f t="shared" si="1"/>
        <v>0</v>
      </c>
      <c r="AL12" s="551">
        <f t="shared" si="1"/>
        <v>1</v>
      </c>
      <c r="AM12" s="551">
        <f t="shared" si="1"/>
        <v>0</v>
      </c>
      <c r="AN12" s="551">
        <f t="shared" si="1"/>
        <v>0</v>
      </c>
      <c r="AO12" s="551">
        <f t="shared" si="1"/>
        <v>1</v>
      </c>
    </row>
    <row r="13" spans="1:47" ht="14.95" customHeight="1" thickBot="1" x14ac:dyDescent="0.3">
      <c r="A13" s="179"/>
      <c r="B13" s="180"/>
      <c r="C13" s="1128" t="s">
        <v>244</v>
      </c>
      <c r="D13" s="1157"/>
      <c r="E13" s="1158"/>
      <c r="F13" s="547">
        <f>SUM(F4:F6)</f>
        <v>44</v>
      </c>
      <c r="G13" s="547">
        <f t="shared" ref="G13:R13" si="2">SUM(G4:G6)</f>
        <v>88</v>
      </c>
      <c r="H13" s="547">
        <f t="shared" si="2"/>
        <v>0</v>
      </c>
      <c r="I13" s="547">
        <f t="shared" si="2"/>
        <v>0</v>
      </c>
      <c r="J13" s="547">
        <f t="shared" si="2"/>
        <v>5</v>
      </c>
      <c r="K13" s="547">
        <f t="shared" si="2"/>
        <v>2</v>
      </c>
      <c r="L13" s="547">
        <f t="shared" si="2"/>
        <v>0</v>
      </c>
      <c r="M13" s="547">
        <f t="shared" si="2"/>
        <v>5</v>
      </c>
      <c r="N13" s="547">
        <f t="shared" si="2"/>
        <v>2</v>
      </c>
      <c r="O13" s="547">
        <f t="shared" si="2"/>
        <v>1</v>
      </c>
      <c r="P13" s="547">
        <f t="shared" si="2"/>
        <v>1</v>
      </c>
      <c r="Q13" s="547">
        <f t="shared" si="2"/>
        <v>0</v>
      </c>
      <c r="R13" s="547">
        <f t="shared" si="2"/>
        <v>11</v>
      </c>
      <c r="S13" s="548"/>
      <c r="T13" s="548"/>
      <c r="U13" s="548"/>
      <c r="V13" s="548"/>
      <c r="W13" s="548"/>
      <c r="X13" s="175"/>
      <c r="Y13" s="249" t="s">
        <v>244</v>
      </c>
      <c r="Z13" s="547">
        <f t="shared" ref="Z13:AO13" si="3">SUM(Z4:Z6)</f>
        <v>3</v>
      </c>
      <c r="AA13" s="547">
        <f t="shared" si="3"/>
        <v>0</v>
      </c>
      <c r="AB13" s="547">
        <f t="shared" si="3"/>
        <v>0</v>
      </c>
      <c r="AC13" s="547">
        <f t="shared" si="3"/>
        <v>3</v>
      </c>
      <c r="AD13" s="549">
        <f t="shared" si="3"/>
        <v>0</v>
      </c>
      <c r="AE13" s="549">
        <f t="shared" si="3"/>
        <v>0</v>
      </c>
      <c r="AF13" s="549">
        <f t="shared" si="3"/>
        <v>0</v>
      </c>
      <c r="AG13" s="549">
        <f t="shared" si="3"/>
        <v>0</v>
      </c>
      <c r="AH13" s="550">
        <f t="shared" si="3"/>
        <v>2</v>
      </c>
      <c r="AI13" s="550">
        <f t="shared" si="3"/>
        <v>0</v>
      </c>
      <c r="AJ13" s="550">
        <f t="shared" si="3"/>
        <v>0</v>
      </c>
      <c r="AK13" s="550">
        <f t="shared" si="3"/>
        <v>2</v>
      </c>
      <c r="AL13" s="547">
        <f t="shared" si="3"/>
        <v>1</v>
      </c>
      <c r="AM13" s="547">
        <f t="shared" si="3"/>
        <v>0</v>
      </c>
      <c r="AN13" s="547">
        <f t="shared" si="3"/>
        <v>0</v>
      </c>
      <c r="AO13" s="547">
        <f t="shared" si="3"/>
        <v>1</v>
      </c>
    </row>
    <row r="14" spans="1:47" ht="14.95" customHeight="1" thickBot="1" x14ac:dyDescent="0.3">
      <c r="A14" s="179"/>
      <c r="B14" s="180"/>
      <c r="C14" s="1078" t="s">
        <v>262</v>
      </c>
      <c r="D14" s="1079"/>
      <c r="E14" s="1080"/>
      <c r="F14" s="329">
        <f>SUM(F7:F11)</f>
        <v>131</v>
      </c>
      <c r="G14" s="329">
        <f>SUM(G7:G11)</f>
        <v>94</v>
      </c>
      <c r="H14" s="329" t="s">
        <v>80</v>
      </c>
      <c r="I14" s="329" t="s">
        <v>80</v>
      </c>
      <c r="J14" s="329">
        <f t="shared" ref="J14:O14" si="4">SUM(J7:J11)</f>
        <v>19</v>
      </c>
      <c r="K14" s="329">
        <f t="shared" si="4"/>
        <v>12</v>
      </c>
      <c r="L14" s="329">
        <f t="shared" si="4"/>
        <v>0</v>
      </c>
      <c r="M14" s="329">
        <f t="shared" si="4"/>
        <v>4</v>
      </c>
      <c r="N14" s="329">
        <f t="shared" si="4"/>
        <v>5</v>
      </c>
      <c r="O14" s="329">
        <f t="shared" si="4"/>
        <v>0</v>
      </c>
      <c r="P14" s="329" t="s">
        <v>80</v>
      </c>
      <c r="Q14" s="329" t="s">
        <v>80</v>
      </c>
      <c r="R14" s="329">
        <f>SUM(R7:R11)</f>
        <v>11</v>
      </c>
      <c r="S14" s="339"/>
      <c r="T14" s="339"/>
      <c r="U14" s="339"/>
      <c r="V14" s="339"/>
      <c r="W14" s="339"/>
      <c r="X14" s="327"/>
      <c r="Y14" s="334" t="s">
        <v>262</v>
      </c>
      <c r="Z14" s="329">
        <f t="shared" ref="Z14:AO14" si="5">SUM(Z7:Z11)</f>
        <v>5</v>
      </c>
      <c r="AA14" s="329">
        <f t="shared" si="5"/>
        <v>2</v>
      </c>
      <c r="AB14" s="329">
        <f t="shared" si="5"/>
        <v>2</v>
      </c>
      <c r="AC14" s="329">
        <f t="shared" si="5"/>
        <v>1</v>
      </c>
      <c r="AD14" s="330">
        <f t="shared" si="5"/>
        <v>0</v>
      </c>
      <c r="AE14" s="330">
        <f t="shared" si="5"/>
        <v>0</v>
      </c>
      <c r="AF14" s="330">
        <f t="shared" si="5"/>
        <v>0</v>
      </c>
      <c r="AG14" s="330">
        <f t="shared" si="5"/>
        <v>0</v>
      </c>
      <c r="AH14" s="331">
        <f t="shared" si="5"/>
        <v>1</v>
      </c>
      <c r="AI14" s="331">
        <f t="shared" si="5"/>
        <v>0</v>
      </c>
      <c r="AJ14" s="331">
        <f t="shared" si="5"/>
        <v>0</v>
      </c>
      <c r="AK14" s="331">
        <f t="shared" si="5"/>
        <v>1</v>
      </c>
      <c r="AL14" s="329">
        <f t="shared" si="5"/>
        <v>4</v>
      </c>
      <c r="AM14" s="329">
        <f t="shared" si="5"/>
        <v>2</v>
      </c>
      <c r="AN14" s="329">
        <f t="shared" si="5"/>
        <v>2</v>
      </c>
      <c r="AO14" s="329">
        <f t="shared" si="5"/>
        <v>0</v>
      </c>
    </row>
    <row r="15" spans="1:47" ht="14.95" customHeight="1" thickBot="1" x14ac:dyDescent="0.3">
      <c r="A15" s="179"/>
      <c r="B15" s="180"/>
      <c r="C15" s="1087" t="s">
        <v>81</v>
      </c>
      <c r="D15" s="1088"/>
      <c r="E15" s="1089"/>
      <c r="F15" s="231">
        <f>SUM(F3:F11)</f>
        <v>187</v>
      </c>
      <c r="G15" s="231">
        <f t="shared" ref="G15:R15" si="6">SUM(G3:G11)</f>
        <v>223</v>
      </c>
      <c r="H15" s="231">
        <f t="shared" si="6"/>
        <v>2</v>
      </c>
      <c r="I15" s="231">
        <f t="shared" si="6"/>
        <v>0</v>
      </c>
      <c r="J15" s="231">
        <f t="shared" si="6"/>
        <v>26</v>
      </c>
      <c r="K15" s="231">
        <f t="shared" si="6"/>
        <v>15</v>
      </c>
      <c r="L15" s="231">
        <f t="shared" si="6"/>
        <v>0</v>
      </c>
      <c r="M15" s="231">
        <f t="shared" si="6"/>
        <v>9</v>
      </c>
      <c r="N15" s="231">
        <f t="shared" si="6"/>
        <v>7</v>
      </c>
      <c r="O15" s="231">
        <f t="shared" si="6"/>
        <v>1</v>
      </c>
      <c r="P15" s="231">
        <f t="shared" si="6"/>
        <v>1</v>
      </c>
      <c r="Q15" s="231">
        <f t="shared" si="6"/>
        <v>0</v>
      </c>
      <c r="R15" s="231">
        <f t="shared" si="6"/>
        <v>29</v>
      </c>
      <c r="S15" s="228"/>
      <c r="T15" s="228"/>
      <c r="U15" s="228"/>
      <c r="V15" s="228"/>
      <c r="W15" s="228"/>
      <c r="X15" s="13"/>
      <c r="Y15" s="246" t="s">
        <v>81</v>
      </c>
      <c r="Z15" s="231">
        <f t="shared" ref="Z15:AO15" si="7">SUM(Z3:Z11)</f>
        <v>9</v>
      </c>
      <c r="AA15" s="231">
        <f t="shared" si="7"/>
        <v>2</v>
      </c>
      <c r="AB15" s="231">
        <f t="shared" si="7"/>
        <v>2</v>
      </c>
      <c r="AC15" s="231">
        <f t="shared" si="7"/>
        <v>5</v>
      </c>
      <c r="AD15" s="229">
        <f t="shared" si="7"/>
        <v>0</v>
      </c>
      <c r="AE15" s="229">
        <f t="shared" si="7"/>
        <v>0</v>
      </c>
      <c r="AF15" s="229">
        <f t="shared" si="7"/>
        <v>0</v>
      </c>
      <c r="AG15" s="229">
        <f t="shared" si="7"/>
        <v>0</v>
      </c>
      <c r="AH15" s="230">
        <f t="shared" si="7"/>
        <v>3</v>
      </c>
      <c r="AI15" s="230">
        <f t="shared" si="7"/>
        <v>0</v>
      </c>
      <c r="AJ15" s="230">
        <f t="shared" si="7"/>
        <v>0</v>
      </c>
      <c r="AK15" s="230">
        <f t="shared" si="7"/>
        <v>3</v>
      </c>
      <c r="AL15" s="231">
        <f t="shared" si="7"/>
        <v>6</v>
      </c>
      <c r="AM15" s="231">
        <f t="shared" si="7"/>
        <v>2</v>
      </c>
      <c r="AN15" s="231">
        <f t="shared" si="7"/>
        <v>2</v>
      </c>
      <c r="AO15" s="231">
        <f t="shared" si="7"/>
        <v>2</v>
      </c>
    </row>
    <row r="16" spans="1:47" ht="14.95" customHeight="1" x14ac:dyDescent="0.25">
      <c r="A16" s="1108"/>
      <c r="B16" s="1109"/>
      <c r="C16" s="1109"/>
      <c r="D16" s="1109"/>
      <c r="E16" s="1109"/>
      <c r="F16" s="1109"/>
      <c r="G16" s="1109"/>
      <c r="H16" s="1109"/>
      <c r="I16" s="1109"/>
      <c r="J16" s="1109"/>
      <c r="K16" s="1109"/>
      <c r="L16" s="1109"/>
      <c r="M16" s="1109"/>
      <c r="N16" s="1109"/>
      <c r="O16" s="1109"/>
      <c r="P16" s="1109"/>
      <c r="Q16" s="1109"/>
      <c r="R16" s="1109"/>
      <c r="S16" s="1109"/>
      <c r="T16" s="1109"/>
      <c r="U16" s="1109"/>
      <c r="V16" s="1109"/>
      <c r="W16" s="1109"/>
      <c r="X16" s="1109"/>
      <c r="Y16" s="1109"/>
      <c r="Z16" s="1109"/>
      <c r="AA16" s="1109"/>
      <c r="AB16" s="1109"/>
      <c r="AC16" s="1109"/>
      <c r="AD16" s="1109"/>
      <c r="AE16" s="1109"/>
      <c r="AF16" s="1109"/>
      <c r="AG16" s="1109"/>
      <c r="AH16" s="1109"/>
      <c r="AI16" s="1109"/>
      <c r="AJ16" s="1109"/>
      <c r="AK16" s="1109"/>
      <c r="AL16" s="1109"/>
      <c r="AM16" s="1109"/>
      <c r="AN16" s="1109"/>
      <c r="AO16" s="1109"/>
    </row>
    <row r="17" spans="1:21" ht="14.95" customHeight="1" x14ac:dyDescent="0.25">
      <c r="A17" s="789" t="s">
        <v>644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21" ht="14.95" customHeight="1" x14ac:dyDescent="0.25">
      <c r="A18" s="789" t="s">
        <v>645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21" ht="14.95" customHeight="1" x14ac:dyDescent="0.25">
      <c r="A19" s="809" t="s">
        <v>693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1" ht="14.95" customHeight="1" x14ac:dyDescent="0.25">
      <c r="A20" s="816" t="s">
        <v>749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21" ht="14.95" customHeight="1" x14ac:dyDescent="0.25">
      <c r="A21" s="804" t="s">
        <v>682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21" ht="14.95" customHeight="1" x14ac:dyDescent="0.25">
      <c r="A22" s="376"/>
      <c r="B22" t="s">
        <v>44</v>
      </c>
      <c r="U22" s="324" t="s">
        <v>684</v>
      </c>
    </row>
    <row r="23" spans="1:21" ht="14.95" customHeight="1" x14ac:dyDescent="0.25">
      <c r="A23" s="377"/>
      <c r="B23" t="s">
        <v>42</v>
      </c>
    </row>
    <row r="24" spans="1:21" ht="14.95" customHeight="1" x14ac:dyDescent="0.25">
      <c r="A24" s="378"/>
      <c r="B24" t="s">
        <v>43</v>
      </c>
    </row>
    <row r="25" spans="1:21" ht="14.95" customHeight="1" x14ac:dyDescent="0.3">
      <c r="A25" s="792" t="s">
        <v>28</v>
      </c>
    </row>
  </sheetData>
  <mergeCells count="15">
    <mergeCell ref="AL1:AO1"/>
    <mergeCell ref="A16:AO16"/>
    <mergeCell ref="C12:E12"/>
    <mergeCell ref="C15:E15"/>
    <mergeCell ref="P1:R1"/>
    <mergeCell ref="A1:C1"/>
    <mergeCell ref="E1:G1"/>
    <mergeCell ref="H1:I1"/>
    <mergeCell ref="J1:M1"/>
    <mergeCell ref="N1:O1"/>
    <mergeCell ref="Z1:AC1"/>
    <mergeCell ref="AD1:AG1"/>
    <mergeCell ref="AH1:AK1"/>
    <mergeCell ref="C13:E13"/>
    <mergeCell ref="C14:E14"/>
  </mergeCells>
  <pageMargins left="0.7" right="0.7" top="0.75" bottom="0.75" header="0.3" footer="0.3"/>
  <pageSetup paperSize="9" orientation="portrait" r:id="rId1"/>
  <ignoredErrors>
    <ignoredError sqref="T4 T7:T8" twoDigitTextYear="1"/>
    <ignoredError sqref="F13:AO13 S14:Y14 P14:Q14 H14:I14 C14:G14 J14:O14 R14 Z14:AO14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D29"/>
  <sheetViews>
    <sheetView zoomScale="90" zoomScaleNormal="90" workbookViewId="0">
      <selection activeCell="W28" sqref="W28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1.375" customWidth="1"/>
    <col min="4" max="4" width="4.3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1.125" bestFit="1" customWidth="1"/>
    <col min="22" max="23" width="30.125" bestFit="1" customWidth="1"/>
    <col min="24" max="24" width="19.125" bestFit="1" customWidth="1"/>
    <col min="25" max="25" width="19.875" bestFit="1" customWidth="1"/>
    <col min="26" max="41" width="3.625" customWidth="1"/>
    <col min="42" max="42" width="2.625" customWidth="1"/>
    <col min="43" max="43" width="13.125" bestFit="1" customWidth="1"/>
    <col min="45" max="45" width="2.625" customWidth="1"/>
    <col min="46" max="46" width="13.125" bestFit="1" customWidth="1"/>
    <col min="48" max="48" width="1.625" customWidth="1"/>
    <col min="49" max="49" width="12.75" bestFit="1" customWidth="1"/>
    <col min="51" max="51" width="1.625" customWidth="1"/>
    <col min="52" max="52" width="12.75" bestFit="1" customWidth="1"/>
    <col min="54" max="54" width="1.625" customWidth="1"/>
    <col min="55" max="55" width="12.75" bestFit="1" customWidth="1"/>
  </cols>
  <sheetData>
    <row r="1" spans="1:56" ht="14.95" customHeight="1" thickBot="1" x14ac:dyDescent="0.3">
      <c r="A1" s="1182" t="s">
        <v>897</v>
      </c>
      <c r="B1" s="1183"/>
      <c r="C1" s="1183"/>
      <c r="D1" s="102"/>
      <c r="E1" s="1184" t="s">
        <v>24</v>
      </c>
      <c r="F1" s="1185"/>
      <c r="G1" s="1186"/>
      <c r="H1" s="1184" t="s">
        <v>23</v>
      </c>
      <c r="I1" s="1186"/>
      <c r="J1" s="1187" t="s">
        <v>6</v>
      </c>
      <c r="K1" s="1188"/>
      <c r="L1" s="1188"/>
      <c r="M1" s="1189"/>
      <c r="N1" s="1187" t="s">
        <v>7</v>
      </c>
      <c r="O1" s="1189"/>
      <c r="P1" s="1187" t="s">
        <v>25</v>
      </c>
      <c r="Q1" s="1188"/>
      <c r="R1" s="1189"/>
      <c r="S1" s="238" t="s">
        <v>8</v>
      </c>
      <c r="T1" s="238" t="s">
        <v>9</v>
      </c>
      <c r="U1" s="78" t="s">
        <v>10</v>
      </c>
      <c r="V1" s="77" t="s">
        <v>11</v>
      </c>
      <c r="W1" s="78" t="s">
        <v>211</v>
      </c>
      <c r="X1" s="79" t="s">
        <v>26</v>
      </c>
      <c r="Y1" s="356" t="s">
        <v>27</v>
      </c>
      <c r="Z1" s="1193" t="s">
        <v>20</v>
      </c>
      <c r="AA1" s="1177"/>
      <c r="AB1" s="1177"/>
      <c r="AC1" s="1178"/>
      <c r="AD1" s="1193" t="s">
        <v>61</v>
      </c>
      <c r="AE1" s="1177"/>
      <c r="AF1" s="1177"/>
      <c r="AG1" s="1178"/>
      <c r="AH1" s="1193" t="s">
        <v>62</v>
      </c>
      <c r="AI1" s="1177"/>
      <c r="AJ1" s="1177"/>
      <c r="AK1" s="1178"/>
      <c r="AL1" s="1193" t="s">
        <v>63</v>
      </c>
      <c r="AM1" s="1177"/>
      <c r="AN1" s="1177"/>
      <c r="AO1" s="1178"/>
      <c r="AQ1" s="225" t="s">
        <v>127</v>
      </c>
      <c r="AR1" s="218"/>
      <c r="AS1" s="218"/>
      <c r="AT1" s="225" t="s">
        <v>127</v>
      </c>
      <c r="AW1" s="225" t="s">
        <v>127</v>
      </c>
      <c r="AZ1" s="225" t="s">
        <v>127</v>
      </c>
      <c r="BC1" s="225" t="s">
        <v>127</v>
      </c>
    </row>
    <row r="2" spans="1:56" ht="14.95" customHeight="1" thickBot="1" x14ac:dyDescent="0.3">
      <c r="A2" s="80" t="s">
        <v>19</v>
      </c>
      <c r="B2" s="81" t="s">
        <v>18</v>
      </c>
      <c r="C2" s="82" t="s">
        <v>17</v>
      </c>
      <c r="D2" s="83" t="s">
        <v>41</v>
      </c>
      <c r="E2" s="83" t="s">
        <v>16</v>
      </c>
      <c r="F2" s="83" t="s">
        <v>4</v>
      </c>
      <c r="G2" s="83" t="s">
        <v>5</v>
      </c>
      <c r="H2" s="84" t="s">
        <v>12</v>
      </c>
      <c r="I2" s="84" t="s">
        <v>3</v>
      </c>
      <c r="J2" s="84" t="s">
        <v>12</v>
      </c>
      <c r="K2" s="84" t="s">
        <v>13</v>
      </c>
      <c r="L2" s="84" t="s">
        <v>2</v>
      </c>
      <c r="M2" s="84" t="s">
        <v>14</v>
      </c>
      <c r="N2" s="84" t="s">
        <v>15</v>
      </c>
      <c r="O2" s="84" t="s">
        <v>16</v>
      </c>
      <c r="P2" s="84" t="s">
        <v>21</v>
      </c>
      <c r="Q2" s="84" t="s">
        <v>22</v>
      </c>
      <c r="R2" s="84" t="s">
        <v>12</v>
      </c>
      <c r="S2" s="85"/>
      <c r="T2" s="86"/>
      <c r="U2" s="87"/>
      <c r="V2" s="85"/>
      <c r="W2" s="87"/>
      <c r="X2" s="88"/>
      <c r="Y2" s="89"/>
      <c r="Z2" s="196" t="s">
        <v>0</v>
      </c>
      <c r="AA2" s="196" t="s">
        <v>1</v>
      </c>
      <c r="AB2" s="196" t="s">
        <v>2</v>
      </c>
      <c r="AC2" s="196" t="s">
        <v>3</v>
      </c>
      <c r="AD2" s="196" t="s">
        <v>0</v>
      </c>
      <c r="AE2" s="196" t="s">
        <v>1</v>
      </c>
      <c r="AF2" s="196" t="s">
        <v>2</v>
      </c>
      <c r="AG2" s="196" t="s">
        <v>3</v>
      </c>
      <c r="AH2" s="196" t="s">
        <v>0</v>
      </c>
      <c r="AI2" s="196" t="s">
        <v>1</v>
      </c>
      <c r="AJ2" s="196" t="s">
        <v>2</v>
      </c>
      <c r="AK2" s="196" t="s">
        <v>3</v>
      </c>
      <c r="AL2" s="196" t="s">
        <v>0</v>
      </c>
      <c r="AM2" s="196" t="s">
        <v>1</v>
      </c>
      <c r="AN2" s="196" t="s">
        <v>2</v>
      </c>
      <c r="AO2" s="196" t="s">
        <v>3</v>
      </c>
      <c r="AQ2" s="205" t="s">
        <v>81</v>
      </c>
      <c r="AR2" s="138"/>
      <c r="AT2" s="225" t="s">
        <v>99</v>
      </c>
      <c r="AU2" s="138"/>
      <c r="AW2" s="905" t="s">
        <v>903</v>
      </c>
      <c r="AX2" s="904"/>
      <c r="AZ2" s="897" t="s">
        <v>82</v>
      </c>
      <c r="BA2" s="138"/>
      <c r="BC2" s="1180" t="s">
        <v>902</v>
      </c>
      <c r="BD2" s="1181"/>
    </row>
    <row r="3" spans="1:56" ht="14.95" customHeight="1" thickBot="1" x14ac:dyDescent="0.35">
      <c r="A3" s="268" t="s">
        <v>888</v>
      </c>
      <c r="B3" s="270" t="s">
        <v>46</v>
      </c>
      <c r="C3" s="270" t="s">
        <v>33</v>
      </c>
      <c r="D3" s="269" t="s">
        <v>86</v>
      </c>
      <c r="E3" s="271" t="s">
        <v>3</v>
      </c>
      <c r="F3" s="271">
        <v>15</v>
      </c>
      <c r="G3" s="271">
        <v>18</v>
      </c>
      <c r="H3" s="691">
        <v>0</v>
      </c>
      <c r="I3" s="691">
        <v>1</v>
      </c>
      <c r="J3" s="691">
        <v>2</v>
      </c>
      <c r="K3" s="691">
        <v>1</v>
      </c>
      <c r="L3" s="691">
        <v>0</v>
      </c>
      <c r="M3" s="691">
        <v>1</v>
      </c>
      <c r="N3" s="691">
        <v>1</v>
      </c>
      <c r="O3" s="691">
        <v>0</v>
      </c>
      <c r="P3" s="691">
        <v>0</v>
      </c>
      <c r="Q3" s="691">
        <v>0</v>
      </c>
      <c r="R3" s="691">
        <v>2</v>
      </c>
      <c r="S3" s="277">
        <v>68245</v>
      </c>
      <c r="T3" s="278" t="s">
        <v>442</v>
      </c>
      <c r="U3" s="279" t="s">
        <v>165</v>
      </c>
      <c r="V3" s="277" t="s">
        <v>240</v>
      </c>
      <c r="W3" s="277" t="s">
        <v>215</v>
      </c>
      <c r="X3" s="273" t="s">
        <v>917</v>
      </c>
      <c r="Y3" s="280" t="s">
        <v>590</v>
      </c>
      <c r="Z3" s="273">
        <v>1</v>
      </c>
      <c r="AA3" s="273">
        <v>0</v>
      </c>
      <c r="AB3" s="273">
        <v>0</v>
      </c>
      <c r="AC3" s="287">
        <v>1</v>
      </c>
      <c r="AD3" s="273">
        <v>0</v>
      </c>
      <c r="AE3" s="273">
        <v>0</v>
      </c>
      <c r="AF3" s="273">
        <v>0</v>
      </c>
      <c r="AG3" s="287">
        <v>0</v>
      </c>
      <c r="AH3" s="862">
        <v>1</v>
      </c>
      <c r="AI3" s="862">
        <v>0</v>
      </c>
      <c r="AJ3" s="862">
        <v>0</v>
      </c>
      <c r="AK3" s="862">
        <v>1</v>
      </c>
      <c r="AL3" s="862">
        <v>0</v>
      </c>
      <c r="AM3" s="862">
        <v>0</v>
      </c>
      <c r="AN3" s="862">
        <v>0</v>
      </c>
      <c r="AO3" s="862">
        <v>0</v>
      </c>
      <c r="AQ3" s="214" t="s">
        <v>101</v>
      </c>
      <c r="AR3" s="215">
        <f>Scotlandalltestshistplayed</f>
        <v>771</v>
      </c>
      <c r="AT3" s="214" t="s">
        <v>101</v>
      </c>
      <c r="AU3" s="215">
        <f>ScotlandRWChistplayed</f>
        <v>46</v>
      </c>
      <c r="AW3" s="214" t="s">
        <v>101</v>
      </c>
      <c r="AX3" s="215"/>
      <c r="AZ3" s="214" t="s">
        <v>101</v>
      </c>
      <c r="BA3" s="215"/>
      <c r="BC3" s="214" t="s">
        <v>101</v>
      </c>
      <c r="BD3" s="215"/>
    </row>
    <row r="4" spans="1:56" ht="14.95" customHeight="1" thickBot="1" x14ac:dyDescent="0.35">
      <c r="A4" s="289" t="s">
        <v>883</v>
      </c>
      <c r="B4" s="290" t="s">
        <v>46</v>
      </c>
      <c r="C4" s="290" t="s">
        <v>30</v>
      </c>
      <c r="D4" s="300" t="s">
        <v>89</v>
      </c>
      <c r="E4" s="291" t="s">
        <v>1</v>
      </c>
      <c r="F4" s="291">
        <v>31</v>
      </c>
      <c r="G4" s="291">
        <v>20</v>
      </c>
      <c r="H4" s="692">
        <v>1</v>
      </c>
      <c r="I4" s="692">
        <v>0</v>
      </c>
      <c r="J4" s="692">
        <v>4</v>
      </c>
      <c r="K4" s="692">
        <v>4</v>
      </c>
      <c r="L4" s="692">
        <v>0</v>
      </c>
      <c r="M4" s="692">
        <v>1</v>
      </c>
      <c r="N4" s="692">
        <v>0</v>
      </c>
      <c r="O4" s="692">
        <v>0</v>
      </c>
      <c r="P4" s="692">
        <v>0</v>
      </c>
      <c r="Q4" s="692">
        <v>0</v>
      </c>
      <c r="R4" s="692">
        <v>2</v>
      </c>
      <c r="S4" s="292">
        <v>67150</v>
      </c>
      <c r="T4" s="302" t="s">
        <v>940</v>
      </c>
      <c r="U4" s="294" t="s">
        <v>184</v>
      </c>
      <c r="V4" s="292" t="s">
        <v>215</v>
      </c>
      <c r="W4" s="292" t="s">
        <v>251</v>
      </c>
      <c r="X4" s="292" t="s">
        <v>187</v>
      </c>
      <c r="Y4" s="295" t="s">
        <v>214</v>
      </c>
      <c r="Z4" s="295">
        <v>1</v>
      </c>
      <c r="AA4" s="295">
        <v>1</v>
      </c>
      <c r="AB4" s="295">
        <v>0</v>
      </c>
      <c r="AC4" s="307">
        <v>0</v>
      </c>
      <c r="AD4" s="295">
        <v>1</v>
      </c>
      <c r="AE4" s="295">
        <v>1</v>
      </c>
      <c r="AF4" s="295">
        <v>0</v>
      </c>
      <c r="AG4" s="295">
        <v>0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295">
        <v>0</v>
      </c>
      <c r="AQ4" s="216" t="s">
        <v>102</v>
      </c>
      <c r="AR4" s="217">
        <f>Scotlandalltestshistwon</f>
        <v>344</v>
      </c>
      <c r="AT4" s="216" t="s">
        <v>102</v>
      </c>
      <c r="AU4" s="217">
        <f>ScotlandRWChistwon</f>
        <v>26</v>
      </c>
      <c r="AW4" s="216" t="s">
        <v>102</v>
      </c>
      <c r="AX4" s="217"/>
      <c r="AZ4" s="216" t="s">
        <v>102</v>
      </c>
      <c r="BA4" s="217"/>
      <c r="BC4" s="216" t="s">
        <v>102</v>
      </c>
      <c r="BD4" s="217"/>
    </row>
    <row r="5" spans="1:56" ht="14.95" customHeight="1" thickBot="1" x14ac:dyDescent="0.3">
      <c r="A5" s="268" t="s">
        <v>884</v>
      </c>
      <c r="B5" s="270" t="s">
        <v>46</v>
      </c>
      <c r="C5" s="270" t="s">
        <v>32</v>
      </c>
      <c r="D5" s="269" t="s">
        <v>84</v>
      </c>
      <c r="E5" s="271" t="s">
        <v>1</v>
      </c>
      <c r="F5" s="271">
        <v>26</v>
      </c>
      <c r="G5" s="271">
        <v>23</v>
      </c>
      <c r="H5" s="691">
        <v>1</v>
      </c>
      <c r="I5" s="691">
        <v>0</v>
      </c>
      <c r="J5" s="691">
        <v>4</v>
      </c>
      <c r="K5" s="691">
        <v>3</v>
      </c>
      <c r="L5" s="691">
        <v>0</v>
      </c>
      <c r="M5" s="691">
        <v>0</v>
      </c>
      <c r="N5" s="691">
        <v>0</v>
      </c>
      <c r="O5" s="691">
        <v>0</v>
      </c>
      <c r="P5" s="691">
        <v>0</v>
      </c>
      <c r="Q5" s="691">
        <v>1</v>
      </c>
      <c r="R5" s="691">
        <v>2</v>
      </c>
      <c r="S5" s="277">
        <v>70649</v>
      </c>
      <c r="T5" s="281" t="s">
        <v>321</v>
      </c>
      <c r="U5" s="279" t="s">
        <v>167</v>
      </c>
      <c r="V5" s="277" t="s">
        <v>196</v>
      </c>
      <c r="W5" s="279" t="s">
        <v>181</v>
      </c>
      <c r="X5" s="279" t="s">
        <v>161</v>
      </c>
      <c r="Y5" s="273" t="s">
        <v>421</v>
      </c>
      <c r="Z5" s="273">
        <v>1</v>
      </c>
      <c r="AA5" s="273">
        <v>1</v>
      </c>
      <c r="AB5" s="273">
        <v>0</v>
      </c>
      <c r="AC5" s="287">
        <v>0</v>
      </c>
      <c r="AD5" s="862">
        <v>0</v>
      </c>
      <c r="AE5" s="274">
        <v>0</v>
      </c>
      <c r="AF5" s="273">
        <v>0</v>
      </c>
      <c r="AG5" s="273">
        <v>0</v>
      </c>
      <c r="AH5" s="273">
        <v>1</v>
      </c>
      <c r="AI5" s="273">
        <v>1</v>
      </c>
      <c r="AJ5" s="273">
        <v>0</v>
      </c>
      <c r="AK5" s="287">
        <v>0</v>
      </c>
      <c r="AL5" s="273">
        <v>0</v>
      </c>
      <c r="AM5" s="273">
        <v>0</v>
      </c>
      <c r="AN5" s="273">
        <v>0</v>
      </c>
      <c r="AO5" s="273">
        <v>0</v>
      </c>
      <c r="AQ5" s="216" t="s">
        <v>107</v>
      </c>
      <c r="AR5" s="217">
        <f>Scotlandalltestshistdrawn</f>
        <v>33</v>
      </c>
      <c r="AT5" s="216" t="s">
        <v>107</v>
      </c>
      <c r="AU5" s="217">
        <f>ScotlandRWChistdrawn</f>
        <v>1</v>
      </c>
      <c r="AW5" s="216" t="s">
        <v>107</v>
      </c>
      <c r="AX5" s="217"/>
      <c r="AZ5" s="216" t="s">
        <v>107</v>
      </c>
      <c r="BA5" s="217"/>
      <c r="BC5" s="216" t="s">
        <v>107</v>
      </c>
      <c r="BD5" s="217"/>
    </row>
    <row r="6" spans="1:56" ht="14.95" customHeight="1" thickBot="1" x14ac:dyDescent="0.35">
      <c r="A6" s="289" t="s">
        <v>870</v>
      </c>
      <c r="B6" s="290" t="s">
        <v>46</v>
      </c>
      <c r="C6" s="290" t="s">
        <v>34</v>
      </c>
      <c r="D6" s="300" t="s">
        <v>89</v>
      </c>
      <c r="E6" s="291" t="s">
        <v>1</v>
      </c>
      <c r="F6" s="291">
        <v>50</v>
      </c>
      <c r="G6" s="291">
        <v>40</v>
      </c>
      <c r="H6" s="692">
        <v>1</v>
      </c>
      <c r="I6" s="692">
        <v>0</v>
      </c>
      <c r="J6" s="692">
        <v>7</v>
      </c>
      <c r="K6" s="692">
        <v>6</v>
      </c>
      <c r="L6" s="692">
        <v>0</v>
      </c>
      <c r="M6" s="692">
        <v>1</v>
      </c>
      <c r="N6" s="692">
        <v>1</v>
      </c>
      <c r="O6" s="692">
        <v>0</v>
      </c>
      <c r="P6" s="692">
        <v>1</v>
      </c>
      <c r="Q6" s="692">
        <v>0</v>
      </c>
      <c r="R6" s="692">
        <v>6</v>
      </c>
      <c r="S6" s="292">
        <v>67144</v>
      </c>
      <c r="T6" s="302" t="s">
        <v>1070</v>
      </c>
      <c r="U6" s="294" t="s">
        <v>162</v>
      </c>
      <c r="V6" s="292" t="s">
        <v>188</v>
      </c>
      <c r="W6" s="292" t="s">
        <v>430</v>
      </c>
      <c r="X6" s="295" t="s">
        <v>177</v>
      </c>
      <c r="Y6" s="296" t="s">
        <v>186</v>
      </c>
      <c r="Z6" s="295">
        <v>1</v>
      </c>
      <c r="AA6" s="295">
        <v>1</v>
      </c>
      <c r="AB6" s="295">
        <v>0</v>
      </c>
      <c r="AC6" s="307">
        <v>0</v>
      </c>
      <c r="AD6" s="295">
        <v>1</v>
      </c>
      <c r="AE6" s="295">
        <v>1</v>
      </c>
      <c r="AF6" s="295">
        <v>0</v>
      </c>
      <c r="AG6" s="307">
        <v>0</v>
      </c>
      <c r="AH6" s="861">
        <v>0</v>
      </c>
      <c r="AI6" s="861">
        <v>0</v>
      </c>
      <c r="AJ6" s="861">
        <v>0</v>
      </c>
      <c r="AK6" s="861">
        <v>0</v>
      </c>
      <c r="AL6" s="295">
        <v>0</v>
      </c>
      <c r="AM6" s="295">
        <v>0</v>
      </c>
      <c r="AN6" s="295">
        <v>0</v>
      </c>
      <c r="AO6" s="295">
        <v>0</v>
      </c>
      <c r="AQ6" s="216" t="s">
        <v>103</v>
      </c>
      <c r="AR6" s="217">
        <f>Scotlandalltestshistlost</f>
        <v>394</v>
      </c>
      <c r="AT6" s="216" t="s">
        <v>103</v>
      </c>
      <c r="AU6" s="217">
        <f>ScotlandRWChistlost</f>
        <v>19</v>
      </c>
      <c r="AW6" s="216" t="s">
        <v>103</v>
      </c>
      <c r="AX6" s="217"/>
      <c r="AZ6" s="216" t="s">
        <v>103</v>
      </c>
      <c r="BA6" s="217"/>
      <c r="BC6" s="216" t="s">
        <v>103</v>
      </c>
      <c r="BD6" s="217"/>
    </row>
    <row r="7" spans="1:56" ht="14.95" customHeight="1" thickBot="1" x14ac:dyDescent="0.3">
      <c r="A7" s="268" t="s">
        <v>871</v>
      </c>
      <c r="B7" s="270" t="s">
        <v>46</v>
      </c>
      <c r="C7" s="270" t="s">
        <v>39</v>
      </c>
      <c r="D7" s="269" t="s">
        <v>87</v>
      </c>
      <c r="E7" s="271"/>
      <c r="F7" s="271"/>
      <c r="G7" s="27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277"/>
      <c r="T7" s="281"/>
      <c r="U7" s="279"/>
      <c r="V7" s="277"/>
      <c r="W7" s="277"/>
      <c r="X7" s="273"/>
      <c r="Y7" s="280"/>
      <c r="Z7" s="273"/>
      <c r="AA7" s="273"/>
      <c r="AB7" s="273"/>
      <c r="AC7" s="287"/>
      <c r="AD7" s="273"/>
      <c r="AE7" s="273"/>
      <c r="AF7" s="273"/>
      <c r="AG7" s="273"/>
      <c r="AH7" s="273"/>
      <c r="AI7" s="273"/>
      <c r="AJ7" s="273"/>
      <c r="AK7" s="287"/>
      <c r="AL7" s="273"/>
      <c r="AM7" s="273"/>
      <c r="AN7" s="273"/>
      <c r="AO7" s="273"/>
      <c r="AQ7" s="216" t="s">
        <v>108</v>
      </c>
      <c r="AR7" s="217">
        <f>Scotlandalltestshistptsscored</f>
        <v>11975</v>
      </c>
      <c r="AT7" s="216" t="s">
        <v>108</v>
      </c>
      <c r="AU7" s="217">
        <f>ScotlandRWChistptsscored</f>
        <v>1407</v>
      </c>
      <c r="AW7" s="216" t="s">
        <v>108</v>
      </c>
      <c r="AX7" s="217"/>
      <c r="AZ7" s="216" t="s">
        <v>108</v>
      </c>
      <c r="BA7" s="217"/>
      <c r="BC7" s="216" t="s">
        <v>108</v>
      </c>
      <c r="BD7" s="217"/>
    </row>
    <row r="8" spans="1:56" ht="14.95" customHeight="1" thickBot="1" x14ac:dyDescent="0.3">
      <c r="A8" s="268" t="s">
        <v>873</v>
      </c>
      <c r="B8" s="270" t="s">
        <v>876</v>
      </c>
      <c r="C8" s="270" t="s">
        <v>37</v>
      </c>
      <c r="D8" s="269" t="s">
        <v>1049</v>
      </c>
      <c r="E8" s="271"/>
      <c r="F8" s="271"/>
      <c r="G8" s="271"/>
      <c r="H8" s="691"/>
      <c r="I8" s="691"/>
      <c r="J8" s="691"/>
      <c r="K8" s="691"/>
      <c r="L8" s="691"/>
      <c r="M8" s="691"/>
      <c r="N8" s="691"/>
      <c r="O8" s="701"/>
      <c r="P8" s="691"/>
      <c r="Q8" s="691"/>
      <c r="R8" s="691"/>
      <c r="S8" s="277"/>
      <c r="T8" s="281"/>
      <c r="U8" s="279"/>
      <c r="V8" s="277"/>
      <c r="W8" s="277"/>
      <c r="X8" s="277"/>
      <c r="Y8" s="277"/>
      <c r="Z8" s="273"/>
      <c r="AA8" s="273"/>
      <c r="AB8" s="273"/>
      <c r="AC8" s="287"/>
      <c r="AD8" s="273"/>
      <c r="AE8" s="273"/>
      <c r="AF8" s="273"/>
      <c r="AG8" s="287"/>
      <c r="AH8" s="273"/>
      <c r="AI8" s="273"/>
      <c r="AJ8" s="273"/>
      <c r="AK8" s="287"/>
      <c r="AL8" s="273"/>
      <c r="AM8" s="273"/>
      <c r="AN8" s="273"/>
      <c r="AO8" s="287"/>
      <c r="AQ8" s="216" t="s">
        <v>109</v>
      </c>
      <c r="AR8" s="217">
        <f>Scotlandalltestshistptscon</f>
        <v>12005</v>
      </c>
      <c r="AT8" s="216" t="s">
        <v>109</v>
      </c>
      <c r="AU8" s="217">
        <f>ScotlandRWChistptscon</f>
        <v>874</v>
      </c>
      <c r="AW8" s="216" t="s">
        <v>109</v>
      </c>
      <c r="AX8" s="217"/>
      <c r="AZ8" s="216" t="s">
        <v>109</v>
      </c>
      <c r="BA8" s="217"/>
      <c r="BC8" s="216" t="s">
        <v>109</v>
      </c>
      <c r="BD8" s="217"/>
    </row>
    <row r="9" spans="1:56" ht="14.95" customHeight="1" thickBot="1" x14ac:dyDescent="0.35">
      <c r="A9" s="268" t="s">
        <v>875</v>
      </c>
      <c r="B9" s="270" t="s">
        <v>876</v>
      </c>
      <c r="C9" s="270" t="s">
        <v>138</v>
      </c>
      <c r="D9" s="269" t="s">
        <v>418</v>
      </c>
      <c r="E9" s="271"/>
      <c r="F9" s="271"/>
      <c r="G9" s="27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277"/>
      <c r="T9" s="278"/>
      <c r="U9" s="279"/>
      <c r="V9" s="277"/>
      <c r="W9" s="277"/>
      <c r="X9" s="277"/>
      <c r="Y9" s="277"/>
      <c r="Z9" s="273"/>
      <c r="AA9" s="273"/>
      <c r="AB9" s="273"/>
      <c r="AC9" s="287"/>
      <c r="AD9" s="273"/>
      <c r="AE9" s="273"/>
      <c r="AF9" s="273"/>
      <c r="AG9" s="287"/>
      <c r="AH9" s="273"/>
      <c r="AI9" s="273"/>
      <c r="AJ9" s="273"/>
      <c r="AK9" s="287"/>
      <c r="AL9" s="273"/>
      <c r="AM9" s="273"/>
      <c r="AN9" s="273"/>
      <c r="AO9" s="287"/>
      <c r="AQ9" s="216" t="s">
        <v>100</v>
      </c>
      <c r="AR9" s="217">
        <f>Scotlandalltestshisttriesscored</f>
        <v>1545</v>
      </c>
      <c r="AT9" s="216" t="s">
        <v>100</v>
      </c>
      <c r="AU9" s="217">
        <f>ScotlandRWChisttriesscored</f>
        <v>167</v>
      </c>
      <c r="AW9" s="216" t="s">
        <v>100</v>
      </c>
      <c r="AX9" s="217"/>
      <c r="AZ9" s="216" t="s">
        <v>100</v>
      </c>
      <c r="BA9" s="217"/>
      <c r="BC9" s="216" t="s">
        <v>100</v>
      </c>
      <c r="BD9" s="217"/>
    </row>
    <row r="10" spans="1:56" ht="14.95" customHeight="1" thickBot="1" x14ac:dyDescent="0.35">
      <c r="A10" s="289" t="s">
        <v>498</v>
      </c>
      <c r="B10" s="290" t="s">
        <v>876</v>
      </c>
      <c r="C10" s="290" t="s">
        <v>31</v>
      </c>
      <c r="D10" s="300" t="s">
        <v>89</v>
      </c>
      <c r="E10" s="291"/>
      <c r="F10" s="291"/>
      <c r="G10" s="291"/>
      <c r="H10" s="692"/>
      <c r="I10" s="692"/>
      <c r="J10" s="692"/>
      <c r="K10" s="692"/>
      <c r="L10" s="291"/>
      <c r="M10" s="692"/>
      <c r="N10" s="692"/>
      <c r="O10" s="692"/>
      <c r="P10" s="692"/>
      <c r="Q10" s="692"/>
      <c r="R10" s="692"/>
      <c r="S10" s="292"/>
      <c r="T10" s="302"/>
      <c r="U10" s="294"/>
      <c r="V10" s="292"/>
      <c r="W10" s="292"/>
      <c r="X10" s="296"/>
      <c r="Y10" s="296"/>
      <c r="Z10" s="295"/>
      <c r="AA10" s="295"/>
      <c r="AB10" s="295"/>
      <c r="AC10" s="307"/>
      <c r="AD10" s="295"/>
      <c r="AE10" s="295"/>
      <c r="AF10" s="295"/>
      <c r="AG10" s="307"/>
      <c r="AH10" s="295"/>
      <c r="AI10" s="295"/>
      <c r="AJ10" s="295"/>
      <c r="AK10" s="307"/>
      <c r="AL10" s="295"/>
      <c r="AM10" s="295"/>
      <c r="AN10" s="295"/>
      <c r="AO10" s="307"/>
    </row>
    <row r="11" spans="1:56" ht="14.95" customHeight="1" thickBot="1" x14ac:dyDescent="0.3">
      <c r="A11" s="289" t="s">
        <v>1068</v>
      </c>
      <c r="B11" s="290" t="s">
        <v>876</v>
      </c>
      <c r="C11" s="290" t="s">
        <v>90</v>
      </c>
      <c r="D11" s="300" t="s">
        <v>89</v>
      </c>
      <c r="E11" s="291"/>
      <c r="F11" s="291"/>
      <c r="G11" s="291"/>
      <c r="H11" s="692"/>
      <c r="I11" s="692"/>
      <c r="J11" s="692"/>
      <c r="K11" s="692"/>
      <c r="L11" s="692"/>
      <c r="M11" s="692"/>
      <c r="N11" s="692"/>
      <c r="O11" s="692"/>
      <c r="P11" s="692"/>
      <c r="Q11" s="692"/>
      <c r="R11" s="692"/>
      <c r="S11" s="292"/>
      <c r="T11" s="293"/>
      <c r="U11" s="294"/>
      <c r="V11" s="292"/>
      <c r="W11" s="292"/>
      <c r="X11" s="292"/>
      <c r="Y11" s="296"/>
      <c r="Z11" s="295"/>
      <c r="AA11" s="295"/>
      <c r="AB11" s="295"/>
      <c r="AC11" s="307"/>
      <c r="AD11" s="295"/>
      <c r="AE11" s="295"/>
      <c r="AF11" s="295"/>
      <c r="AG11" s="307"/>
      <c r="AH11" s="295"/>
      <c r="AI11" s="295"/>
      <c r="AJ11" s="295"/>
      <c r="AK11" s="307"/>
      <c r="AL11" s="295"/>
      <c r="AM11" s="295"/>
      <c r="AN11" s="295"/>
      <c r="AO11" s="307"/>
      <c r="AP11" s="179"/>
    </row>
    <row r="12" spans="1:56" ht="14.95" customHeight="1" thickBot="1" x14ac:dyDescent="0.35">
      <c r="A12" s="289" t="s">
        <v>264</v>
      </c>
      <c r="B12" s="290" t="s">
        <v>876</v>
      </c>
      <c r="C12" s="290" t="s">
        <v>29</v>
      </c>
      <c r="D12" s="300" t="s">
        <v>89</v>
      </c>
      <c r="E12" s="291"/>
      <c r="F12" s="291"/>
      <c r="G12" s="291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2"/>
      <c r="S12" s="292"/>
      <c r="T12" s="710"/>
      <c r="U12" s="294"/>
      <c r="V12" s="292"/>
      <c r="W12" s="292"/>
      <c r="X12" s="292"/>
      <c r="Y12" s="296"/>
      <c r="Z12" s="295"/>
      <c r="AA12" s="295"/>
      <c r="AB12" s="295"/>
      <c r="AC12" s="307"/>
      <c r="AD12" s="295"/>
      <c r="AE12" s="295"/>
      <c r="AF12" s="295"/>
      <c r="AG12" s="307"/>
      <c r="AH12" s="295"/>
      <c r="AI12" s="295"/>
      <c r="AJ12" s="295"/>
      <c r="AK12" s="307"/>
      <c r="AL12" s="295"/>
      <c r="AM12" s="295"/>
      <c r="AN12" s="295"/>
      <c r="AO12" s="307"/>
      <c r="AP12" s="179"/>
    </row>
    <row r="13" spans="1:56" ht="14.95" customHeight="1" thickBot="1" x14ac:dyDescent="0.35">
      <c r="A13" s="289" t="s">
        <v>881</v>
      </c>
      <c r="B13" s="290" t="s">
        <v>876</v>
      </c>
      <c r="C13" s="290" t="s">
        <v>36</v>
      </c>
      <c r="D13" s="300" t="s">
        <v>89</v>
      </c>
      <c r="E13" s="291"/>
      <c r="F13" s="291"/>
      <c r="G13" s="291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292"/>
      <c r="T13" s="710"/>
      <c r="U13" s="294"/>
      <c r="V13" s="292"/>
      <c r="W13" s="292"/>
      <c r="X13" s="292"/>
      <c r="Y13" s="296"/>
      <c r="Z13" s="295"/>
      <c r="AA13" s="295"/>
      <c r="AB13" s="295"/>
      <c r="AC13" s="307"/>
      <c r="AD13" s="295"/>
      <c r="AE13" s="295"/>
      <c r="AF13" s="295"/>
      <c r="AG13" s="307"/>
      <c r="AH13" s="295"/>
      <c r="AI13" s="295"/>
      <c r="AJ13" s="295"/>
      <c r="AK13" s="307"/>
      <c r="AL13" s="295"/>
      <c r="AM13" s="295"/>
      <c r="AN13" s="295"/>
      <c r="AO13" s="307"/>
      <c r="AP13" s="179"/>
    </row>
    <row r="14" spans="1:56" ht="14.95" customHeight="1" thickBot="1" x14ac:dyDescent="0.35">
      <c r="A14" s="882" t="s">
        <v>874</v>
      </c>
      <c r="B14" s="883" t="s">
        <v>879</v>
      </c>
      <c r="C14" s="883"/>
      <c r="D14" s="894" t="s">
        <v>88</v>
      </c>
      <c r="E14" s="878"/>
      <c r="F14" s="878"/>
      <c r="G14" s="878"/>
      <c r="H14" s="879"/>
      <c r="I14" s="879"/>
      <c r="J14" s="879"/>
      <c r="K14" s="879"/>
      <c r="L14" s="879"/>
      <c r="M14" s="879"/>
      <c r="N14" s="879"/>
      <c r="O14" s="879"/>
      <c r="P14" s="879"/>
      <c r="Q14" s="879"/>
      <c r="R14" s="879"/>
      <c r="S14" s="880"/>
      <c r="T14" s="892"/>
      <c r="U14" s="880"/>
      <c r="V14" s="880"/>
      <c r="W14" s="880"/>
      <c r="X14" s="880"/>
      <c r="Y14" s="893"/>
      <c r="Z14" s="880"/>
      <c r="AA14" s="880"/>
      <c r="AB14" s="880"/>
      <c r="AC14" s="881"/>
      <c r="AD14" s="880"/>
      <c r="AE14" s="880"/>
      <c r="AF14" s="880"/>
      <c r="AG14" s="881"/>
      <c r="AH14" s="880"/>
      <c r="AI14" s="880"/>
      <c r="AJ14" s="880"/>
      <c r="AK14" s="881"/>
      <c r="AL14" s="880"/>
      <c r="AM14" s="880"/>
      <c r="AN14" s="880"/>
      <c r="AO14" s="881"/>
      <c r="AP14" s="179"/>
    </row>
    <row r="15" spans="1:56" ht="14.95" customHeight="1" thickBot="1" x14ac:dyDescent="0.3">
      <c r="A15" s="179"/>
      <c r="B15" s="180"/>
      <c r="C15" s="1151" t="s">
        <v>82</v>
      </c>
      <c r="D15" s="1152"/>
      <c r="E15" s="1153"/>
      <c r="F15" s="869">
        <f>SUM(F3:F7)</f>
        <v>122</v>
      </c>
      <c r="G15" s="869">
        <f t="shared" ref="G15:R15" si="0">SUM(G3:G7)</f>
        <v>101</v>
      </c>
      <c r="H15" s="869">
        <f t="shared" si="0"/>
        <v>3</v>
      </c>
      <c r="I15" s="869">
        <f t="shared" si="0"/>
        <v>1</v>
      </c>
      <c r="J15" s="869">
        <f t="shared" si="0"/>
        <v>17</v>
      </c>
      <c r="K15" s="869">
        <f t="shared" si="0"/>
        <v>14</v>
      </c>
      <c r="L15" s="869">
        <f t="shared" si="0"/>
        <v>0</v>
      </c>
      <c r="M15" s="869">
        <f t="shared" si="0"/>
        <v>3</v>
      </c>
      <c r="N15" s="869">
        <f t="shared" si="0"/>
        <v>2</v>
      </c>
      <c r="O15" s="869">
        <f t="shared" si="0"/>
        <v>0</v>
      </c>
      <c r="P15" s="869">
        <f t="shared" si="0"/>
        <v>1</v>
      </c>
      <c r="Q15" s="869">
        <f t="shared" si="0"/>
        <v>1</v>
      </c>
      <c r="R15" s="869">
        <f t="shared" si="0"/>
        <v>12</v>
      </c>
      <c r="S15" s="870"/>
      <c r="T15" s="870"/>
      <c r="U15" s="870"/>
      <c r="V15" s="870"/>
      <c r="W15" s="870"/>
      <c r="X15" s="871"/>
      <c r="Y15" s="872" t="s">
        <v>82</v>
      </c>
      <c r="Z15" s="869">
        <f t="shared" ref="Z15:AO15" si="1">SUM(Z3:Z7)</f>
        <v>4</v>
      </c>
      <c r="AA15" s="869">
        <f t="shared" si="1"/>
        <v>3</v>
      </c>
      <c r="AB15" s="869">
        <f t="shared" si="1"/>
        <v>0</v>
      </c>
      <c r="AC15" s="869">
        <f t="shared" si="1"/>
        <v>1</v>
      </c>
      <c r="AD15" s="873">
        <f t="shared" si="1"/>
        <v>2</v>
      </c>
      <c r="AE15" s="873">
        <f t="shared" si="1"/>
        <v>2</v>
      </c>
      <c r="AF15" s="873">
        <f t="shared" si="1"/>
        <v>0</v>
      </c>
      <c r="AG15" s="873">
        <f t="shared" si="1"/>
        <v>0</v>
      </c>
      <c r="AH15" s="874">
        <f t="shared" si="1"/>
        <v>2</v>
      </c>
      <c r="AI15" s="874">
        <f t="shared" si="1"/>
        <v>1</v>
      </c>
      <c r="AJ15" s="874">
        <f t="shared" si="1"/>
        <v>0</v>
      </c>
      <c r="AK15" s="874">
        <f t="shared" si="1"/>
        <v>1</v>
      </c>
      <c r="AL15" s="869">
        <f t="shared" si="1"/>
        <v>0</v>
      </c>
      <c r="AM15" s="869">
        <f t="shared" si="1"/>
        <v>0</v>
      </c>
      <c r="AN15" s="869">
        <f t="shared" si="1"/>
        <v>0</v>
      </c>
      <c r="AO15" s="869">
        <f t="shared" si="1"/>
        <v>0</v>
      </c>
    </row>
    <row r="16" spans="1:56" ht="14.95" customHeight="1" thickBot="1" x14ac:dyDescent="0.3">
      <c r="A16" s="179"/>
      <c r="B16" s="180"/>
      <c r="C16" s="1128" t="s">
        <v>878</v>
      </c>
      <c r="D16" s="1157"/>
      <c r="E16" s="1158"/>
      <c r="F16" s="547">
        <f>SUM(F8:F14)</f>
        <v>0</v>
      </c>
      <c r="G16" s="547">
        <f t="shared" ref="G16:R16" si="2">SUM(G8:G14)</f>
        <v>0</v>
      </c>
      <c r="H16" s="547">
        <f t="shared" si="2"/>
        <v>0</v>
      </c>
      <c r="I16" s="547">
        <f t="shared" si="2"/>
        <v>0</v>
      </c>
      <c r="J16" s="547">
        <f t="shared" si="2"/>
        <v>0</v>
      </c>
      <c r="K16" s="547">
        <f t="shared" si="2"/>
        <v>0</v>
      </c>
      <c r="L16" s="547">
        <f t="shared" si="2"/>
        <v>0</v>
      </c>
      <c r="M16" s="547">
        <f t="shared" si="2"/>
        <v>0</v>
      </c>
      <c r="N16" s="547">
        <f t="shared" si="2"/>
        <v>0</v>
      </c>
      <c r="O16" s="547">
        <f t="shared" si="2"/>
        <v>0</v>
      </c>
      <c r="P16" s="547">
        <f t="shared" si="2"/>
        <v>0</v>
      </c>
      <c r="Q16" s="547">
        <f t="shared" si="2"/>
        <v>0</v>
      </c>
      <c r="R16" s="547">
        <f t="shared" si="2"/>
        <v>0</v>
      </c>
      <c r="S16" s="548"/>
      <c r="T16" s="548"/>
      <c r="U16" s="548"/>
      <c r="V16" s="548"/>
      <c r="W16" s="548"/>
      <c r="X16" s="175"/>
      <c r="Y16" s="249" t="s">
        <v>878</v>
      </c>
      <c r="Z16" s="547">
        <f t="shared" ref="Z16:AO16" si="3">SUM(Z8:Z14)</f>
        <v>0</v>
      </c>
      <c r="AA16" s="547">
        <f t="shared" si="3"/>
        <v>0</v>
      </c>
      <c r="AB16" s="547">
        <f t="shared" si="3"/>
        <v>0</v>
      </c>
      <c r="AC16" s="547">
        <f t="shared" si="3"/>
        <v>0</v>
      </c>
      <c r="AD16" s="549">
        <f t="shared" si="3"/>
        <v>0</v>
      </c>
      <c r="AE16" s="549">
        <f t="shared" si="3"/>
        <v>0</v>
      </c>
      <c r="AF16" s="549">
        <f t="shared" si="3"/>
        <v>0</v>
      </c>
      <c r="AG16" s="549">
        <f t="shared" si="3"/>
        <v>0</v>
      </c>
      <c r="AH16" s="550">
        <f t="shared" si="3"/>
        <v>0</v>
      </c>
      <c r="AI16" s="550">
        <f t="shared" si="3"/>
        <v>0</v>
      </c>
      <c r="AJ16" s="550">
        <f t="shared" si="3"/>
        <v>0</v>
      </c>
      <c r="AK16" s="550">
        <f t="shared" si="3"/>
        <v>0</v>
      </c>
      <c r="AL16" s="547">
        <f t="shared" si="3"/>
        <v>0</v>
      </c>
      <c r="AM16" s="547">
        <f t="shared" si="3"/>
        <v>0</v>
      </c>
      <c r="AN16" s="547">
        <f t="shared" si="3"/>
        <v>0</v>
      </c>
      <c r="AO16" s="547">
        <f t="shared" si="3"/>
        <v>0</v>
      </c>
    </row>
    <row r="17" spans="1:41" ht="14.95" customHeight="1" thickBot="1" x14ac:dyDescent="0.3">
      <c r="A17" s="179"/>
      <c r="B17" s="180"/>
      <c r="C17" s="1087" t="s">
        <v>81</v>
      </c>
      <c r="D17" s="1088"/>
      <c r="E17" s="1089"/>
      <c r="F17" s="231">
        <f t="shared" ref="F17:R17" si="4">SUM(F3:F14)</f>
        <v>122</v>
      </c>
      <c r="G17" s="231">
        <f t="shared" si="4"/>
        <v>101</v>
      </c>
      <c r="H17" s="231">
        <f t="shared" si="4"/>
        <v>3</v>
      </c>
      <c r="I17" s="231">
        <f t="shared" si="4"/>
        <v>1</v>
      </c>
      <c r="J17" s="231">
        <f t="shared" si="4"/>
        <v>17</v>
      </c>
      <c r="K17" s="231">
        <f t="shared" si="4"/>
        <v>14</v>
      </c>
      <c r="L17" s="231">
        <f t="shared" si="4"/>
        <v>0</v>
      </c>
      <c r="M17" s="231">
        <f t="shared" si="4"/>
        <v>3</v>
      </c>
      <c r="N17" s="231">
        <f t="shared" si="4"/>
        <v>2</v>
      </c>
      <c r="O17" s="231">
        <f t="shared" si="4"/>
        <v>0</v>
      </c>
      <c r="P17" s="231">
        <f t="shared" si="4"/>
        <v>1</v>
      </c>
      <c r="Q17" s="231">
        <f t="shared" si="4"/>
        <v>1</v>
      </c>
      <c r="R17" s="231">
        <f t="shared" si="4"/>
        <v>12</v>
      </c>
      <c r="S17" s="228"/>
      <c r="T17" s="228"/>
      <c r="U17" s="228"/>
      <c r="V17" s="228"/>
      <c r="W17" s="228"/>
      <c r="X17" s="13"/>
      <c r="Y17" s="246" t="s">
        <v>81</v>
      </c>
      <c r="Z17" s="231">
        <f t="shared" ref="Z17:AO17" si="5">SUM(Z3:Z14)</f>
        <v>4</v>
      </c>
      <c r="AA17" s="231">
        <f t="shared" si="5"/>
        <v>3</v>
      </c>
      <c r="AB17" s="231">
        <f t="shared" si="5"/>
        <v>0</v>
      </c>
      <c r="AC17" s="231">
        <f t="shared" si="5"/>
        <v>1</v>
      </c>
      <c r="AD17" s="229">
        <f t="shared" si="5"/>
        <v>2</v>
      </c>
      <c r="AE17" s="229">
        <f t="shared" si="5"/>
        <v>2</v>
      </c>
      <c r="AF17" s="229">
        <f t="shared" si="5"/>
        <v>0</v>
      </c>
      <c r="AG17" s="229">
        <f t="shared" si="5"/>
        <v>0</v>
      </c>
      <c r="AH17" s="230">
        <f t="shared" si="5"/>
        <v>2</v>
      </c>
      <c r="AI17" s="230">
        <f t="shared" si="5"/>
        <v>1</v>
      </c>
      <c r="AJ17" s="230">
        <f t="shared" si="5"/>
        <v>0</v>
      </c>
      <c r="AK17" s="230">
        <f t="shared" si="5"/>
        <v>1</v>
      </c>
      <c r="AL17" s="231">
        <f t="shared" si="5"/>
        <v>0</v>
      </c>
      <c r="AM17" s="231">
        <f t="shared" si="5"/>
        <v>0</v>
      </c>
      <c r="AN17" s="231">
        <f t="shared" si="5"/>
        <v>0</v>
      </c>
      <c r="AO17" s="231">
        <f t="shared" si="5"/>
        <v>0</v>
      </c>
    </row>
    <row r="18" spans="1:41" ht="14.95" customHeight="1" x14ac:dyDescent="0.25">
      <c r="A18" s="1108" t="s">
        <v>1050</v>
      </c>
      <c r="B18" s="1268"/>
      <c r="C18" s="1268"/>
      <c r="D18" s="1268"/>
      <c r="E18" s="1268"/>
      <c r="F18" s="1268"/>
      <c r="G18" s="1268"/>
      <c r="H18" s="1268"/>
      <c r="I18" s="1268"/>
      <c r="J18" s="1268"/>
      <c r="K18" s="1268"/>
      <c r="L18" s="1268"/>
      <c r="M18" s="1268"/>
      <c r="N18" s="1268"/>
      <c r="O18" s="1268"/>
      <c r="P18" s="1268"/>
      <c r="Q18" s="1268"/>
      <c r="R18" s="1268"/>
      <c r="S18" s="404"/>
      <c r="T18" s="404"/>
      <c r="U18" s="404"/>
      <c r="V18" s="404"/>
      <c r="W18" s="404"/>
      <c r="X18" s="13"/>
      <c r="Y18" s="13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</row>
    <row r="19" spans="1:41" ht="14.95" customHeight="1" x14ac:dyDescent="0.25">
      <c r="A19" s="889" t="s">
        <v>898</v>
      </c>
    </row>
    <row r="20" spans="1:41" ht="14.3" customHeight="1" x14ac:dyDescent="0.25">
      <c r="A20" s="889" t="s">
        <v>899</v>
      </c>
    </row>
    <row r="21" spans="1:41" ht="14.95" customHeight="1" x14ac:dyDescent="0.25">
      <c r="A21" s="996" t="s">
        <v>1048</v>
      </c>
    </row>
    <row r="22" spans="1:41" ht="14.95" customHeight="1" x14ac:dyDescent="0.25">
      <c r="A22" s="889" t="s">
        <v>882</v>
      </c>
    </row>
    <row r="23" spans="1:41" ht="14.95" customHeight="1" x14ac:dyDescent="0.25">
      <c r="A23" s="1108" t="s">
        <v>877</v>
      </c>
      <c r="B23" s="1063"/>
      <c r="C23" s="1063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  <c r="Q23" s="1063"/>
      <c r="R23" s="1063"/>
    </row>
    <row r="24" spans="1:41" ht="14.95" customHeight="1" x14ac:dyDescent="0.25">
      <c r="A24" s="1108" t="s">
        <v>880</v>
      </c>
      <c r="B24" s="1063"/>
      <c r="C24" s="1063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  <c r="O24" s="1063"/>
      <c r="P24" s="1063"/>
      <c r="Q24" s="1063"/>
      <c r="R24" s="1063"/>
    </row>
    <row r="25" spans="1:41" ht="14.95" customHeight="1" x14ac:dyDescent="0.25">
      <c r="A25" s="313" t="s">
        <v>133</v>
      </c>
    </row>
    <row r="26" spans="1:41" ht="14.95" customHeight="1" x14ac:dyDescent="0.25">
      <c r="A26" s="376"/>
      <c r="B26" t="s">
        <v>44</v>
      </c>
    </row>
    <row r="27" spans="1:41" ht="14.95" customHeight="1" x14ac:dyDescent="0.25">
      <c r="A27" s="377"/>
      <c r="B27" t="s">
        <v>42</v>
      </c>
    </row>
    <row r="28" spans="1:41" ht="14.95" customHeight="1" x14ac:dyDescent="0.25">
      <c r="A28" s="378"/>
      <c r="B28" t="s">
        <v>43</v>
      </c>
    </row>
    <row r="29" spans="1:41" ht="14.95" customHeight="1" x14ac:dyDescent="0.3">
      <c r="A29" s="792" t="s">
        <v>28</v>
      </c>
    </row>
  </sheetData>
  <mergeCells count="17">
    <mergeCell ref="A1:C1"/>
    <mergeCell ref="E1:G1"/>
    <mergeCell ref="A18:R18"/>
    <mergeCell ref="BC2:BD2"/>
    <mergeCell ref="A24:R24"/>
    <mergeCell ref="AH1:AK1"/>
    <mergeCell ref="C16:E16"/>
    <mergeCell ref="AL1:AO1"/>
    <mergeCell ref="P1:R1"/>
    <mergeCell ref="H1:I1"/>
    <mergeCell ref="J1:M1"/>
    <mergeCell ref="N1:O1"/>
    <mergeCell ref="Z1:AC1"/>
    <mergeCell ref="AD1:AG1"/>
    <mergeCell ref="A23:R23"/>
    <mergeCell ref="C15:E15"/>
    <mergeCell ref="C17:E17"/>
  </mergeCells>
  <pageMargins left="0.7" right="0.7" top="0.75" bottom="0.75" header="0.3" footer="0.3"/>
  <pageSetup paperSize="9" orientation="portrait" r:id="rId1"/>
  <ignoredErrors>
    <ignoredError sqref="AU7:AU9" evalError="1"/>
    <ignoredError sqref="D16:E16 S16:X16 S15:Y15 F15:R15 Z15:AO15" formulaRange="1"/>
    <ignoredError sqref="T5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U33"/>
  <sheetViews>
    <sheetView zoomScaleNormal="100" workbookViewId="0">
      <selection activeCell="A23" sqref="A23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19.625" bestFit="1" customWidth="1"/>
    <col min="22" max="23" width="18.75" bestFit="1" customWidth="1"/>
    <col min="24" max="24" width="19.625" bestFit="1" customWidth="1"/>
    <col min="25" max="25" width="20.125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305" t="s">
        <v>400</v>
      </c>
      <c r="B1" s="1306"/>
      <c r="C1" s="1306"/>
      <c r="D1" s="103"/>
      <c r="E1" s="1307" t="s">
        <v>24</v>
      </c>
      <c r="F1" s="1308"/>
      <c r="G1" s="1309"/>
      <c r="H1" s="1307" t="s">
        <v>23</v>
      </c>
      <c r="I1" s="1309"/>
      <c r="J1" s="1310" t="s">
        <v>6</v>
      </c>
      <c r="K1" s="1311"/>
      <c r="L1" s="1311"/>
      <c r="M1" s="1312"/>
      <c r="N1" s="1310" t="s">
        <v>7</v>
      </c>
      <c r="O1" s="1312"/>
      <c r="P1" s="1310" t="s">
        <v>25</v>
      </c>
      <c r="Q1" s="1311"/>
      <c r="R1" s="1312"/>
      <c r="S1" s="237" t="s">
        <v>8</v>
      </c>
      <c r="T1" s="237" t="s">
        <v>9</v>
      </c>
      <c r="U1" s="41" t="s">
        <v>10</v>
      </c>
      <c r="V1" s="40" t="s">
        <v>11</v>
      </c>
      <c r="W1" s="41" t="s">
        <v>211</v>
      </c>
      <c r="X1" s="42" t="s">
        <v>26</v>
      </c>
      <c r="Y1" s="107" t="s">
        <v>27</v>
      </c>
      <c r="Z1" s="1313" t="s">
        <v>20</v>
      </c>
      <c r="AA1" s="1177"/>
      <c r="AB1" s="1177"/>
      <c r="AC1" s="1178"/>
      <c r="AD1" s="1313" t="s">
        <v>61</v>
      </c>
      <c r="AE1" s="1177"/>
      <c r="AF1" s="1177"/>
      <c r="AG1" s="1178"/>
      <c r="AH1" s="1313" t="s">
        <v>62</v>
      </c>
      <c r="AI1" s="1177"/>
      <c r="AJ1" s="1177"/>
      <c r="AK1" s="1178"/>
      <c r="AL1" s="1313" t="s">
        <v>63</v>
      </c>
      <c r="AM1" s="1177"/>
      <c r="AN1" s="1177"/>
      <c r="AO1" s="1178"/>
      <c r="AQ1" s="226" t="s">
        <v>128</v>
      </c>
      <c r="AR1" s="218"/>
      <c r="AS1" s="218"/>
      <c r="AT1" s="226" t="s">
        <v>128</v>
      </c>
    </row>
    <row r="2" spans="1:47" ht="14.95" customHeight="1" thickBot="1" x14ac:dyDescent="0.3">
      <c r="A2" s="43" t="s">
        <v>19</v>
      </c>
      <c r="B2" s="44" t="s">
        <v>18</v>
      </c>
      <c r="C2" s="45" t="s">
        <v>17</v>
      </c>
      <c r="D2" s="46" t="s">
        <v>41</v>
      </c>
      <c r="E2" s="46" t="s">
        <v>16</v>
      </c>
      <c r="F2" s="46" t="s">
        <v>4</v>
      </c>
      <c r="G2" s="46" t="s">
        <v>5</v>
      </c>
      <c r="H2" s="47" t="s">
        <v>12</v>
      </c>
      <c r="I2" s="47" t="s">
        <v>3</v>
      </c>
      <c r="J2" s="47" t="s">
        <v>12</v>
      </c>
      <c r="K2" s="47" t="s">
        <v>13</v>
      </c>
      <c r="L2" s="47" t="s">
        <v>2</v>
      </c>
      <c r="M2" s="47" t="s">
        <v>14</v>
      </c>
      <c r="N2" s="47" t="s">
        <v>15</v>
      </c>
      <c r="O2" s="47" t="s">
        <v>16</v>
      </c>
      <c r="P2" s="47" t="s">
        <v>21</v>
      </c>
      <c r="Q2" s="47" t="s">
        <v>22</v>
      </c>
      <c r="R2" s="47" t="s">
        <v>12</v>
      </c>
      <c r="S2" s="48"/>
      <c r="T2" s="49"/>
      <c r="U2" s="50"/>
      <c r="V2" s="48"/>
      <c r="W2" s="50"/>
      <c r="X2" s="51"/>
      <c r="Y2" s="52"/>
      <c r="Z2" s="189" t="s">
        <v>0</v>
      </c>
      <c r="AA2" s="189" t="s">
        <v>1</v>
      </c>
      <c r="AB2" s="189" t="s">
        <v>2</v>
      </c>
      <c r="AC2" s="189" t="s">
        <v>3</v>
      </c>
      <c r="AD2" s="189" t="s">
        <v>0</v>
      </c>
      <c r="AE2" s="189" t="s">
        <v>1</v>
      </c>
      <c r="AF2" s="189" t="s">
        <v>2</v>
      </c>
      <c r="AG2" s="189" t="s">
        <v>3</v>
      </c>
      <c r="AH2" s="189" t="s">
        <v>0</v>
      </c>
      <c r="AI2" s="189" t="s">
        <v>1</v>
      </c>
      <c r="AJ2" s="189" t="s">
        <v>2</v>
      </c>
      <c r="AK2" s="189" t="s">
        <v>3</v>
      </c>
      <c r="AL2" s="189" t="s">
        <v>0</v>
      </c>
      <c r="AM2" s="189" t="s">
        <v>1</v>
      </c>
      <c r="AN2" s="189" t="s">
        <v>2</v>
      </c>
      <c r="AO2" s="189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5">
      <c r="A3" s="289" t="s">
        <v>229</v>
      </c>
      <c r="B3" s="305" t="s">
        <v>45</v>
      </c>
      <c r="C3" s="290" t="s">
        <v>33</v>
      </c>
      <c r="D3" s="300" t="s">
        <v>418</v>
      </c>
      <c r="E3" s="291" t="s">
        <v>1</v>
      </c>
      <c r="F3" s="291">
        <v>42</v>
      </c>
      <c r="G3" s="291">
        <v>24</v>
      </c>
      <c r="H3" s="692" t="s">
        <v>80</v>
      </c>
      <c r="I3" s="692" t="s">
        <v>80</v>
      </c>
      <c r="J3" s="692">
        <v>6</v>
      </c>
      <c r="K3" s="692">
        <v>6</v>
      </c>
      <c r="L3" s="692">
        <v>0</v>
      </c>
      <c r="M3" s="692">
        <v>0</v>
      </c>
      <c r="N3" s="692">
        <v>0</v>
      </c>
      <c r="O3" s="692">
        <v>0</v>
      </c>
      <c r="P3" s="692" t="s">
        <v>80</v>
      </c>
      <c r="Q3" s="692" t="s">
        <v>80</v>
      </c>
      <c r="R3" s="692">
        <v>3</v>
      </c>
      <c r="S3" s="292">
        <v>42632</v>
      </c>
      <c r="T3" s="302" t="s">
        <v>419</v>
      </c>
      <c r="U3" s="294" t="s">
        <v>175</v>
      </c>
      <c r="V3" s="292" t="s">
        <v>228</v>
      </c>
      <c r="W3" s="292" t="s">
        <v>256</v>
      </c>
      <c r="X3" s="295" t="s">
        <v>167</v>
      </c>
      <c r="Y3" s="296" t="s">
        <v>177</v>
      </c>
      <c r="Z3" s="295">
        <v>1</v>
      </c>
      <c r="AA3" s="295">
        <v>1</v>
      </c>
      <c r="AB3" s="295">
        <v>0</v>
      </c>
      <c r="AC3" s="307">
        <v>0</v>
      </c>
      <c r="AD3" s="295">
        <v>1</v>
      </c>
      <c r="AE3" s="295">
        <v>1</v>
      </c>
      <c r="AF3" s="295">
        <v>0</v>
      </c>
      <c r="AG3" s="307">
        <v>0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Rsaalltestshistplayed</f>
        <v>569</v>
      </c>
      <c r="AT3" s="214" t="s">
        <v>101</v>
      </c>
      <c r="AU3" s="215">
        <f>RsaRWChistplayed</f>
        <v>49</v>
      </c>
    </row>
    <row r="4" spans="1:47" ht="14.95" customHeight="1" thickBot="1" x14ac:dyDescent="0.35">
      <c r="A4" s="289" t="s">
        <v>232</v>
      </c>
      <c r="B4" s="300" t="s">
        <v>45</v>
      </c>
      <c r="C4" s="290" t="s">
        <v>33</v>
      </c>
      <c r="D4" s="300" t="s">
        <v>449</v>
      </c>
      <c r="E4" s="291" t="s">
        <v>1</v>
      </c>
      <c r="F4" s="291">
        <v>45</v>
      </c>
      <c r="G4" s="301">
        <v>0</v>
      </c>
      <c r="H4" s="714" t="s">
        <v>80</v>
      </c>
      <c r="I4" s="692" t="s">
        <v>80</v>
      </c>
      <c r="J4" s="692">
        <v>7</v>
      </c>
      <c r="K4" s="692">
        <v>5</v>
      </c>
      <c r="L4" s="692">
        <v>0</v>
      </c>
      <c r="M4" s="692">
        <v>0</v>
      </c>
      <c r="N4" s="692">
        <v>1</v>
      </c>
      <c r="O4" s="692">
        <v>1</v>
      </c>
      <c r="P4" s="692" t="s">
        <v>80</v>
      </c>
      <c r="Q4" s="692" t="s">
        <v>80</v>
      </c>
      <c r="R4" s="692">
        <v>0</v>
      </c>
      <c r="S4" s="292">
        <v>44262</v>
      </c>
      <c r="T4" s="302" t="s">
        <v>451</v>
      </c>
      <c r="U4" s="296" t="s">
        <v>177</v>
      </c>
      <c r="V4" s="292" t="s">
        <v>256</v>
      </c>
      <c r="W4" s="292" t="s">
        <v>228</v>
      </c>
      <c r="X4" s="295" t="s">
        <v>167</v>
      </c>
      <c r="Y4" s="294" t="s">
        <v>175</v>
      </c>
      <c r="Z4" s="295">
        <v>1</v>
      </c>
      <c r="AA4" s="295">
        <v>1</v>
      </c>
      <c r="AB4" s="295">
        <v>0</v>
      </c>
      <c r="AC4" s="307">
        <v>0</v>
      </c>
      <c r="AD4" s="295">
        <v>1</v>
      </c>
      <c r="AE4" s="295">
        <v>1</v>
      </c>
      <c r="AF4" s="295">
        <v>0</v>
      </c>
      <c r="AG4" s="307">
        <v>0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Rsaalltestshistwon</f>
        <v>365</v>
      </c>
      <c r="AT4" s="216" t="s">
        <v>102</v>
      </c>
      <c r="AU4" s="217">
        <f>RsaRWChistwon</f>
        <v>41</v>
      </c>
    </row>
    <row r="5" spans="1:47" ht="14.95" customHeight="1" thickBot="1" x14ac:dyDescent="0.35">
      <c r="A5" s="289" t="s">
        <v>239</v>
      </c>
      <c r="B5" s="300" t="s">
        <v>45</v>
      </c>
      <c r="C5" s="290" t="s">
        <v>38</v>
      </c>
      <c r="D5" s="300" t="s">
        <v>505</v>
      </c>
      <c r="E5" s="291" t="s">
        <v>1</v>
      </c>
      <c r="F5" s="291">
        <v>55</v>
      </c>
      <c r="G5" s="301">
        <v>10</v>
      </c>
      <c r="H5" s="714" t="s">
        <v>80</v>
      </c>
      <c r="I5" s="692" t="s">
        <v>80</v>
      </c>
      <c r="J5" s="692">
        <v>9</v>
      </c>
      <c r="K5" s="692">
        <v>5</v>
      </c>
      <c r="L5" s="692">
        <v>0</v>
      </c>
      <c r="M5" s="692">
        <v>0</v>
      </c>
      <c r="N5" s="692">
        <v>0</v>
      </c>
      <c r="O5" s="692">
        <v>0</v>
      </c>
      <c r="P5" s="692" t="s">
        <v>80</v>
      </c>
      <c r="Q5" s="692" t="s">
        <v>80</v>
      </c>
      <c r="R5" s="692">
        <v>1</v>
      </c>
      <c r="S5" s="295">
        <v>36842</v>
      </c>
      <c r="T5" s="310" t="s">
        <v>506</v>
      </c>
      <c r="U5" s="295" t="s">
        <v>167</v>
      </c>
      <c r="V5" s="292" t="s">
        <v>228</v>
      </c>
      <c r="W5" s="292" t="s">
        <v>256</v>
      </c>
      <c r="X5" s="295" t="s">
        <v>175</v>
      </c>
      <c r="Y5" s="295" t="s">
        <v>421</v>
      </c>
      <c r="Z5" s="295">
        <v>1</v>
      </c>
      <c r="AA5" s="295">
        <v>1</v>
      </c>
      <c r="AB5" s="295">
        <v>0</v>
      </c>
      <c r="AC5" s="307">
        <v>0</v>
      </c>
      <c r="AD5" s="295">
        <v>1</v>
      </c>
      <c r="AE5" s="295">
        <v>1</v>
      </c>
      <c r="AF5" s="295">
        <v>0</v>
      </c>
      <c r="AG5" s="307">
        <v>0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Rsaalltestshistdrawn</f>
        <v>24</v>
      </c>
      <c r="AT5" s="216" t="s">
        <v>107</v>
      </c>
      <c r="AU5" s="217">
        <f>RsaRWChistdrawn</f>
        <v>0</v>
      </c>
    </row>
    <row r="6" spans="1:47" ht="14.95" customHeight="1" thickBot="1" x14ac:dyDescent="0.35">
      <c r="A6" s="289" t="s">
        <v>537</v>
      </c>
      <c r="B6" s="300" t="s">
        <v>199</v>
      </c>
      <c r="C6" s="290" t="s">
        <v>29</v>
      </c>
      <c r="D6" s="300" t="s">
        <v>538</v>
      </c>
      <c r="E6" s="291" t="s">
        <v>3</v>
      </c>
      <c r="F6" s="291">
        <v>22</v>
      </c>
      <c r="G6" s="301">
        <v>38</v>
      </c>
      <c r="H6" s="714">
        <v>0</v>
      </c>
      <c r="I6" s="692">
        <v>0</v>
      </c>
      <c r="J6" s="692">
        <v>3</v>
      </c>
      <c r="K6" s="692">
        <v>2</v>
      </c>
      <c r="L6" s="692">
        <v>0</v>
      </c>
      <c r="M6" s="692">
        <v>1</v>
      </c>
      <c r="N6" s="692">
        <v>0</v>
      </c>
      <c r="O6" s="692">
        <v>0</v>
      </c>
      <c r="P6" s="692">
        <v>1</v>
      </c>
      <c r="Q6" s="692">
        <v>0</v>
      </c>
      <c r="R6" s="692">
        <v>6</v>
      </c>
      <c r="S6" s="295">
        <v>51327</v>
      </c>
      <c r="T6" s="473" t="s">
        <v>539</v>
      </c>
      <c r="U6" s="298" t="s">
        <v>165</v>
      </c>
      <c r="V6" s="295" t="s">
        <v>256</v>
      </c>
      <c r="W6" s="295" t="s">
        <v>240</v>
      </c>
      <c r="X6" s="295" t="s">
        <v>166</v>
      </c>
      <c r="Y6" s="299" t="s">
        <v>214</v>
      </c>
      <c r="Z6" s="295">
        <v>1</v>
      </c>
      <c r="AA6" s="295">
        <v>0</v>
      </c>
      <c r="AB6" s="295">
        <v>0</v>
      </c>
      <c r="AC6" s="307">
        <v>1</v>
      </c>
      <c r="AD6" s="295">
        <v>1</v>
      </c>
      <c r="AE6" s="295">
        <v>0</v>
      </c>
      <c r="AF6" s="295">
        <v>0</v>
      </c>
      <c r="AG6" s="307">
        <v>1</v>
      </c>
      <c r="AH6" s="295">
        <v>0</v>
      </c>
      <c r="AI6" s="295">
        <v>0</v>
      </c>
      <c r="AJ6" s="295">
        <v>0</v>
      </c>
      <c r="AK6" s="307">
        <v>0</v>
      </c>
      <c r="AL6" s="295">
        <v>0</v>
      </c>
      <c r="AM6" s="295">
        <v>0</v>
      </c>
      <c r="AN6" s="295">
        <v>0</v>
      </c>
      <c r="AO6" s="307">
        <v>0</v>
      </c>
      <c r="AQ6" s="216" t="s">
        <v>103</v>
      </c>
      <c r="AR6" s="217">
        <f>Rsaalltestshistlost</f>
        <v>180</v>
      </c>
      <c r="AT6" s="216" t="s">
        <v>103</v>
      </c>
      <c r="AU6" s="217">
        <f>RsaRWChistlost</f>
        <v>8</v>
      </c>
    </row>
    <row r="7" spans="1:47" ht="14.95" customHeight="1" thickBot="1" x14ac:dyDescent="0.35">
      <c r="A7" s="289" t="s">
        <v>243</v>
      </c>
      <c r="B7" s="300" t="s">
        <v>199</v>
      </c>
      <c r="C7" s="290" t="s">
        <v>29</v>
      </c>
      <c r="D7" s="300" t="s">
        <v>550</v>
      </c>
      <c r="E7" s="291" t="s">
        <v>1</v>
      </c>
      <c r="F7" s="291">
        <v>30</v>
      </c>
      <c r="G7" s="301">
        <v>22</v>
      </c>
      <c r="H7" s="714">
        <v>0</v>
      </c>
      <c r="I7" s="692">
        <v>0</v>
      </c>
      <c r="J7" s="692">
        <v>3</v>
      </c>
      <c r="K7" s="692">
        <v>3</v>
      </c>
      <c r="L7" s="692">
        <v>0</v>
      </c>
      <c r="M7" s="692">
        <v>3</v>
      </c>
      <c r="N7" s="692">
        <v>1</v>
      </c>
      <c r="O7" s="692">
        <v>0</v>
      </c>
      <c r="P7" s="692">
        <v>0</v>
      </c>
      <c r="Q7" s="692">
        <v>0</v>
      </c>
      <c r="R7" s="692">
        <v>3</v>
      </c>
      <c r="S7" s="295">
        <v>56350</v>
      </c>
      <c r="T7" s="310" t="s">
        <v>553</v>
      </c>
      <c r="U7" s="295" t="s">
        <v>166</v>
      </c>
      <c r="V7" s="295" t="s">
        <v>240</v>
      </c>
      <c r="W7" s="295" t="s">
        <v>256</v>
      </c>
      <c r="X7" s="296" t="s">
        <v>177</v>
      </c>
      <c r="Y7" s="299" t="s">
        <v>214</v>
      </c>
      <c r="Z7" s="295">
        <v>1</v>
      </c>
      <c r="AA7" s="295">
        <v>1</v>
      </c>
      <c r="AB7" s="295">
        <v>0</v>
      </c>
      <c r="AC7" s="307">
        <v>0</v>
      </c>
      <c r="AD7" s="295">
        <v>1</v>
      </c>
      <c r="AE7" s="295">
        <v>1</v>
      </c>
      <c r="AF7" s="295">
        <v>0</v>
      </c>
      <c r="AG7" s="307">
        <v>0</v>
      </c>
      <c r="AH7" s="295">
        <v>0</v>
      </c>
      <c r="AI7" s="295">
        <v>0</v>
      </c>
      <c r="AJ7" s="295">
        <v>0</v>
      </c>
      <c r="AK7" s="307">
        <v>0</v>
      </c>
      <c r="AL7" s="295">
        <v>0</v>
      </c>
      <c r="AM7" s="295">
        <v>0</v>
      </c>
      <c r="AN7" s="295">
        <v>0</v>
      </c>
      <c r="AO7" s="307">
        <v>0</v>
      </c>
      <c r="AQ7" s="216" t="s">
        <v>108</v>
      </c>
      <c r="AR7" s="217">
        <f>Rsaalltestshistptsscored</f>
        <v>13945</v>
      </c>
      <c r="AT7" s="216" t="s">
        <v>108</v>
      </c>
      <c r="AU7" s="217">
        <f>RsaRWChistptsscored</f>
        <v>1720</v>
      </c>
    </row>
    <row r="8" spans="1:47" ht="14.95" customHeight="1" thickBot="1" x14ac:dyDescent="0.3">
      <c r="A8" s="284" t="s">
        <v>253</v>
      </c>
      <c r="B8" s="283" t="s">
        <v>199</v>
      </c>
      <c r="C8" s="283" t="s">
        <v>90</v>
      </c>
      <c r="D8" s="283" t="s">
        <v>495</v>
      </c>
      <c r="E8" s="271" t="s">
        <v>3</v>
      </c>
      <c r="F8" s="271">
        <v>17</v>
      </c>
      <c r="G8" s="272">
        <v>24</v>
      </c>
      <c r="H8" s="715">
        <v>0</v>
      </c>
      <c r="I8" s="691">
        <v>1</v>
      </c>
      <c r="J8" s="691">
        <v>2</v>
      </c>
      <c r="K8" s="691">
        <v>2</v>
      </c>
      <c r="L8" s="691">
        <v>0</v>
      </c>
      <c r="M8" s="691">
        <v>1</v>
      </c>
      <c r="N8" s="691">
        <v>1</v>
      </c>
      <c r="O8" s="691">
        <v>0</v>
      </c>
      <c r="P8" s="691">
        <v>0</v>
      </c>
      <c r="Q8" s="691">
        <v>0</v>
      </c>
      <c r="R8" s="691">
        <v>3</v>
      </c>
      <c r="S8" s="273">
        <v>48312</v>
      </c>
      <c r="T8" s="286" t="s">
        <v>607</v>
      </c>
      <c r="U8" s="273" t="s">
        <v>161</v>
      </c>
      <c r="V8" s="273" t="s">
        <v>188</v>
      </c>
      <c r="W8" s="273" t="s">
        <v>181</v>
      </c>
      <c r="X8" s="273" t="s">
        <v>184</v>
      </c>
      <c r="Y8" s="275" t="s">
        <v>170</v>
      </c>
      <c r="Z8" s="273">
        <v>1</v>
      </c>
      <c r="AA8" s="273">
        <v>0</v>
      </c>
      <c r="AB8" s="273">
        <v>0</v>
      </c>
      <c r="AC8" s="287">
        <v>1</v>
      </c>
      <c r="AD8" s="273">
        <v>0</v>
      </c>
      <c r="AE8" s="273">
        <v>0</v>
      </c>
      <c r="AF8" s="273">
        <v>0</v>
      </c>
      <c r="AG8" s="287">
        <v>0</v>
      </c>
      <c r="AH8" s="273">
        <v>1</v>
      </c>
      <c r="AI8" s="273">
        <v>0</v>
      </c>
      <c r="AJ8" s="273">
        <v>0</v>
      </c>
      <c r="AK8" s="287">
        <v>1</v>
      </c>
      <c r="AL8" s="273">
        <v>0</v>
      </c>
      <c r="AM8" s="273">
        <v>0</v>
      </c>
      <c r="AN8" s="273">
        <v>0</v>
      </c>
      <c r="AO8" s="287">
        <v>0</v>
      </c>
      <c r="AQ8" s="216" t="s">
        <v>109</v>
      </c>
      <c r="AR8" s="217">
        <f>Rsaalltestshistptscon</f>
        <v>9282</v>
      </c>
      <c r="AT8" s="216" t="s">
        <v>109</v>
      </c>
      <c r="AU8" s="217">
        <f>RsaRWChistptscon</f>
        <v>641</v>
      </c>
    </row>
    <row r="9" spans="1:47" ht="14.95" customHeight="1" thickBot="1" x14ac:dyDescent="0.3">
      <c r="A9" s="284" t="s">
        <v>634</v>
      </c>
      <c r="B9" s="771" t="s">
        <v>199</v>
      </c>
      <c r="C9" s="536" t="s">
        <v>90</v>
      </c>
      <c r="D9" s="283" t="s">
        <v>242</v>
      </c>
      <c r="E9" s="271" t="s">
        <v>1</v>
      </c>
      <c r="F9" s="271">
        <v>43</v>
      </c>
      <c r="G9" s="272">
        <v>10</v>
      </c>
      <c r="H9" s="715">
        <v>1</v>
      </c>
      <c r="I9" s="691">
        <v>0</v>
      </c>
      <c r="J9" s="691">
        <v>6</v>
      </c>
      <c r="K9" s="691">
        <v>5</v>
      </c>
      <c r="L9" s="691">
        <v>0</v>
      </c>
      <c r="M9" s="691">
        <v>1</v>
      </c>
      <c r="N9" s="691">
        <v>0</v>
      </c>
      <c r="O9" s="691">
        <v>0</v>
      </c>
      <c r="P9" s="691">
        <v>0</v>
      </c>
      <c r="Q9" s="691">
        <v>0</v>
      </c>
      <c r="R9" s="691">
        <v>1</v>
      </c>
      <c r="S9" s="273">
        <v>34068</v>
      </c>
      <c r="T9" s="442" t="s">
        <v>276</v>
      </c>
      <c r="U9" s="273" t="s">
        <v>184</v>
      </c>
      <c r="V9" s="277" t="s">
        <v>181</v>
      </c>
      <c r="W9" s="277" t="s">
        <v>188</v>
      </c>
      <c r="X9" s="279" t="s">
        <v>162</v>
      </c>
      <c r="Y9" s="273" t="s">
        <v>170</v>
      </c>
      <c r="Z9" s="287">
        <v>1</v>
      </c>
      <c r="AA9" s="287">
        <v>1</v>
      </c>
      <c r="AB9" s="287">
        <v>0</v>
      </c>
      <c r="AC9" s="287">
        <v>0</v>
      </c>
      <c r="AD9" s="287">
        <v>0</v>
      </c>
      <c r="AE9" s="287">
        <v>0</v>
      </c>
      <c r="AF9" s="287">
        <v>0</v>
      </c>
      <c r="AG9" s="287">
        <v>0</v>
      </c>
      <c r="AH9" s="287">
        <v>1</v>
      </c>
      <c r="AI9" s="287">
        <v>1</v>
      </c>
      <c r="AJ9" s="287">
        <v>0</v>
      </c>
      <c r="AK9" s="287">
        <v>0</v>
      </c>
      <c r="AL9" s="287">
        <v>0</v>
      </c>
      <c r="AM9" s="287">
        <v>0</v>
      </c>
      <c r="AN9" s="287">
        <v>0</v>
      </c>
      <c r="AO9" s="287">
        <v>0</v>
      </c>
      <c r="AQ9" s="216" t="s">
        <v>100</v>
      </c>
      <c r="AR9" s="217">
        <f>Rsaalltestshisttriesscored</f>
        <v>1688</v>
      </c>
      <c r="AT9" s="216" t="s">
        <v>100</v>
      </c>
      <c r="AU9" s="217">
        <f>RsaRWChisttriesscored</f>
        <v>201</v>
      </c>
    </row>
    <row r="10" spans="1:47" ht="14.95" customHeight="1" thickBot="1" x14ac:dyDescent="0.35">
      <c r="A10" s="304" t="s">
        <v>683</v>
      </c>
      <c r="B10" s="305" t="s">
        <v>199</v>
      </c>
      <c r="C10" s="305" t="s">
        <v>37</v>
      </c>
      <c r="D10" s="305" t="s">
        <v>696</v>
      </c>
      <c r="E10" s="291" t="s">
        <v>1</v>
      </c>
      <c r="F10" s="291">
        <v>67</v>
      </c>
      <c r="G10" s="301">
        <v>30</v>
      </c>
      <c r="H10" s="714">
        <v>1</v>
      </c>
      <c r="I10" s="692">
        <v>0</v>
      </c>
      <c r="J10" s="692">
        <v>9</v>
      </c>
      <c r="K10" s="692">
        <v>8</v>
      </c>
      <c r="L10" s="692">
        <v>0</v>
      </c>
      <c r="M10" s="692">
        <v>2</v>
      </c>
      <c r="N10" s="692">
        <v>1</v>
      </c>
      <c r="O10" s="692">
        <v>0</v>
      </c>
      <c r="P10" s="692">
        <v>0</v>
      </c>
      <c r="Q10" s="692">
        <v>0</v>
      </c>
      <c r="R10" s="692">
        <v>3</v>
      </c>
      <c r="S10" s="295">
        <v>45158</v>
      </c>
      <c r="T10" s="310" t="s">
        <v>697</v>
      </c>
      <c r="U10" s="295" t="s">
        <v>162</v>
      </c>
      <c r="V10" s="295" t="s">
        <v>188</v>
      </c>
      <c r="W10" s="299" t="s">
        <v>214</v>
      </c>
      <c r="X10" s="295" t="s">
        <v>190</v>
      </c>
      <c r="Y10" s="295" t="s">
        <v>438</v>
      </c>
      <c r="Z10" s="295">
        <v>1</v>
      </c>
      <c r="AA10" s="307">
        <v>1</v>
      </c>
      <c r="AB10" s="307">
        <v>0</v>
      </c>
      <c r="AC10" s="307">
        <v>0</v>
      </c>
      <c r="AD10" s="307">
        <v>1</v>
      </c>
      <c r="AE10" s="307">
        <v>1</v>
      </c>
      <c r="AF10" s="307">
        <v>0</v>
      </c>
      <c r="AG10" s="307">
        <v>0</v>
      </c>
      <c r="AH10" s="307">
        <v>0</v>
      </c>
      <c r="AI10" s="307">
        <v>0</v>
      </c>
      <c r="AJ10" s="307">
        <v>0</v>
      </c>
      <c r="AK10" s="307">
        <v>0</v>
      </c>
      <c r="AL10" s="307">
        <v>0</v>
      </c>
      <c r="AM10" s="307">
        <v>0</v>
      </c>
      <c r="AN10" s="307">
        <v>0</v>
      </c>
      <c r="AO10" s="307">
        <v>0</v>
      </c>
    </row>
    <row r="11" spans="1:47" ht="14.95" customHeight="1" thickBot="1" x14ac:dyDescent="0.35">
      <c r="A11" s="340" t="s">
        <v>702</v>
      </c>
      <c r="B11" s="341" t="s">
        <v>199</v>
      </c>
      <c r="C11" s="341" t="s">
        <v>37</v>
      </c>
      <c r="D11" s="341" t="s">
        <v>88</v>
      </c>
      <c r="E11" s="314" t="s">
        <v>1</v>
      </c>
      <c r="F11" s="314">
        <v>29</v>
      </c>
      <c r="G11" s="813">
        <v>27</v>
      </c>
      <c r="H11" s="814">
        <v>0</v>
      </c>
      <c r="I11" s="699">
        <v>0</v>
      </c>
      <c r="J11" s="699">
        <v>4</v>
      </c>
      <c r="K11" s="699">
        <v>3</v>
      </c>
      <c r="L11" s="699">
        <v>0</v>
      </c>
      <c r="M11" s="699">
        <v>1</v>
      </c>
      <c r="N11" s="699">
        <v>1</v>
      </c>
      <c r="O11" s="699">
        <v>0</v>
      </c>
      <c r="P11" s="699">
        <v>0</v>
      </c>
      <c r="Q11" s="699">
        <v>1</v>
      </c>
      <c r="R11" s="699">
        <v>3</v>
      </c>
      <c r="S11" s="317">
        <v>70360</v>
      </c>
      <c r="T11" s="812" t="s">
        <v>213</v>
      </c>
      <c r="U11" s="317" t="s">
        <v>187</v>
      </c>
      <c r="V11" s="317" t="s">
        <v>196</v>
      </c>
      <c r="W11" s="317" t="s">
        <v>251</v>
      </c>
      <c r="X11" s="317" t="s">
        <v>184</v>
      </c>
      <c r="Y11" s="811" t="s">
        <v>182</v>
      </c>
      <c r="Z11" s="317">
        <v>1</v>
      </c>
      <c r="AA11" s="725">
        <v>1</v>
      </c>
      <c r="AB11" s="725">
        <v>0</v>
      </c>
      <c r="AC11" s="725">
        <v>0</v>
      </c>
      <c r="AD11" s="725">
        <v>0</v>
      </c>
      <c r="AE11" s="725">
        <v>0</v>
      </c>
      <c r="AF11" s="725">
        <v>0</v>
      </c>
      <c r="AG11" s="725">
        <v>0</v>
      </c>
      <c r="AH11" s="725">
        <v>0</v>
      </c>
      <c r="AI11" s="725">
        <v>0</v>
      </c>
      <c r="AJ11" s="725">
        <v>0</v>
      </c>
      <c r="AK11" s="725">
        <v>0</v>
      </c>
      <c r="AL11" s="725">
        <v>1</v>
      </c>
      <c r="AM11" s="725">
        <v>1</v>
      </c>
      <c r="AN11" s="725">
        <v>0</v>
      </c>
      <c r="AO11" s="725">
        <v>0</v>
      </c>
    </row>
    <row r="12" spans="1:47" ht="14.95" customHeight="1" thickBot="1" x14ac:dyDescent="0.35">
      <c r="A12" s="340" t="s">
        <v>330</v>
      </c>
      <c r="B12" s="341" t="s">
        <v>45</v>
      </c>
      <c r="C12" s="341" t="s">
        <v>36</v>
      </c>
      <c r="D12" s="373" t="s">
        <v>716</v>
      </c>
      <c r="E12" s="314" t="s">
        <v>1</v>
      </c>
      <c r="F12" s="314">
        <v>61</v>
      </c>
      <c r="G12" s="813">
        <v>7</v>
      </c>
      <c r="H12" s="814" t="s">
        <v>80</v>
      </c>
      <c r="I12" s="699" t="s">
        <v>80</v>
      </c>
      <c r="J12" s="699">
        <v>9</v>
      </c>
      <c r="K12" s="699">
        <v>7</v>
      </c>
      <c r="L12" s="699">
        <v>0</v>
      </c>
      <c r="M12" s="699">
        <v>0</v>
      </c>
      <c r="N12" s="699">
        <v>0</v>
      </c>
      <c r="O12" s="699">
        <v>0</v>
      </c>
      <c r="P12" s="699" t="s">
        <v>80</v>
      </c>
      <c r="Q12" s="699" t="s">
        <v>80</v>
      </c>
      <c r="R12" s="699">
        <v>1</v>
      </c>
      <c r="S12" s="317">
        <v>23243</v>
      </c>
      <c r="T12" s="342" t="s">
        <v>760</v>
      </c>
      <c r="U12" s="317" t="s">
        <v>182</v>
      </c>
      <c r="V12" s="317" t="s">
        <v>235</v>
      </c>
      <c r="W12" s="317" t="s">
        <v>256</v>
      </c>
      <c r="X12" s="317" t="s">
        <v>165</v>
      </c>
      <c r="Y12" s="317" t="s">
        <v>421</v>
      </c>
      <c r="Z12" s="317">
        <v>1</v>
      </c>
      <c r="AA12" s="725">
        <v>1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1</v>
      </c>
      <c r="AM12" s="725">
        <v>1</v>
      </c>
      <c r="AN12" s="725">
        <v>0</v>
      </c>
      <c r="AO12" s="725">
        <v>0</v>
      </c>
    </row>
    <row r="13" spans="1:47" ht="14.95" customHeight="1" thickBot="1" x14ac:dyDescent="0.3">
      <c r="A13" s="284" t="s">
        <v>263</v>
      </c>
      <c r="B13" s="283" t="s">
        <v>605</v>
      </c>
      <c r="C13" s="283" t="s">
        <v>34</v>
      </c>
      <c r="D13" s="495" t="s">
        <v>85</v>
      </c>
      <c r="E13" s="271" t="s">
        <v>1</v>
      </c>
      <c r="F13" s="271">
        <v>32</v>
      </c>
      <c r="G13" s="272">
        <v>17</v>
      </c>
      <c r="H13" s="715" t="s">
        <v>80</v>
      </c>
      <c r="I13" s="691" t="s">
        <v>80</v>
      </c>
      <c r="J13" s="691">
        <v>4</v>
      </c>
      <c r="K13" s="691">
        <v>3</v>
      </c>
      <c r="L13" s="691">
        <v>0</v>
      </c>
      <c r="M13" s="691">
        <v>2</v>
      </c>
      <c r="N13" s="691">
        <v>0</v>
      </c>
      <c r="O13" s="691">
        <v>1</v>
      </c>
      <c r="P13" s="691" t="s">
        <v>80</v>
      </c>
      <c r="Q13" s="691" t="s">
        <v>80</v>
      </c>
      <c r="R13" s="691">
        <v>2</v>
      </c>
      <c r="S13" s="277">
        <v>79000</v>
      </c>
      <c r="T13" s="288" t="s">
        <v>584</v>
      </c>
      <c r="U13" s="279" t="s">
        <v>162</v>
      </c>
      <c r="V13" s="277" t="s">
        <v>196</v>
      </c>
      <c r="W13" s="277" t="s">
        <v>228</v>
      </c>
      <c r="X13" s="273" t="s">
        <v>184</v>
      </c>
      <c r="Y13" s="280" t="s">
        <v>189</v>
      </c>
      <c r="Z13" s="273">
        <v>1</v>
      </c>
      <c r="AA13" s="287">
        <v>1</v>
      </c>
      <c r="AB13" s="287">
        <v>0</v>
      </c>
      <c r="AC13" s="287">
        <v>0</v>
      </c>
      <c r="AD13" s="287">
        <v>0</v>
      </c>
      <c r="AE13" s="287">
        <v>0</v>
      </c>
      <c r="AF13" s="287">
        <v>0</v>
      </c>
      <c r="AG13" s="287">
        <v>0</v>
      </c>
      <c r="AH13" s="287">
        <v>1</v>
      </c>
      <c r="AI13" s="287">
        <v>1</v>
      </c>
      <c r="AJ13" s="287">
        <v>0</v>
      </c>
      <c r="AK13" s="287">
        <v>0</v>
      </c>
      <c r="AL13" s="287">
        <v>0</v>
      </c>
      <c r="AM13" s="287">
        <v>0</v>
      </c>
      <c r="AN13" s="287">
        <v>0</v>
      </c>
      <c r="AO13" s="287">
        <v>0</v>
      </c>
    </row>
    <row r="14" spans="1:47" ht="14.95" customHeight="1" thickBot="1" x14ac:dyDescent="0.35">
      <c r="A14" s="578" t="s">
        <v>264</v>
      </c>
      <c r="B14" s="283" t="s">
        <v>605</v>
      </c>
      <c r="C14" s="283" t="s">
        <v>33</v>
      </c>
      <c r="D14" s="495" t="s">
        <v>453</v>
      </c>
      <c r="E14" s="271" t="s">
        <v>1</v>
      </c>
      <c r="F14" s="271">
        <v>32</v>
      </c>
      <c r="G14" s="272">
        <v>14</v>
      </c>
      <c r="H14" s="715" t="s">
        <v>80</v>
      </c>
      <c r="I14" s="691" t="s">
        <v>80</v>
      </c>
      <c r="J14" s="691">
        <v>4</v>
      </c>
      <c r="K14" s="691">
        <v>3</v>
      </c>
      <c r="L14" s="691">
        <v>0</v>
      </c>
      <c r="M14" s="691">
        <v>2</v>
      </c>
      <c r="N14" s="691">
        <v>1</v>
      </c>
      <c r="O14" s="691">
        <v>1</v>
      </c>
      <c r="P14" s="691" t="s">
        <v>80</v>
      </c>
      <c r="Q14" s="691" t="s">
        <v>80</v>
      </c>
      <c r="R14" s="691">
        <v>1</v>
      </c>
      <c r="S14" s="277">
        <v>32103</v>
      </c>
      <c r="T14" s="278" t="s">
        <v>797</v>
      </c>
      <c r="U14" s="279" t="s">
        <v>166</v>
      </c>
      <c r="V14" s="277" t="s">
        <v>256</v>
      </c>
      <c r="W14" s="277" t="s">
        <v>181</v>
      </c>
      <c r="X14" s="273" t="s">
        <v>165</v>
      </c>
      <c r="Y14" s="280" t="s">
        <v>585</v>
      </c>
      <c r="Z14" s="273">
        <v>1</v>
      </c>
      <c r="AA14" s="287">
        <v>1</v>
      </c>
      <c r="AB14" s="287">
        <v>0</v>
      </c>
      <c r="AC14" s="287">
        <v>0</v>
      </c>
      <c r="AD14" s="287">
        <v>0</v>
      </c>
      <c r="AE14" s="287">
        <v>0</v>
      </c>
      <c r="AF14" s="287">
        <v>0</v>
      </c>
      <c r="AG14" s="287">
        <v>0</v>
      </c>
      <c r="AH14" s="287">
        <v>1</v>
      </c>
      <c r="AI14" s="287">
        <v>1</v>
      </c>
      <c r="AJ14" s="287">
        <v>0</v>
      </c>
      <c r="AK14" s="287">
        <v>0</v>
      </c>
      <c r="AL14" s="287">
        <v>0</v>
      </c>
      <c r="AM14" s="287">
        <v>0</v>
      </c>
      <c r="AN14" s="287">
        <v>0</v>
      </c>
      <c r="AO14" s="287">
        <v>0</v>
      </c>
    </row>
    <row r="15" spans="1:47" ht="14.95" customHeight="1" thickBot="1" x14ac:dyDescent="0.35">
      <c r="A15" s="284" t="s">
        <v>266</v>
      </c>
      <c r="B15" s="283" t="s">
        <v>605</v>
      </c>
      <c r="C15" s="283" t="s">
        <v>39</v>
      </c>
      <c r="D15" s="495" t="s">
        <v>87</v>
      </c>
      <c r="E15" s="271" t="s">
        <v>1</v>
      </c>
      <c r="F15" s="271">
        <v>24</v>
      </c>
      <c r="G15" s="272">
        <v>13</v>
      </c>
      <c r="H15" s="715" t="s">
        <v>80</v>
      </c>
      <c r="I15" s="691" t="s">
        <v>80</v>
      </c>
      <c r="J15" s="691">
        <v>4</v>
      </c>
      <c r="K15" s="691">
        <v>1</v>
      </c>
      <c r="L15" s="691">
        <v>0</v>
      </c>
      <c r="M15" s="691">
        <v>0</v>
      </c>
      <c r="N15" s="691">
        <v>1</v>
      </c>
      <c r="O15" s="691">
        <v>0</v>
      </c>
      <c r="P15" s="691" t="s">
        <v>80</v>
      </c>
      <c r="Q15" s="691" t="s">
        <v>80</v>
      </c>
      <c r="R15" s="691">
        <v>1</v>
      </c>
      <c r="S15" s="273">
        <v>51700</v>
      </c>
      <c r="T15" s="316" t="s">
        <v>415</v>
      </c>
      <c r="U15" s="273" t="s">
        <v>167</v>
      </c>
      <c r="V15" s="273" t="s">
        <v>228</v>
      </c>
      <c r="W15" s="273" t="s">
        <v>774</v>
      </c>
      <c r="X15" s="273" t="s">
        <v>161</v>
      </c>
      <c r="Y15" s="273" t="s">
        <v>189</v>
      </c>
      <c r="Z15" s="273">
        <v>1</v>
      </c>
      <c r="AA15" s="287">
        <v>1</v>
      </c>
      <c r="AB15" s="287">
        <v>0</v>
      </c>
      <c r="AC15" s="287">
        <v>0</v>
      </c>
      <c r="AD15" s="287">
        <v>0</v>
      </c>
      <c r="AE15" s="287">
        <v>0</v>
      </c>
      <c r="AF15" s="287">
        <v>0</v>
      </c>
      <c r="AG15" s="287">
        <v>0</v>
      </c>
      <c r="AH15" s="287">
        <v>1</v>
      </c>
      <c r="AI15" s="287">
        <v>1</v>
      </c>
      <c r="AJ15" s="287">
        <v>0</v>
      </c>
      <c r="AK15" s="287">
        <v>0</v>
      </c>
      <c r="AL15" s="287">
        <v>0</v>
      </c>
      <c r="AM15" s="287">
        <v>0</v>
      </c>
      <c r="AN15" s="287">
        <v>0</v>
      </c>
      <c r="AO15" s="287">
        <v>0</v>
      </c>
    </row>
    <row r="16" spans="1:47" ht="14.95" customHeight="1" thickBot="1" x14ac:dyDescent="0.35">
      <c r="A16" s="284" t="s">
        <v>331</v>
      </c>
      <c r="B16" s="283" t="s">
        <v>744</v>
      </c>
      <c r="C16" s="283" t="s">
        <v>32</v>
      </c>
      <c r="D16" s="495" t="s">
        <v>84</v>
      </c>
      <c r="E16" s="271" t="s">
        <v>1</v>
      </c>
      <c r="F16" s="271">
        <v>73</v>
      </c>
      <c r="G16" s="272">
        <v>0</v>
      </c>
      <c r="H16" s="715" t="s">
        <v>80</v>
      </c>
      <c r="I16" s="691" t="s">
        <v>80</v>
      </c>
      <c r="J16" s="691">
        <v>11</v>
      </c>
      <c r="K16" s="691">
        <v>9</v>
      </c>
      <c r="L16" s="691">
        <v>0</v>
      </c>
      <c r="M16" s="691">
        <v>0</v>
      </c>
      <c r="N16" s="691">
        <v>0</v>
      </c>
      <c r="O16" s="691">
        <v>1</v>
      </c>
      <c r="P16" s="691" t="s">
        <v>80</v>
      </c>
      <c r="Q16" s="691" t="s">
        <v>80</v>
      </c>
      <c r="R16" s="691">
        <v>0</v>
      </c>
      <c r="S16" s="273">
        <v>50112</v>
      </c>
      <c r="T16" s="316" t="s">
        <v>316</v>
      </c>
      <c r="U16" s="273" t="s">
        <v>194</v>
      </c>
      <c r="V16" s="273" t="s">
        <v>181</v>
      </c>
      <c r="W16" s="273" t="s">
        <v>228</v>
      </c>
      <c r="X16" s="273" t="s">
        <v>167</v>
      </c>
      <c r="Y16" s="273" t="s">
        <v>190</v>
      </c>
      <c r="Z16" s="287">
        <v>1</v>
      </c>
      <c r="AA16" s="287">
        <v>1</v>
      </c>
      <c r="AB16" s="287">
        <v>0</v>
      </c>
      <c r="AC16" s="287">
        <v>0</v>
      </c>
      <c r="AD16" s="287">
        <v>0</v>
      </c>
      <c r="AE16" s="287">
        <v>0</v>
      </c>
      <c r="AF16" s="287">
        <v>0</v>
      </c>
      <c r="AG16" s="287">
        <v>0</v>
      </c>
      <c r="AH16" s="287">
        <v>1</v>
      </c>
      <c r="AI16" s="287">
        <v>1</v>
      </c>
      <c r="AJ16" s="287">
        <v>0</v>
      </c>
      <c r="AK16" s="287">
        <v>0</v>
      </c>
      <c r="AL16" s="287">
        <v>0</v>
      </c>
      <c r="AM16" s="287">
        <v>0</v>
      </c>
      <c r="AN16" s="287">
        <v>0</v>
      </c>
      <c r="AO16" s="287">
        <v>0</v>
      </c>
    </row>
    <row r="17" spans="1:41" ht="14.95" thickBot="1" x14ac:dyDescent="0.3">
      <c r="A17" s="179"/>
      <c r="B17" s="180"/>
      <c r="C17" s="1078" t="s">
        <v>144</v>
      </c>
      <c r="D17" s="1098"/>
      <c r="E17" s="1099"/>
      <c r="F17" s="329">
        <f>SUM(F6:F11)</f>
        <v>208</v>
      </c>
      <c r="G17" s="329">
        <f t="shared" ref="G17:R17" si="0">SUM(G6:G11)</f>
        <v>151</v>
      </c>
      <c r="H17" s="329">
        <f t="shared" si="0"/>
        <v>2</v>
      </c>
      <c r="I17" s="329">
        <f t="shared" si="0"/>
        <v>1</v>
      </c>
      <c r="J17" s="329">
        <f t="shared" si="0"/>
        <v>27</v>
      </c>
      <c r="K17" s="329">
        <f t="shared" si="0"/>
        <v>23</v>
      </c>
      <c r="L17" s="329">
        <f t="shared" si="0"/>
        <v>0</v>
      </c>
      <c r="M17" s="329">
        <f t="shared" si="0"/>
        <v>9</v>
      </c>
      <c r="N17" s="329">
        <f t="shared" si="0"/>
        <v>4</v>
      </c>
      <c r="O17" s="329">
        <f t="shared" si="0"/>
        <v>0</v>
      </c>
      <c r="P17" s="329">
        <f t="shared" si="0"/>
        <v>1</v>
      </c>
      <c r="Q17" s="329">
        <f t="shared" si="0"/>
        <v>1</v>
      </c>
      <c r="R17" s="329">
        <f t="shared" si="0"/>
        <v>19</v>
      </c>
      <c r="S17" s="183"/>
      <c r="T17" s="183"/>
      <c r="U17" s="183"/>
      <c r="V17" s="183"/>
      <c r="W17" s="183"/>
      <c r="X17" s="184"/>
      <c r="Y17" s="334" t="s">
        <v>144</v>
      </c>
      <c r="Z17" s="329">
        <f t="shared" ref="Z17:AO17" si="1">SUM(Z6:Z11)</f>
        <v>6</v>
      </c>
      <c r="AA17" s="329">
        <f t="shared" si="1"/>
        <v>4</v>
      </c>
      <c r="AB17" s="329">
        <f t="shared" si="1"/>
        <v>0</v>
      </c>
      <c r="AC17" s="329">
        <f t="shared" si="1"/>
        <v>2</v>
      </c>
      <c r="AD17" s="330">
        <f t="shared" si="1"/>
        <v>3</v>
      </c>
      <c r="AE17" s="330">
        <f t="shared" si="1"/>
        <v>2</v>
      </c>
      <c r="AF17" s="330">
        <f t="shared" si="1"/>
        <v>0</v>
      </c>
      <c r="AG17" s="330">
        <f t="shared" si="1"/>
        <v>1</v>
      </c>
      <c r="AH17" s="331">
        <f t="shared" si="1"/>
        <v>2</v>
      </c>
      <c r="AI17" s="331">
        <f t="shared" si="1"/>
        <v>1</v>
      </c>
      <c r="AJ17" s="331">
        <f t="shared" si="1"/>
        <v>0</v>
      </c>
      <c r="AK17" s="331">
        <f t="shared" si="1"/>
        <v>1</v>
      </c>
      <c r="AL17" s="329">
        <f t="shared" si="1"/>
        <v>1</v>
      </c>
      <c r="AM17" s="329">
        <f t="shared" si="1"/>
        <v>1</v>
      </c>
      <c r="AN17" s="329">
        <f t="shared" si="1"/>
        <v>0</v>
      </c>
      <c r="AO17" s="329">
        <f t="shared" si="1"/>
        <v>0</v>
      </c>
    </row>
    <row r="18" spans="1:41" ht="14.95" thickBot="1" x14ac:dyDescent="0.3">
      <c r="A18" s="179"/>
      <c r="B18" s="180"/>
      <c r="C18" s="1093" t="s">
        <v>238</v>
      </c>
      <c r="D18" s="1094"/>
      <c r="E18" s="1095"/>
      <c r="F18" s="410">
        <f>SUM(F3:F5)</f>
        <v>142</v>
      </c>
      <c r="G18" s="410">
        <f>SUM(G3:G5)</f>
        <v>34</v>
      </c>
      <c r="H18" s="410">
        <f t="shared" ref="H18:Q18" si="2">SUM(H8:H11)</f>
        <v>2</v>
      </c>
      <c r="I18" s="410">
        <f t="shared" si="2"/>
        <v>1</v>
      </c>
      <c r="J18" s="410">
        <f t="shared" ref="J18:O18" si="3">SUM(J3:J5)</f>
        <v>22</v>
      </c>
      <c r="K18" s="410">
        <f t="shared" si="3"/>
        <v>16</v>
      </c>
      <c r="L18" s="410">
        <f t="shared" si="3"/>
        <v>0</v>
      </c>
      <c r="M18" s="410">
        <f t="shared" si="3"/>
        <v>0</v>
      </c>
      <c r="N18" s="410">
        <f t="shared" si="3"/>
        <v>1</v>
      </c>
      <c r="O18" s="410">
        <f t="shared" si="3"/>
        <v>1</v>
      </c>
      <c r="P18" s="410">
        <f t="shared" si="2"/>
        <v>0</v>
      </c>
      <c r="Q18" s="410">
        <f t="shared" si="2"/>
        <v>1</v>
      </c>
      <c r="R18" s="410">
        <f>SUM(R3:R5)</f>
        <v>4</v>
      </c>
      <c r="S18" s="411"/>
      <c r="T18" s="411"/>
      <c r="U18" s="411"/>
      <c r="V18" s="411"/>
      <c r="W18" s="411"/>
      <c r="X18" s="412"/>
      <c r="Y18" s="413" t="s">
        <v>238</v>
      </c>
      <c r="Z18" s="414">
        <f t="shared" ref="Z18:AO18" si="4">SUM(Z3:Z5)</f>
        <v>3</v>
      </c>
      <c r="AA18" s="410">
        <f t="shared" si="4"/>
        <v>3</v>
      </c>
      <c r="AB18" s="410">
        <f t="shared" si="4"/>
        <v>0</v>
      </c>
      <c r="AC18" s="410">
        <f t="shared" si="4"/>
        <v>0</v>
      </c>
      <c r="AD18" s="415">
        <f t="shared" si="4"/>
        <v>3</v>
      </c>
      <c r="AE18" s="415">
        <f t="shared" si="4"/>
        <v>3</v>
      </c>
      <c r="AF18" s="415">
        <f t="shared" si="4"/>
        <v>0</v>
      </c>
      <c r="AG18" s="415">
        <f t="shared" si="4"/>
        <v>0</v>
      </c>
      <c r="AH18" s="416">
        <f t="shared" si="4"/>
        <v>0</v>
      </c>
      <c r="AI18" s="416">
        <f t="shared" si="4"/>
        <v>0</v>
      </c>
      <c r="AJ18" s="416">
        <f t="shared" si="4"/>
        <v>0</v>
      </c>
      <c r="AK18" s="416">
        <f t="shared" si="4"/>
        <v>0</v>
      </c>
      <c r="AL18" s="410">
        <f t="shared" si="4"/>
        <v>0</v>
      </c>
      <c r="AM18" s="410">
        <f t="shared" si="4"/>
        <v>0</v>
      </c>
      <c r="AN18" s="410">
        <f t="shared" si="4"/>
        <v>0</v>
      </c>
      <c r="AO18" s="410">
        <f t="shared" si="4"/>
        <v>0</v>
      </c>
    </row>
    <row r="19" spans="1:41" ht="14.95" thickBot="1" x14ac:dyDescent="0.3">
      <c r="A19" s="179"/>
      <c r="B19" s="180"/>
      <c r="C19" s="1084" t="s">
        <v>231</v>
      </c>
      <c r="D19" s="1085"/>
      <c r="E19" s="1086"/>
      <c r="F19" s="539">
        <f>SUM(F13:F16)</f>
        <v>161</v>
      </c>
      <c r="G19" s="539">
        <f>SUM(G13:G16)</f>
        <v>44</v>
      </c>
      <c r="H19" s="539" t="s">
        <v>80</v>
      </c>
      <c r="I19" s="539" t="s">
        <v>80</v>
      </c>
      <c r="J19" s="539">
        <f t="shared" ref="J19:O19" si="5">SUM(J13:J16)</f>
        <v>23</v>
      </c>
      <c r="K19" s="539">
        <f t="shared" si="5"/>
        <v>16</v>
      </c>
      <c r="L19" s="539">
        <f t="shared" si="5"/>
        <v>0</v>
      </c>
      <c r="M19" s="539">
        <f t="shared" si="5"/>
        <v>4</v>
      </c>
      <c r="N19" s="539">
        <f t="shared" si="5"/>
        <v>2</v>
      </c>
      <c r="O19" s="539">
        <f t="shared" si="5"/>
        <v>3</v>
      </c>
      <c r="P19" s="539" t="s">
        <v>80</v>
      </c>
      <c r="Q19" s="539" t="s">
        <v>80</v>
      </c>
      <c r="R19" s="539">
        <f>SUM(R13:R16)</f>
        <v>4</v>
      </c>
      <c r="S19" s="540"/>
      <c r="T19" s="540"/>
      <c r="U19" s="540"/>
      <c r="V19" s="540"/>
      <c r="W19" s="540"/>
      <c r="X19" s="541"/>
      <c r="Y19" s="542" t="s">
        <v>231</v>
      </c>
      <c r="Z19" s="543">
        <f t="shared" ref="Z19:AO19" si="6">SUM(Z13:Z16)</f>
        <v>4</v>
      </c>
      <c r="AA19" s="539">
        <f t="shared" si="6"/>
        <v>4</v>
      </c>
      <c r="AB19" s="539">
        <f t="shared" si="6"/>
        <v>0</v>
      </c>
      <c r="AC19" s="539">
        <f t="shared" si="6"/>
        <v>0</v>
      </c>
      <c r="AD19" s="544">
        <f t="shared" si="6"/>
        <v>0</v>
      </c>
      <c r="AE19" s="544">
        <f t="shared" si="6"/>
        <v>0</v>
      </c>
      <c r="AF19" s="544">
        <f t="shared" si="6"/>
        <v>0</v>
      </c>
      <c r="AG19" s="544">
        <f t="shared" si="6"/>
        <v>0</v>
      </c>
      <c r="AH19" s="545">
        <f t="shared" si="6"/>
        <v>4</v>
      </c>
      <c r="AI19" s="545">
        <f t="shared" si="6"/>
        <v>4</v>
      </c>
      <c r="AJ19" s="545">
        <f t="shared" si="6"/>
        <v>0</v>
      </c>
      <c r="AK19" s="545">
        <f t="shared" si="6"/>
        <v>0</v>
      </c>
      <c r="AL19" s="539">
        <f t="shared" si="6"/>
        <v>0</v>
      </c>
      <c r="AM19" s="539">
        <f t="shared" si="6"/>
        <v>0</v>
      </c>
      <c r="AN19" s="539">
        <f t="shared" si="6"/>
        <v>0</v>
      </c>
      <c r="AO19" s="539">
        <f t="shared" si="6"/>
        <v>0</v>
      </c>
    </row>
    <row r="20" spans="1:41" ht="14.95" thickBot="1" x14ac:dyDescent="0.3">
      <c r="A20" s="179"/>
      <c r="B20" s="180"/>
      <c r="C20" s="1087" t="s">
        <v>81</v>
      </c>
      <c r="D20" s="1088"/>
      <c r="E20" s="1089"/>
      <c r="F20" s="231">
        <f>SUM(F3:F16)</f>
        <v>572</v>
      </c>
      <c r="G20" s="231">
        <f t="shared" ref="G20:R20" si="7">SUM(G3:G16)</f>
        <v>236</v>
      </c>
      <c r="H20" s="231">
        <f t="shared" si="7"/>
        <v>2</v>
      </c>
      <c r="I20" s="231">
        <f t="shared" si="7"/>
        <v>1</v>
      </c>
      <c r="J20" s="231">
        <f t="shared" si="7"/>
        <v>81</v>
      </c>
      <c r="K20" s="231">
        <f t="shared" si="7"/>
        <v>62</v>
      </c>
      <c r="L20" s="231">
        <f t="shared" si="7"/>
        <v>0</v>
      </c>
      <c r="M20" s="231">
        <f t="shared" si="7"/>
        <v>13</v>
      </c>
      <c r="N20" s="231">
        <f t="shared" si="7"/>
        <v>7</v>
      </c>
      <c r="O20" s="231">
        <f t="shared" si="7"/>
        <v>4</v>
      </c>
      <c r="P20" s="231">
        <f t="shared" si="7"/>
        <v>1</v>
      </c>
      <c r="Q20" s="231">
        <f t="shared" si="7"/>
        <v>1</v>
      </c>
      <c r="R20" s="231">
        <f t="shared" si="7"/>
        <v>28</v>
      </c>
      <c r="S20" s="228"/>
      <c r="T20" s="228"/>
      <c r="U20" s="228"/>
      <c r="V20" s="228"/>
      <c r="W20" s="228"/>
      <c r="X20" s="13"/>
      <c r="Y20" s="246" t="s">
        <v>81</v>
      </c>
      <c r="Z20" s="231">
        <f t="shared" ref="Z20:AO20" si="8">SUM(Z3:Z16)</f>
        <v>14</v>
      </c>
      <c r="AA20" s="231">
        <f t="shared" si="8"/>
        <v>12</v>
      </c>
      <c r="AB20" s="231">
        <f t="shared" si="8"/>
        <v>0</v>
      </c>
      <c r="AC20" s="231">
        <f t="shared" si="8"/>
        <v>2</v>
      </c>
      <c r="AD20" s="229">
        <f t="shared" si="8"/>
        <v>6</v>
      </c>
      <c r="AE20" s="229">
        <f t="shared" si="8"/>
        <v>5</v>
      </c>
      <c r="AF20" s="229">
        <f t="shared" si="8"/>
        <v>0</v>
      </c>
      <c r="AG20" s="229">
        <f t="shared" si="8"/>
        <v>1</v>
      </c>
      <c r="AH20" s="230">
        <f t="shared" si="8"/>
        <v>6</v>
      </c>
      <c r="AI20" s="230">
        <f t="shared" si="8"/>
        <v>5</v>
      </c>
      <c r="AJ20" s="230">
        <f t="shared" si="8"/>
        <v>0</v>
      </c>
      <c r="AK20" s="230">
        <f t="shared" si="8"/>
        <v>1</v>
      </c>
      <c r="AL20" s="231">
        <f t="shared" si="8"/>
        <v>2</v>
      </c>
      <c r="AM20" s="231">
        <f t="shared" si="8"/>
        <v>2</v>
      </c>
      <c r="AN20" s="231">
        <f t="shared" si="8"/>
        <v>0</v>
      </c>
      <c r="AO20" s="231">
        <f t="shared" si="8"/>
        <v>0</v>
      </c>
    </row>
    <row r="21" spans="1:41" x14ac:dyDescent="0.25">
      <c r="A21" s="179"/>
      <c r="B21" s="180"/>
      <c r="C21" s="402"/>
      <c r="D21" s="402"/>
      <c r="E21" s="402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228"/>
      <c r="T21" s="228"/>
      <c r="U21" s="228"/>
      <c r="V21" s="228"/>
      <c r="W21" s="228"/>
      <c r="X21" s="13"/>
      <c r="Y21" s="1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</row>
    <row r="22" spans="1:41" x14ac:dyDescent="0.25">
      <c r="A22" s="1108" t="s">
        <v>450</v>
      </c>
      <c r="B22" s="1063"/>
      <c r="C22" s="1063"/>
      <c r="D22" s="1063"/>
      <c r="E22" s="1063"/>
      <c r="F22" s="1063"/>
      <c r="G22" s="1063"/>
      <c r="H22" s="1063"/>
      <c r="I22" s="1063"/>
      <c r="J22" s="1063"/>
      <c r="K22" s="1063"/>
      <c r="L22" s="1063"/>
      <c r="M22" s="1063"/>
      <c r="N22" s="1063"/>
      <c r="O22" s="1063"/>
      <c r="P22" s="1063"/>
      <c r="Q22" s="1063"/>
      <c r="R22" s="1063"/>
    </row>
    <row r="23" spans="1:41" x14ac:dyDescent="0.25">
      <c r="A23" s="889" t="s">
        <v>551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41" x14ac:dyDescent="0.25">
      <c r="A24" s="809" t="s">
        <v>638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1" x14ac:dyDescent="0.25">
      <c r="A25" s="809" t="s">
        <v>707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1" x14ac:dyDescent="0.25">
      <c r="A26" s="816" t="s">
        <v>724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1" x14ac:dyDescent="0.25">
      <c r="A27" s="816" t="s">
        <v>737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1" x14ac:dyDescent="0.25">
      <c r="A28" t="s">
        <v>608</v>
      </c>
      <c r="F28" s="14"/>
      <c r="G28" s="14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41" x14ac:dyDescent="0.25">
      <c r="A29" t="s">
        <v>818</v>
      </c>
    </row>
    <row r="30" spans="1:41" x14ac:dyDescent="0.25">
      <c r="A30" s="376"/>
      <c r="B30" t="s">
        <v>44</v>
      </c>
    </row>
    <row r="31" spans="1:41" x14ac:dyDescent="0.25">
      <c r="A31" s="377"/>
      <c r="B31" t="s">
        <v>42</v>
      </c>
    </row>
    <row r="32" spans="1:41" x14ac:dyDescent="0.25">
      <c r="A32" s="378"/>
      <c r="B32" t="s">
        <v>43</v>
      </c>
    </row>
    <row r="33" spans="1:1" ht="16.3" x14ac:dyDescent="0.3">
      <c r="A33" s="792" t="s">
        <v>28</v>
      </c>
    </row>
  </sheetData>
  <mergeCells count="15">
    <mergeCell ref="AD1:AG1"/>
    <mergeCell ref="AH1:AK1"/>
    <mergeCell ref="AL1:AO1"/>
    <mergeCell ref="P1:R1"/>
    <mergeCell ref="Z1:AC1"/>
    <mergeCell ref="A22:R22"/>
    <mergeCell ref="A1:C1"/>
    <mergeCell ref="E1:G1"/>
    <mergeCell ref="H1:I1"/>
    <mergeCell ref="J1:M1"/>
    <mergeCell ref="N1:O1"/>
    <mergeCell ref="C20:E20"/>
    <mergeCell ref="C17:E17"/>
    <mergeCell ref="C18:E18"/>
    <mergeCell ref="C19:E19"/>
  </mergeCells>
  <pageMargins left="0.7" right="0.7" top="0.75" bottom="0.75" header="0.3" footer="0.3"/>
  <pageSetup paperSize="9" orientation="portrait" r:id="rId1"/>
  <ignoredErrors>
    <ignoredError sqref="C17:AO18 C19:F19 S19:Y19 G19:R19 Z19:AO19" formulaRange="1"/>
    <ignoredError sqref="T8" twoDigitTextYea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BB57-963B-4AD8-89CF-338BCC015784}">
  <dimension ref="A1:AT23"/>
  <sheetViews>
    <sheetView topLeftCell="B1" workbookViewId="0">
      <selection activeCell="S10" sqref="S10:X10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375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0.25" bestFit="1" customWidth="1"/>
    <col min="22" max="22" width="21.625" bestFit="1" customWidth="1"/>
    <col min="23" max="23" width="21.875" bestFit="1" customWidth="1"/>
    <col min="24" max="24" width="20.125" bestFit="1" customWidth="1"/>
    <col min="25" max="40" width="3.625" customWidth="1"/>
    <col min="41" max="41" width="2.625" customWidth="1"/>
    <col min="42" max="42" width="13.125" bestFit="1" customWidth="1"/>
    <col min="44" max="44" width="1.625" customWidth="1"/>
    <col min="45" max="45" width="13.125" bestFit="1" customWidth="1"/>
  </cols>
  <sheetData>
    <row r="1" spans="1:46" ht="14.95" customHeight="1" thickBot="1" x14ac:dyDescent="0.3">
      <c r="A1" s="1314" t="s">
        <v>317</v>
      </c>
      <c r="B1" s="1315"/>
      <c r="C1" s="1315"/>
      <c r="D1" s="673"/>
      <c r="E1" s="1316" t="s">
        <v>24</v>
      </c>
      <c r="F1" s="1317"/>
      <c r="G1" s="1318"/>
      <c r="H1" s="1316" t="s">
        <v>23</v>
      </c>
      <c r="I1" s="1318"/>
      <c r="J1" s="1319" t="s">
        <v>6</v>
      </c>
      <c r="K1" s="1320"/>
      <c r="L1" s="1320"/>
      <c r="M1" s="1321"/>
      <c r="N1" s="1319" t="s">
        <v>7</v>
      </c>
      <c r="O1" s="1321"/>
      <c r="P1" s="1319" t="s">
        <v>25</v>
      </c>
      <c r="Q1" s="1320"/>
      <c r="R1" s="1321"/>
      <c r="S1" s="674" t="s">
        <v>8</v>
      </c>
      <c r="T1" s="674" t="s">
        <v>9</v>
      </c>
      <c r="U1" s="675" t="s">
        <v>10</v>
      </c>
      <c r="V1" s="676" t="s">
        <v>11</v>
      </c>
      <c r="W1" s="677" t="s">
        <v>26</v>
      </c>
      <c r="X1" s="678" t="s">
        <v>27</v>
      </c>
      <c r="Y1" s="1322" t="s">
        <v>20</v>
      </c>
      <c r="Z1" s="1323"/>
      <c r="AA1" s="1323"/>
      <c r="AB1" s="1324"/>
      <c r="AC1" s="1322" t="s">
        <v>61</v>
      </c>
      <c r="AD1" s="1323"/>
      <c r="AE1" s="1323"/>
      <c r="AF1" s="1324"/>
      <c r="AG1" s="1322" t="s">
        <v>62</v>
      </c>
      <c r="AH1" s="1323"/>
      <c r="AI1" s="1323"/>
      <c r="AJ1" s="1324"/>
      <c r="AK1" s="1322" t="s">
        <v>63</v>
      </c>
      <c r="AL1" s="1323"/>
      <c r="AM1" s="1323"/>
      <c r="AN1" s="1324"/>
      <c r="AP1" s="690" t="s">
        <v>318</v>
      </c>
      <c r="AQ1" s="218"/>
      <c r="AR1" s="218"/>
      <c r="AS1" s="690" t="s">
        <v>318</v>
      </c>
    </row>
    <row r="2" spans="1:46" ht="14.95" customHeight="1" thickBot="1" x14ac:dyDescent="0.3">
      <c r="A2" s="679" t="s">
        <v>19</v>
      </c>
      <c r="B2" s="680" t="s">
        <v>18</v>
      </c>
      <c r="C2" s="681" t="s">
        <v>17</v>
      </c>
      <c r="D2" s="682" t="s">
        <v>41</v>
      </c>
      <c r="E2" s="682" t="s">
        <v>16</v>
      </c>
      <c r="F2" s="682" t="s">
        <v>4</v>
      </c>
      <c r="G2" s="682" t="s">
        <v>5</v>
      </c>
      <c r="H2" s="683" t="s">
        <v>12</v>
      </c>
      <c r="I2" s="683" t="s">
        <v>3</v>
      </c>
      <c r="J2" s="683" t="s">
        <v>12</v>
      </c>
      <c r="K2" s="683" t="s">
        <v>13</v>
      </c>
      <c r="L2" s="683" t="s">
        <v>2</v>
      </c>
      <c r="M2" s="683" t="s">
        <v>14</v>
      </c>
      <c r="N2" s="683" t="s">
        <v>15</v>
      </c>
      <c r="O2" s="683" t="s">
        <v>16</v>
      </c>
      <c r="P2" s="683" t="s">
        <v>21</v>
      </c>
      <c r="Q2" s="683" t="s">
        <v>22</v>
      </c>
      <c r="R2" s="683" t="s">
        <v>12</v>
      </c>
      <c r="S2" s="684"/>
      <c r="T2" s="685"/>
      <c r="U2" s="686"/>
      <c r="V2" s="684"/>
      <c r="W2" s="687"/>
      <c r="X2" s="688"/>
      <c r="Y2" s="689" t="s">
        <v>0</v>
      </c>
      <c r="Z2" s="689" t="s">
        <v>1</v>
      </c>
      <c r="AA2" s="689" t="s">
        <v>2</v>
      </c>
      <c r="AB2" s="689" t="s">
        <v>3</v>
      </c>
      <c r="AC2" s="689" t="s">
        <v>0</v>
      </c>
      <c r="AD2" s="689" t="s">
        <v>1</v>
      </c>
      <c r="AE2" s="689" t="s">
        <v>2</v>
      </c>
      <c r="AF2" s="689" t="s">
        <v>3</v>
      </c>
      <c r="AG2" s="689" t="s">
        <v>0</v>
      </c>
      <c r="AH2" s="689" t="s">
        <v>1</v>
      </c>
      <c r="AI2" s="689" t="s">
        <v>2</v>
      </c>
      <c r="AJ2" s="689" t="s">
        <v>3</v>
      </c>
      <c r="AK2" s="689" t="s">
        <v>0</v>
      </c>
      <c r="AL2" s="689" t="s">
        <v>1</v>
      </c>
      <c r="AM2" s="689" t="s">
        <v>2</v>
      </c>
      <c r="AN2" s="689" t="s">
        <v>3</v>
      </c>
      <c r="AP2" s="205" t="s">
        <v>81</v>
      </c>
      <c r="AQ2" s="138"/>
      <c r="AS2" s="225" t="s">
        <v>99</v>
      </c>
      <c r="AT2" s="138"/>
    </row>
    <row r="3" spans="1:46" ht="14.95" customHeight="1" thickBot="1" x14ac:dyDescent="0.35">
      <c r="A3" s="305" t="s">
        <v>283</v>
      </c>
      <c r="B3" s="290" t="s">
        <v>183</v>
      </c>
      <c r="C3" s="290" t="s">
        <v>172</v>
      </c>
      <c r="D3" s="290" t="s">
        <v>268</v>
      </c>
      <c r="E3" s="291" t="s">
        <v>1</v>
      </c>
      <c r="F3" s="291">
        <v>53</v>
      </c>
      <c r="G3" s="291">
        <v>24</v>
      </c>
      <c r="H3" s="692">
        <v>1</v>
      </c>
      <c r="I3" s="692">
        <v>0</v>
      </c>
      <c r="J3" s="692">
        <v>7</v>
      </c>
      <c r="K3" s="692">
        <v>5</v>
      </c>
      <c r="L3" s="692">
        <v>0</v>
      </c>
      <c r="M3" s="692">
        <v>2</v>
      </c>
      <c r="N3" s="692">
        <v>0</v>
      </c>
      <c r="O3" s="692">
        <v>0</v>
      </c>
      <c r="P3" s="692">
        <v>0</v>
      </c>
      <c r="Q3" s="692">
        <v>0</v>
      </c>
      <c r="R3" s="692">
        <v>3</v>
      </c>
      <c r="S3" s="292">
        <v>7000</v>
      </c>
      <c r="T3" s="302" t="s">
        <v>339</v>
      </c>
      <c r="U3" s="294" t="s">
        <v>254</v>
      </c>
      <c r="V3" s="292" t="s">
        <v>157</v>
      </c>
      <c r="W3" s="295" t="s">
        <v>341</v>
      </c>
      <c r="X3" s="296" t="s">
        <v>340</v>
      </c>
      <c r="Y3" s="716">
        <v>1</v>
      </c>
      <c r="Z3" s="716">
        <v>1</v>
      </c>
      <c r="AA3" s="716">
        <v>0</v>
      </c>
      <c r="AB3" s="717">
        <v>0</v>
      </c>
      <c r="AC3" s="716">
        <v>1</v>
      </c>
      <c r="AD3" s="716">
        <v>1</v>
      </c>
      <c r="AE3" s="716">
        <v>0</v>
      </c>
      <c r="AF3" s="717">
        <v>0</v>
      </c>
      <c r="AG3" s="716">
        <v>0</v>
      </c>
      <c r="AH3" s="716">
        <v>0</v>
      </c>
      <c r="AI3" s="716">
        <v>0</v>
      </c>
      <c r="AJ3" s="717">
        <v>0</v>
      </c>
      <c r="AK3" s="716">
        <v>0</v>
      </c>
      <c r="AL3" s="716">
        <v>0</v>
      </c>
      <c r="AM3" s="716">
        <v>0</v>
      </c>
      <c r="AN3" s="717">
        <v>0</v>
      </c>
      <c r="AP3" s="214" t="s">
        <v>101</v>
      </c>
      <c r="AQ3" s="215">
        <f>Spainalltestshistplayed</f>
        <v>440</v>
      </c>
      <c r="AS3" s="214" t="s">
        <v>101</v>
      </c>
      <c r="AT3" s="215">
        <f>SpainRWChistplayed</f>
        <v>3</v>
      </c>
    </row>
    <row r="4" spans="1:46" ht="14.95" customHeight="1" thickBot="1" x14ac:dyDescent="0.35">
      <c r="A4" s="283" t="s">
        <v>285</v>
      </c>
      <c r="B4" s="270" t="s">
        <v>183</v>
      </c>
      <c r="C4" s="270" t="s">
        <v>323</v>
      </c>
      <c r="D4" s="270" t="s">
        <v>353</v>
      </c>
      <c r="E4" s="271" t="s">
        <v>1</v>
      </c>
      <c r="F4" s="271">
        <v>43</v>
      </c>
      <c r="G4" s="271">
        <v>13</v>
      </c>
      <c r="H4" s="691">
        <v>1</v>
      </c>
      <c r="I4" s="691">
        <v>0</v>
      </c>
      <c r="J4" s="691">
        <v>7</v>
      </c>
      <c r="K4" s="691">
        <v>4</v>
      </c>
      <c r="L4" s="691">
        <v>0</v>
      </c>
      <c r="M4" s="691">
        <v>0</v>
      </c>
      <c r="N4" s="691">
        <v>2</v>
      </c>
      <c r="O4" s="691">
        <v>0</v>
      </c>
      <c r="P4" s="691">
        <v>0</v>
      </c>
      <c r="Q4" s="691">
        <v>0</v>
      </c>
      <c r="R4" s="691">
        <v>1</v>
      </c>
      <c r="S4" s="277">
        <v>3800</v>
      </c>
      <c r="T4" s="278" t="s">
        <v>355</v>
      </c>
      <c r="U4" s="279" t="s">
        <v>356</v>
      </c>
      <c r="V4" s="277" t="s">
        <v>157</v>
      </c>
      <c r="W4" s="273" t="s">
        <v>357</v>
      </c>
      <c r="X4" s="280" t="s">
        <v>358</v>
      </c>
      <c r="Y4" s="718">
        <v>1</v>
      </c>
      <c r="Z4" s="718">
        <v>1</v>
      </c>
      <c r="AA4" s="718">
        <v>0</v>
      </c>
      <c r="AB4" s="719">
        <v>0</v>
      </c>
      <c r="AC4" s="718">
        <v>0</v>
      </c>
      <c r="AD4" s="718">
        <v>0</v>
      </c>
      <c r="AE4" s="718">
        <v>0</v>
      </c>
      <c r="AF4" s="719">
        <v>0</v>
      </c>
      <c r="AG4" s="718">
        <v>1</v>
      </c>
      <c r="AH4" s="718">
        <v>1</v>
      </c>
      <c r="AI4" s="718">
        <v>0</v>
      </c>
      <c r="AJ4" s="719">
        <v>0</v>
      </c>
      <c r="AK4" s="718">
        <v>0</v>
      </c>
      <c r="AL4" s="718">
        <v>0</v>
      </c>
      <c r="AM4" s="718">
        <v>0</v>
      </c>
      <c r="AN4" s="719">
        <v>0</v>
      </c>
      <c r="AP4" s="216" t="s">
        <v>102</v>
      </c>
      <c r="AQ4" s="217">
        <f>Spainalltestshistwon</f>
        <v>183</v>
      </c>
      <c r="AS4" s="216" t="s">
        <v>102</v>
      </c>
      <c r="AT4" s="217">
        <f>SpainRWChistwon</f>
        <v>0</v>
      </c>
    </row>
    <row r="5" spans="1:46" ht="14.95" customHeight="1" thickBot="1" x14ac:dyDescent="0.3">
      <c r="A5" s="305" t="s">
        <v>369</v>
      </c>
      <c r="B5" s="290" t="s">
        <v>183</v>
      </c>
      <c r="C5" s="290" t="s">
        <v>38</v>
      </c>
      <c r="D5" s="290" t="s">
        <v>268</v>
      </c>
      <c r="E5" s="291" t="s">
        <v>3</v>
      </c>
      <c r="F5" s="291">
        <v>32</v>
      </c>
      <c r="G5" s="291">
        <v>62</v>
      </c>
      <c r="H5" s="692">
        <v>1</v>
      </c>
      <c r="I5" s="692">
        <v>0</v>
      </c>
      <c r="J5" s="692">
        <v>4</v>
      </c>
      <c r="K5" s="692">
        <v>3</v>
      </c>
      <c r="L5" s="692">
        <v>0</v>
      </c>
      <c r="M5" s="692">
        <v>2</v>
      </c>
      <c r="N5" s="692">
        <v>3</v>
      </c>
      <c r="O5" s="692">
        <v>0</v>
      </c>
      <c r="P5" s="692">
        <v>1</v>
      </c>
      <c r="Q5" s="692">
        <v>0</v>
      </c>
      <c r="R5" s="692">
        <v>10</v>
      </c>
      <c r="S5" s="292">
        <v>6000</v>
      </c>
      <c r="T5" s="293" t="s">
        <v>370</v>
      </c>
      <c r="U5" s="294" t="s">
        <v>182</v>
      </c>
      <c r="V5" s="292" t="s">
        <v>157</v>
      </c>
      <c r="W5" s="295" t="s">
        <v>371</v>
      </c>
      <c r="X5" s="296" t="s">
        <v>372</v>
      </c>
      <c r="Y5" s="716">
        <v>1</v>
      </c>
      <c r="Z5" s="716">
        <v>0</v>
      </c>
      <c r="AA5" s="716">
        <v>0</v>
      </c>
      <c r="AB5" s="717">
        <v>1</v>
      </c>
      <c r="AC5" s="716">
        <v>1</v>
      </c>
      <c r="AD5" s="716">
        <v>0</v>
      </c>
      <c r="AE5" s="716">
        <v>0</v>
      </c>
      <c r="AF5" s="716">
        <v>1</v>
      </c>
      <c r="AG5" s="716">
        <v>0</v>
      </c>
      <c r="AH5" s="716">
        <v>0</v>
      </c>
      <c r="AI5" s="716">
        <v>0</v>
      </c>
      <c r="AJ5" s="767">
        <v>0</v>
      </c>
      <c r="AK5" s="767">
        <v>0</v>
      </c>
      <c r="AL5" s="767">
        <v>0</v>
      </c>
      <c r="AM5" s="767">
        <v>0</v>
      </c>
      <c r="AN5" s="767">
        <v>0</v>
      </c>
      <c r="AP5" s="216" t="s">
        <v>107</v>
      </c>
      <c r="AQ5" s="217">
        <f>Spainalltestshistdrawn</f>
        <v>15</v>
      </c>
      <c r="AS5" s="216" t="s">
        <v>107</v>
      </c>
      <c r="AT5" s="217">
        <f>SpainRWChistdrawn</f>
        <v>0</v>
      </c>
    </row>
    <row r="6" spans="1:46" ht="14.95" customHeight="1" thickBot="1" x14ac:dyDescent="0.35">
      <c r="A6" s="282" t="s">
        <v>374</v>
      </c>
      <c r="B6" s="270" t="s">
        <v>221</v>
      </c>
      <c r="C6" s="270" t="s">
        <v>96</v>
      </c>
      <c r="D6" s="270" t="s">
        <v>380</v>
      </c>
      <c r="E6" s="271" t="s">
        <v>1</v>
      </c>
      <c r="F6" s="271">
        <v>42</v>
      </c>
      <c r="G6" s="271">
        <v>31</v>
      </c>
      <c r="H6" s="691" t="s">
        <v>80</v>
      </c>
      <c r="I6" s="691" t="s">
        <v>80</v>
      </c>
      <c r="J6" s="691">
        <v>3</v>
      </c>
      <c r="K6" s="691">
        <v>3</v>
      </c>
      <c r="L6" s="691">
        <v>0</v>
      </c>
      <c r="M6" s="691">
        <v>7</v>
      </c>
      <c r="N6" s="691">
        <v>2</v>
      </c>
      <c r="O6" s="691">
        <v>0</v>
      </c>
      <c r="P6" s="691" t="s">
        <v>80</v>
      </c>
      <c r="Q6" s="691" t="s">
        <v>80</v>
      </c>
      <c r="R6" s="691">
        <v>4</v>
      </c>
      <c r="S6" s="277">
        <v>6500</v>
      </c>
      <c r="T6" s="278" t="s">
        <v>378</v>
      </c>
      <c r="U6" s="279" t="s">
        <v>280</v>
      </c>
      <c r="V6" s="277" t="s">
        <v>379</v>
      </c>
      <c r="W6" s="273" t="s">
        <v>376</v>
      </c>
      <c r="X6" s="280" t="s">
        <v>377</v>
      </c>
      <c r="Y6" s="718">
        <v>1</v>
      </c>
      <c r="Z6" s="718">
        <v>1</v>
      </c>
      <c r="AA6" s="718">
        <v>0</v>
      </c>
      <c r="AB6" s="719">
        <v>0</v>
      </c>
      <c r="AC6" s="818">
        <v>0</v>
      </c>
      <c r="AD6" s="818">
        <v>0</v>
      </c>
      <c r="AE6" s="818">
        <v>0</v>
      </c>
      <c r="AF6" s="818">
        <v>0</v>
      </c>
      <c r="AG6" s="818">
        <v>1</v>
      </c>
      <c r="AH6" s="818">
        <v>1</v>
      </c>
      <c r="AI6" s="818">
        <v>0</v>
      </c>
      <c r="AJ6" s="818">
        <v>0</v>
      </c>
      <c r="AK6" s="818">
        <v>0</v>
      </c>
      <c r="AL6" s="818">
        <v>0</v>
      </c>
      <c r="AM6" s="818">
        <v>0</v>
      </c>
      <c r="AN6" s="818">
        <v>0</v>
      </c>
      <c r="AP6" s="216" t="s">
        <v>103</v>
      </c>
      <c r="AQ6" s="217">
        <f>Spainalltestshistlost</f>
        <v>242</v>
      </c>
      <c r="AS6" s="216" t="s">
        <v>103</v>
      </c>
      <c r="AT6" s="217">
        <f>SpainRWChistlost</f>
        <v>3</v>
      </c>
    </row>
    <row r="7" spans="1:46" ht="14.95" customHeight="1" thickBot="1" x14ac:dyDescent="0.35">
      <c r="A7" s="282" t="s">
        <v>387</v>
      </c>
      <c r="B7" s="270" t="s">
        <v>224</v>
      </c>
      <c r="C7" s="270" t="s">
        <v>38</v>
      </c>
      <c r="D7" s="270" t="s">
        <v>192</v>
      </c>
      <c r="E7" s="271" t="s">
        <v>3</v>
      </c>
      <c r="F7" s="271">
        <v>28</v>
      </c>
      <c r="G7" s="271">
        <v>46</v>
      </c>
      <c r="H7" s="691" t="s">
        <v>80</v>
      </c>
      <c r="I7" s="691" t="s">
        <v>80</v>
      </c>
      <c r="J7" s="691">
        <v>3</v>
      </c>
      <c r="K7" s="691">
        <v>2</v>
      </c>
      <c r="L7" s="691">
        <v>0</v>
      </c>
      <c r="M7" s="691">
        <v>3</v>
      </c>
      <c r="N7" s="691">
        <v>1</v>
      </c>
      <c r="O7" s="691">
        <v>0</v>
      </c>
      <c r="P7" s="691" t="s">
        <v>80</v>
      </c>
      <c r="Q7" s="691" t="s">
        <v>80</v>
      </c>
      <c r="R7" s="691">
        <v>8</v>
      </c>
      <c r="S7" s="277">
        <v>14900</v>
      </c>
      <c r="T7" s="278" t="s">
        <v>389</v>
      </c>
      <c r="U7" s="279" t="s">
        <v>252</v>
      </c>
      <c r="V7" s="277" t="s">
        <v>157</v>
      </c>
      <c r="W7" s="273" t="s">
        <v>390</v>
      </c>
      <c r="X7" s="280" t="s">
        <v>391</v>
      </c>
      <c r="Y7" s="718">
        <v>1</v>
      </c>
      <c r="Z7" s="718">
        <v>0</v>
      </c>
      <c r="AA7" s="817">
        <v>0</v>
      </c>
      <c r="AB7" s="818">
        <v>1</v>
      </c>
      <c r="AC7" s="718">
        <v>0</v>
      </c>
      <c r="AD7" s="719">
        <v>0</v>
      </c>
      <c r="AE7" s="719">
        <v>0</v>
      </c>
      <c r="AF7" s="719">
        <v>0</v>
      </c>
      <c r="AG7" s="719">
        <v>1</v>
      </c>
      <c r="AH7" s="719">
        <v>0</v>
      </c>
      <c r="AI7" s="719">
        <v>0</v>
      </c>
      <c r="AJ7" s="719">
        <v>1</v>
      </c>
      <c r="AK7" s="719">
        <v>0</v>
      </c>
      <c r="AL7" s="719">
        <v>0</v>
      </c>
      <c r="AM7" s="719">
        <v>0</v>
      </c>
      <c r="AN7" s="719">
        <v>0</v>
      </c>
      <c r="AP7" s="216" t="s">
        <v>108</v>
      </c>
      <c r="AQ7" s="217">
        <f>Spainalltestshistptsscored</f>
        <v>8439</v>
      </c>
      <c r="AS7" s="216" t="s">
        <v>108</v>
      </c>
      <c r="AT7" s="217">
        <f>SpainRWChistptsscored</f>
        <v>18</v>
      </c>
    </row>
    <row r="8" spans="1:46" ht="14.95" customHeight="1" thickBot="1" x14ac:dyDescent="0.35">
      <c r="A8" s="268" t="s">
        <v>232</v>
      </c>
      <c r="B8" s="270" t="s">
        <v>45</v>
      </c>
      <c r="C8" s="270" t="s">
        <v>60</v>
      </c>
      <c r="D8" s="270" t="s">
        <v>431</v>
      </c>
      <c r="E8" s="271" t="s">
        <v>1</v>
      </c>
      <c r="F8" s="271">
        <v>31</v>
      </c>
      <c r="G8" s="271">
        <v>20</v>
      </c>
      <c r="H8" s="691" t="s">
        <v>80</v>
      </c>
      <c r="I8" s="691" t="s">
        <v>80</v>
      </c>
      <c r="J8" s="691">
        <v>4</v>
      </c>
      <c r="K8" s="691">
        <v>4</v>
      </c>
      <c r="L8" s="691">
        <v>0</v>
      </c>
      <c r="M8" s="691">
        <v>1</v>
      </c>
      <c r="N8" s="691">
        <v>0</v>
      </c>
      <c r="O8" s="691">
        <v>0</v>
      </c>
      <c r="P8" s="691" t="s">
        <v>80</v>
      </c>
      <c r="Q8" s="691" t="s">
        <v>80</v>
      </c>
      <c r="R8" s="691">
        <v>2</v>
      </c>
      <c r="S8" s="277">
        <v>6128</v>
      </c>
      <c r="T8" s="278" t="s">
        <v>465</v>
      </c>
      <c r="U8" s="279" t="s">
        <v>216</v>
      </c>
      <c r="V8" s="277" t="s">
        <v>434</v>
      </c>
      <c r="W8" s="273" t="s">
        <v>254</v>
      </c>
      <c r="X8" s="276" t="s">
        <v>464</v>
      </c>
      <c r="Y8" s="273">
        <v>1</v>
      </c>
      <c r="Z8" s="273">
        <v>1</v>
      </c>
      <c r="AA8" s="287">
        <v>0</v>
      </c>
      <c r="AB8" s="862">
        <v>0</v>
      </c>
      <c r="AC8" s="862">
        <v>0</v>
      </c>
      <c r="AD8" s="862">
        <v>0</v>
      </c>
      <c r="AE8" s="862">
        <v>0</v>
      </c>
      <c r="AF8" s="862">
        <v>0</v>
      </c>
      <c r="AG8" s="862">
        <v>1</v>
      </c>
      <c r="AH8" s="862">
        <v>1</v>
      </c>
      <c r="AI8" s="862">
        <v>0</v>
      </c>
      <c r="AJ8" s="862">
        <v>0</v>
      </c>
      <c r="AK8" s="862">
        <v>0</v>
      </c>
      <c r="AL8" s="862">
        <v>0</v>
      </c>
      <c r="AM8" s="862">
        <v>0</v>
      </c>
      <c r="AN8" s="862">
        <v>0</v>
      </c>
      <c r="AP8" s="216" t="s">
        <v>109</v>
      </c>
      <c r="AQ8" s="217">
        <f>Spainalltestshistptsagainst</f>
        <v>10145</v>
      </c>
      <c r="AS8" s="216" t="s">
        <v>109</v>
      </c>
      <c r="AT8" s="217">
        <f>SpainRWChistptsagainst</f>
        <v>122</v>
      </c>
    </row>
    <row r="9" spans="1:46" ht="14.95" customHeight="1" thickBot="1" x14ac:dyDescent="0.35">
      <c r="A9" s="268" t="s">
        <v>498</v>
      </c>
      <c r="B9" s="270" t="s">
        <v>45</v>
      </c>
      <c r="C9" s="270" t="s">
        <v>40</v>
      </c>
      <c r="D9" s="270" t="s">
        <v>466</v>
      </c>
      <c r="E9" s="271" t="s">
        <v>1</v>
      </c>
      <c r="F9" s="271">
        <v>24</v>
      </c>
      <c r="G9" s="271">
        <v>23</v>
      </c>
      <c r="H9" s="691" t="s">
        <v>80</v>
      </c>
      <c r="I9" s="691" t="s">
        <v>80</v>
      </c>
      <c r="J9" s="691">
        <v>2</v>
      </c>
      <c r="K9" s="691">
        <v>0</v>
      </c>
      <c r="L9" s="691">
        <v>0</v>
      </c>
      <c r="M9" s="691">
        <v>4</v>
      </c>
      <c r="N9" s="691">
        <v>1</v>
      </c>
      <c r="O9" s="691">
        <v>0</v>
      </c>
      <c r="P9" s="691" t="s">
        <v>80</v>
      </c>
      <c r="Q9" s="691" t="s">
        <v>80</v>
      </c>
      <c r="R9" s="691">
        <v>1</v>
      </c>
      <c r="S9" s="277">
        <v>3845</v>
      </c>
      <c r="T9" s="278" t="s">
        <v>500</v>
      </c>
      <c r="U9" s="279" t="s">
        <v>438</v>
      </c>
      <c r="V9" s="277" t="s">
        <v>469</v>
      </c>
      <c r="W9" s="273" t="s">
        <v>468</v>
      </c>
      <c r="X9" s="280" t="s">
        <v>470</v>
      </c>
      <c r="Y9" s="273">
        <v>1</v>
      </c>
      <c r="Z9" s="273">
        <v>1</v>
      </c>
      <c r="AA9" s="273">
        <v>0</v>
      </c>
      <c r="AB9" s="287"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1</v>
      </c>
      <c r="AH9" s="273">
        <v>1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S9" s="216" t="s">
        <v>100</v>
      </c>
      <c r="AT9" s="217">
        <f>SpainRWChisttriesscored</f>
        <v>0</v>
      </c>
    </row>
    <row r="10" spans="1:46" ht="17" thickBot="1" x14ac:dyDescent="0.35">
      <c r="A10" s="289" t="s">
        <v>266</v>
      </c>
      <c r="B10" s="290" t="s">
        <v>45</v>
      </c>
      <c r="C10" s="290" t="s">
        <v>31</v>
      </c>
      <c r="D10" s="290" t="s">
        <v>733</v>
      </c>
      <c r="E10" s="291" t="s">
        <v>3</v>
      </c>
      <c r="F10" s="291">
        <v>33</v>
      </c>
      <c r="G10" s="291">
        <v>41</v>
      </c>
      <c r="H10" s="692" t="s">
        <v>80</v>
      </c>
      <c r="I10" s="692" t="s">
        <v>80</v>
      </c>
      <c r="J10" s="692">
        <v>4</v>
      </c>
      <c r="K10" s="692">
        <v>3</v>
      </c>
      <c r="L10" s="692">
        <v>0</v>
      </c>
      <c r="M10" s="692">
        <v>3</v>
      </c>
      <c r="N10" s="692">
        <v>0</v>
      </c>
      <c r="O10" s="692">
        <v>0</v>
      </c>
      <c r="P10" s="692" t="s">
        <v>80</v>
      </c>
      <c r="Q10" s="692" t="s">
        <v>80</v>
      </c>
      <c r="R10" s="692">
        <v>5</v>
      </c>
      <c r="S10" s="295">
        <v>10000</v>
      </c>
      <c r="T10" s="473" t="s">
        <v>831</v>
      </c>
      <c r="U10" s="295" t="s">
        <v>241</v>
      </c>
      <c r="V10" s="295" t="s">
        <v>236</v>
      </c>
      <c r="W10" s="295" t="s">
        <v>252</v>
      </c>
      <c r="X10" s="295" t="s">
        <v>775</v>
      </c>
      <c r="Y10" s="295">
        <v>1</v>
      </c>
      <c r="Z10" s="295">
        <v>0</v>
      </c>
      <c r="AA10" s="295">
        <v>0</v>
      </c>
      <c r="AB10" s="307">
        <v>1</v>
      </c>
      <c r="AC10" s="295">
        <v>1</v>
      </c>
      <c r="AD10" s="295">
        <v>0</v>
      </c>
      <c r="AE10" s="295">
        <v>0</v>
      </c>
      <c r="AF10" s="295">
        <v>1</v>
      </c>
      <c r="AG10" s="295">
        <v>0</v>
      </c>
      <c r="AH10" s="295">
        <v>0</v>
      </c>
      <c r="AI10" s="295">
        <v>0</v>
      </c>
      <c r="AJ10" s="295">
        <v>0</v>
      </c>
      <c r="AK10" s="295">
        <v>0</v>
      </c>
      <c r="AL10" s="295">
        <v>0</v>
      </c>
      <c r="AM10" s="295">
        <v>0</v>
      </c>
      <c r="AN10" s="295">
        <v>0</v>
      </c>
    </row>
    <row r="11" spans="1:46" ht="14.95" customHeight="1" thickBot="1" x14ac:dyDescent="0.3">
      <c r="A11" s="179"/>
      <c r="B11" s="180"/>
      <c r="C11" s="1207" t="s">
        <v>83</v>
      </c>
      <c r="D11" s="1295"/>
      <c r="E11" s="1296"/>
      <c r="F11" s="554">
        <f t="shared" ref="F11:R11" si="0">SUM(F3:F7)</f>
        <v>198</v>
      </c>
      <c r="G11" s="554">
        <f t="shared" si="0"/>
        <v>176</v>
      </c>
      <c r="H11" s="554">
        <f t="shared" si="0"/>
        <v>3</v>
      </c>
      <c r="I11" s="554">
        <f t="shared" si="0"/>
        <v>0</v>
      </c>
      <c r="J11" s="554">
        <f t="shared" si="0"/>
        <v>24</v>
      </c>
      <c r="K11" s="554">
        <f t="shared" si="0"/>
        <v>17</v>
      </c>
      <c r="L11" s="554">
        <f t="shared" si="0"/>
        <v>0</v>
      </c>
      <c r="M11" s="554">
        <f t="shared" si="0"/>
        <v>14</v>
      </c>
      <c r="N11" s="554">
        <f t="shared" si="0"/>
        <v>8</v>
      </c>
      <c r="O11" s="554">
        <f t="shared" si="0"/>
        <v>0</v>
      </c>
      <c r="P11" s="554">
        <f t="shared" si="0"/>
        <v>1</v>
      </c>
      <c r="Q11" s="554">
        <f t="shared" si="0"/>
        <v>0</v>
      </c>
      <c r="R11" s="554">
        <f t="shared" si="0"/>
        <v>26</v>
      </c>
      <c r="S11" s="531"/>
      <c r="T11" s="531"/>
      <c r="U11" s="531"/>
      <c r="V11" s="531"/>
      <c r="W11" s="532"/>
      <c r="X11" s="533" t="s">
        <v>83</v>
      </c>
      <c r="Y11" s="554">
        <f t="shared" ref="Y11:AN11" si="1">SUM(Y3:Y7)</f>
        <v>5</v>
      </c>
      <c r="Z11" s="554">
        <f t="shared" si="1"/>
        <v>3</v>
      </c>
      <c r="AA11" s="530">
        <f t="shared" si="1"/>
        <v>0</v>
      </c>
      <c r="AB11" s="530">
        <f t="shared" si="1"/>
        <v>2</v>
      </c>
      <c r="AC11" s="534">
        <f t="shared" si="1"/>
        <v>2</v>
      </c>
      <c r="AD11" s="534">
        <f t="shared" si="1"/>
        <v>1</v>
      </c>
      <c r="AE11" s="534">
        <f t="shared" si="1"/>
        <v>0</v>
      </c>
      <c r="AF11" s="534">
        <f t="shared" si="1"/>
        <v>1</v>
      </c>
      <c r="AG11" s="535">
        <f t="shared" si="1"/>
        <v>3</v>
      </c>
      <c r="AH11" s="535">
        <f t="shared" si="1"/>
        <v>2</v>
      </c>
      <c r="AI11" s="535">
        <f t="shared" si="1"/>
        <v>0</v>
      </c>
      <c r="AJ11" s="535">
        <f t="shared" si="1"/>
        <v>1</v>
      </c>
      <c r="AK11" s="530">
        <f t="shared" si="1"/>
        <v>0</v>
      </c>
      <c r="AL11" s="530">
        <f t="shared" si="1"/>
        <v>0</v>
      </c>
      <c r="AM11" s="530">
        <f t="shared" si="1"/>
        <v>0</v>
      </c>
      <c r="AN11" s="530">
        <f t="shared" si="1"/>
        <v>0</v>
      </c>
    </row>
    <row r="12" spans="1:46" ht="14.95" thickBot="1" x14ac:dyDescent="0.3">
      <c r="A12" s="179"/>
      <c r="B12" s="180"/>
      <c r="C12" s="1128" t="s">
        <v>245</v>
      </c>
      <c r="D12" s="1157"/>
      <c r="E12" s="1158"/>
      <c r="F12" s="558">
        <f>SUM(F8:F9)</f>
        <v>55</v>
      </c>
      <c r="G12" s="558">
        <f>SUM(G8:G9)</f>
        <v>43</v>
      </c>
      <c r="H12" s="558" t="s">
        <v>80</v>
      </c>
      <c r="I12" s="558" t="s">
        <v>80</v>
      </c>
      <c r="J12" s="558">
        <f t="shared" ref="J12:O12" si="2">SUM(J8:J9)</f>
        <v>6</v>
      </c>
      <c r="K12" s="558">
        <f t="shared" si="2"/>
        <v>4</v>
      </c>
      <c r="L12" s="558">
        <f t="shared" si="2"/>
        <v>0</v>
      </c>
      <c r="M12" s="558">
        <f t="shared" si="2"/>
        <v>5</v>
      </c>
      <c r="N12" s="558">
        <f t="shared" si="2"/>
        <v>1</v>
      </c>
      <c r="O12" s="558">
        <f t="shared" si="2"/>
        <v>0</v>
      </c>
      <c r="P12" s="558" t="s">
        <v>80</v>
      </c>
      <c r="Q12" s="558" t="s">
        <v>80</v>
      </c>
      <c r="R12" s="558">
        <f>SUM(R8:R9)</f>
        <v>3</v>
      </c>
      <c r="S12" s="564"/>
      <c r="T12" s="564"/>
      <c r="U12" s="564"/>
      <c r="V12" s="564"/>
      <c r="W12" s="175"/>
      <c r="X12" s="250" t="s">
        <v>245</v>
      </c>
      <c r="Y12" s="474">
        <f t="shared" ref="Y12:AN12" si="3">SUM(Y8:Y9)</f>
        <v>2</v>
      </c>
      <c r="Z12" s="558">
        <f t="shared" si="3"/>
        <v>2</v>
      </c>
      <c r="AA12" s="558">
        <f t="shared" si="3"/>
        <v>0</v>
      </c>
      <c r="AB12" s="558">
        <f t="shared" si="3"/>
        <v>0</v>
      </c>
      <c r="AC12" s="565">
        <f t="shared" si="3"/>
        <v>0</v>
      </c>
      <c r="AD12" s="565">
        <f t="shared" si="3"/>
        <v>0</v>
      </c>
      <c r="AE12" s="565">
        <f t="shared" si="3"/>
        <v>0</v>
      </c>
      <c r="AF12" s="565">
        <f t="shared" si="3"/>
        <v>0</v>
      </c>
      <c r="AG12" s="566">
        <f t="shared" si="3"/>
        <v>2</v>
      </c>
      <c r="AH12" s="566">
        <f t="shared" si="3"/>
        <v>2</v>
      </c>
      <c r="AI12" s="566">
        <f t="shared" si="3"/>
        <v>0</v>
      </c>
      <c r="AJ12" s="566">
        <f t="shared" si="3"/>
        <v>0</v>
      </c>
      <c r="AK12" s="558">
        <f t="shared" si="3"/>
        <v>0</v>
      </c>
      <c r="AL12" s="558">
        <f t="shared" si="3"/>
        <v>0</v>
      </c>
      <c r="AM12" s="558">
        <f t="shared" si="3"/>
        <v>0</v>
      </c>
      <c r="AN12" s="558">
        <f t="shared" si="3"/>
        <v>0</v>
      </c>
    </row>
    <row r="13" spans="1:46" ht="14.95" thickBot="1" x14ac:dyDescent="0.3">
      <c r="A13" s="179"/>
      <c r="B13" s="180"/>
      <c r="C13" s="1093" t="s">
        <v>267</v>
      </c>
      <c r="D13" s="1110"/>
      <c r="E13" s="1111"/>
      <c r="F13" s="410">
        <f>SUM(F10)</f>
        <v>33</v>
      </c>
      <c r="G13" s="410">
        <f>SUM(G10)</f>
        <v>41</v>
      </c>
      <c r="H13" s="410" t="s">
        <v>80</v>
      </c>
      <c r="I13" s="410" t="s">
        <v>80</v>
      </c>
      <c r="J13" s="410">
        <f t="shared" ref="J13:O13" si="4">SUM(J10)</f>
        <v>4</v>
      </c>
      <c r="K13" s="410">
        <f t="shared" si="4"/>
        <v>3</v>
      </c>
      <c r="L13" s="410">
        <f t="shared" si="4"/>
        <v>0</v>
      </c>
      <c r="M13" s="410">
        <f t="shared" si="4"/>
        <v>3</v>
      </c>
      <c r="N13" s="410">
        <f t="shared" si="4"/>
        <v>0</v>
      </c>
      <c r="O13" s="410">
        <f t="shared" si="4"/>
        <v>0</v>
      </c>
      <c r="P13" s="410" t="s">
        <v>80</v>
      </c>
      <c r="Q13" s="410" t="s">
        <v>80</v>
      </c>
      <c r="R13" s="410">
        <f>SUM(R10)</f>
        <v>5</v>
      </c>
      <c r="S13" s="411"/>
      <c r="T13" s="411"/>
      <c r="U13" s="411"/>
      <c r="V13" s="411"/>
      <c r="W13" s="412"/>
      <c r="X13" s="413" t="s">
        <v>267</v>
      </c>
      <c r="Y13" s="414">
        <f t="shared" ref="Y13:AN13" si="5">SUM(Y10)</f>
        <v>1</v>
      </c>
      <c r="Z13" s="410">
        <f t="shared" si="5"/>
        <v>0</v>
      </c>
      <c r="AA13" s="410">
        <f t="shared" si="5"/>
        <v>0</v>
      </c>
      <c r="AB13" s="410">
        <f t="shared" si="5"/>
        <v>1</v>
      </c>
      <c r="AC13" s="415">
        <f t="shared" si="5"/>
        <v>1</v>
      </c>
      <c r="AD13" s="415">
        <f t="shared" si="5"/>
        <v>0</v>
      </c>
      <c r="AE13" s="415">
        <f t="shared" si="5"/>
        <v>0</v>
      </c>
      <c r="AF13" s="415">
        <f t="shared" si="5"/>
        <v>1</v>
      </c>
      <c r="AG13" s="416">
        <f t="shared" si="5"/>
        <v>0</v>
      </c>
      <c r="AH13" s="416">
        <f t="shared" si="5"/>
        <v>0</v>
      </c>
      <c r="AI13" s="416">
        <f t="shared" si="5"/>
        <v>0</v>
      </c>
      <c r="AJ13" s="416">
        <f t="shared" si="5"/>
        <v>0</v>
      </c>
      <c r="AK13" s="410">
        <f t="shared" si="5"/>
        <v>0</v>
      </c>
      <c r="AL13" s="410">
        <f t="shared" si="5"/>
        <v>0</v>
      </c>
      <c r="AM13" s="410">
        <f t="shared" si="5"/>
        <v>0</v>
      </c>
      <c r="AN13" s="410">
        <f t="shared" si="5"/>
        <v>0</v>
      </c>
    </row>
    <row r="14" spans="1:46" ht="14.95" thickBot="1" x14ac:dyDescent="0.3">
      <c r="A14" s="179"/>
      <c r="B14" s="180"/>
      <c r="C14" s="1087" t="s">
        <v>81</v>
      </c>
      <c r="D14" s="1088"/>
      <c r="E14" s="1089"/>
      <c r="F14" s="231">
        <f t="shared" ref="F14:R14" si="6">SUM(F3:F10)</f>
        <v>286</v>
      </c>
      <c r="G14" s="231">
        <f t="shared" si="6"/>
        <v>260</v>
      </c>
      <c r="H14" s="231">
        <f t="shared" si="6"/>
        <v>3</v>
      </c>
      <c r="I14" s="231">
        <f t="shared" si="6"/>
        <v>0</v>
      </c>
      <c r="J14" s="231">
        <f t="shared" si="6"/>
        <v>34</v>
      </c>
      <c r="K14" s="231">
        <f t="shared" si="6"/>
        <v>24</v>
      </c>
      <c r="L14" s="231">
        <f t="shared" si="6"/>
        <v>0</v>
      </c>
      <c r="M14" s="231">
        <f t="shared" si="6"/>
        <v>22</v>
      </c>
      <c r="N14" s="231">
        <f t="shared" si="6"/>
        <v>9</v>
      </c>
      <c r="O14" s="231">
        <f t="shared" si="6"/>
        <v>0</v>
      </c>
      <c r="P14" s="231">
        <f t="shared" si="6"/>
        <v>1</v>
      </c>
      <c r="Q14" s="231">
        <f t="shared" si="6"/>
        <v>0</v>
      </c>
      <c r="R14" s="231">
        <f t="shared" si="6"/>
        <v>34</v>
      </c>
      <c r="S14" s="228"/>
      <c r="T14" s="228"/>
      <c r="U14" s="228"/>
      <c r="V14" s="228"/>
      <c r="W14" s="13"/>
      <c r="X14" s="246" t="s">
        <v>81</v>
      </c>
      <c r="Y14" s="231">
        <f t="shared" ref="Y14:AN14" si="7">SUM(Y3:Y10)</f>
        <v>8</v>
      </c>
      <c r="Z14" s="231">
        <f t="shared" si="7"/>
        <v>5</v>
      </c>
      <c r="AA14" s="231">
        <f t="shared" si="7"/>
        <v>0</v>
      </c>
      <c r="AB14" s="231">
        <f t="shared" si="7"/>
        <v>3</v>
      </c>
      <c r="AC14" s="229">
        <f t="shared" si="7"/>
        <v>3</v>
      </c>
      <c r="AD14" s="229">
        <f t="shared" si="7"/>
        <v>1</v>
      </c>
      <c r="AE14" s="229">
        <f t="shared" si="7"/>
        <v>0</v>
      </c>
      <c r="AF14" s="229">
        <f t="shared" si="7"/>
        <v>2</v>
      </c>
      <c r="AG14" s="230">
        <f t="shared" si="7"/>
        <v>5</v>
      </c>
      <c r="AH14" s="230">
        <f t="shared" si="7"/>
        <v>4</v>
      </c>
      <c r="AI14" s="230">
        <f t="shared" si="7"/>
        <v>0</v>
      </c>
      <c r="AJ14" s="230">
        <f t="shared" si="7"/>
        <v>1</v>
      </c>
      <c r="AK14" s="231">
        <f t="shared" si="7"/>
        <v>0</v>
      </c>
      <c r="AL14" s="231">
        <f t="shared" si="7"/>
        <v>0</v>
      </c>
      <c r="AM14" s="231">
        <f t="shared" si="7"/>
        <v>0</v>
      </c>
      <c r="AN14" s="231">
        <f t="shared" si="7"/>
        <v>0</v>
      </c>
    </row>
    <row r="15" spans="1:46" x14ac:dyDescent="0.25">
      <c r="A15" s="1108" t="s">
        <v>354</v>
      </c>
      <c r="B15" s="1268"/>
      <c r="C15" s="1268"/>
      <c r="D15" s="1268"/>
      <c r="E15" s="1268"/>
      <c r="F15" s="1268"/>
      <c r="G15" s="1268"/>
      <c r="H15" s="1268"/>
      <c r="I15" s="1268"/>
      <c r="J15" s="1268"/>
      <c r="K15" s="1268"/>
      <c r="L15" s="1268"/>
      <c r="M15" s="1268"/>
      <c r="N15" s="1268"/>
      <c r="O15" s="1268"/>
      <c r="P15" s="1268"/>
      <c r="Q15" s="1268"/>
      <c r="R15" s="1268"/>
      <c r="S15" s="404"/>
      <c r="T15" s="404"/>
      <c r="U15" s="404"/>
      <c r="V15" s="404"/>
      <c r="W15" s="13"/>
      <c r="X15" s="1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</row>
    <row r="16" spans="1:46" x14ac:dyDescent="0.25">
      <c r="A16" s="1108" t="s">
        <v>392</v>
      </c>
      <c r="B16" s="1108"/>
      <c r="C16" s="1108"/>
      <c r="D16" s="1108"/>
      <c r="E16" s="1108"/>
      <c r="F16" s="1108"/>
      <c r="G16" s="1108"/>
      <c r="H16" s="1108"/>
      <c r="I16" s="1108"/>
      <c r="J16" s="1108"/>
      <c r="K16" s="1108"/>
      <c r="L16" s="1108"/>
      <c r="M16" s="1108"/>
      <c r="N16" s="1108"/>
      <c r="O16" s="1108"/>
      <c r="P16" s="1108"/>
      <c r="Q16" s="1108"/>
      <c r="R16" s="1108"/>
      <c r="S16" s="1108"/>
      <c r="T16" s="1108"/>
      <c r="U16" s="1108"/>
      <c r="V16" s="1108"/>
      <c r="W16" s="1108"/>
      <c r="X16" s="1108"/>
      <c r="Y16" s="1108"/>
      <c r="Z16" s="1108"/>
      <c r="AA16" s="1108"/>
      <c r="AB16" s="1108"/>
      <c r="AC16" s="1108"/>
      <c r="AD16" s="1108"/>
      <c r="AE16" s="1108"/>
      <c r="AF16" s="1108"/>
      <c r="AG16" s="1108"/>
      <c r="AH16" s="1108"/>
      <c r="AI16" s="1108"/>
      <c r="AJ16" s="1108"/>
      <c r="AK16" s="1108"/>
      <c r="AL16" s="1108"/>
      <c r="AM16" s="1108"/>
      <c r="AN16" s="1108"/>
    </row>
    <row r="17" spans="1:40" ht="14.3" customHeight="1" x14ac:dyDescent="0.25">
      <c r="A17" s="1108" t="s">
        <v>501</v>
      </c>
      <c r="B17" s="1147"/>
      <c r="C17" s="1147"/>
      <c r="D17" s="1147"/>
      <c r="E17" s="1147"/>
      <c r="F17" s="1147"/>
      <c r="G17" s="1147"/>
      <c r="H17" s="1147"/>
      <c r="I17" s="1147"/>
      <c r="J17" s="1147"/>
      <c r="K17" s="1147"/>
      <c r="L17" s="1147"/>
      <c r="M17" s="1147"/>
      <c r="N17" s="1147"/>
      <c r="O17" s="1147"/>
      <c r="P17" s="1147"/>
      <c r="Q17" s="1147"/>
      <c r="R17" s="1147"/>
      <c r="S17" s="1147"/>
      <c r="T17" s="1147"/>
      <c r="U17" s="1147"/>
      <c r="V17" s="1147"/>
      <c r="W17" s="1147"/>
      <c r="X17" s="1147"/>
      <c r="Y17" s="1147"/>
      <c r="Z17" s="1147"/>
      <c r="AA17" s="1147"/>
      <c r="AB17" s="1147"/>
      <c r="AC17" s="1147"/>
      <c r="AD17" s="1147"/>
      <c r="AE17" s="1147"/>
      <c r="AF17" s="1147"/>
      <c r="AG17" s="1147"/>
      <c r="AH17" s="1147"/>
      <c r="AI17" s="1147"/>
      <c r="AJ17" s="1147"/>
      <c r="AK17" s="1147"/>
      <c r="AL17" s="1147"/>
      <c r="AM17" s="1147"/>
      <c r="AN17" s="1147"/>
    </row>
    <row r="18" spans="1:40" x14ac:dyDescent="0.25">
      <c r="A18" s="1108" t="s">
        <v>752</v>
      </c>
      <c r="B18" s="1147"/>
      <c r="C18" s="1147"/>
      <c r="D18" s="1147"/>
      <c r="E18" s="1147"/>
      <c r="F18" s="1147"/>
      <c r="G18" s="1147"/>
      <c r="H18" s="1147"/>
      <c r="I18" s="1147"/>
      <c r="J18" s="1147"/>
      <c r="K18" s="1147"/>
      <c r="L18" s="1147"/>
      <c r="M18" s="1147"/>
      <c r="N18" s="1147"/>
      <c r="O18" s="1147"/>
      <c r="P18" s="1147"/>
      <c r="Q18" s="1147"/>
      <c r="R18" s="1147"/>
      <c r="S18" s="1147"/>
      <c r="T18" s="1147"/>
      <c r="U18" s="1147"/>
      <c r="V18" s="1147"/>
      <c r="W18" s="1147"/>
      <c r="X18" s="1147"/>
      <c r="Y18" s="1147"/>
      <c r="Z18" s="1147"/>
      <c r="AA18" s="1147"/>
      <c r="AB18" s="1147"/>
      <c r="AC18" s="1147"/>
      <c r="AD18" s="1147"/>
      <c r="AE18" s="1147"/>
      <c r="AF18" s="1147"/>
      <c r="AG18" s="1147"/>
      <c r="AH18" s="1147"/>
      <c r="AI18" s="1147"/>
      <c r="AJ18" s="1147"/>
      <c r="AK18" s="1147"/>
      <c r="AL18" s="1147"/>
      <c r="AM18" s="1147"/>
      <c r="AN18" s="1147"/>
    </row>
    <row r="19" spans="1:40" x14ac:dyDescent="0.25">
      <c r="A19" s="713" t="s">
        <v>502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s="376"/>
      <c r="B20" t="s">
        <v>44</v>
      </c>
    </row>
    <row r="21" spans="1:40" x14ac:dyDescent="0.25">
      <c r="A21" s="377"/>
      <c r="B21" t="s">
        <v>42</v>
      </c>
    </row>
    <row r="22" spans="1:40" x14ac:dyDescent="0.25">
      <c r="A22" s="378"/>
      <c r="B22" t="s">
        <v>43</v>
      </c>
    </row>
    <row r="23" spans="1:40" ht="16.3" x14ac:dyDescent="0.3">
      <c r="A23" s="792" t="s">
        <v>28</v>
      </c>
    </row>
  </sheetData>
  <mergeCells count="18">
    <mergeCell ref="C13:E13"/>
    <mergeCell ref="C14:E14"/>
    <mergeCell ref="A16:AN16"/>
    <mergeCell ref="A17:AN17"/>
    <mergeCell ref="A18:AN18"/>
    <mergeCell ref="A15:R15"/>
    <mergeCell ref="Y1:AB1"/>
    <mergeCell ref="AC1:AF1"/>
    <mergeCell ref="AG1:AJ1"/>
    <mergeCell ref="AK1:AN1"/>
    <mergeCell ref="C11:E11"/>
    <mergeCell ref="N1:O1"/>
    <mergeCell ref="P1:R1"/>
    <mergeCell ref="C12:E12"/>
    <mergeCell ref="A1:C1"/>
    <mergeCell ref="E1:G1"/>
    <mergeCell ref="H1:I1"/>
    <mergeCell ref="J1:M1"/>
  </mergeCells>
  <pageMargins left="0.7" right="0.7" top="0.75" bottom="0.75" header="0.3" footer="0.3"/>
  <ignoredErrors>
    <ignoredError sqref="H13:I13 S12:X12 F12:R12 Y12:AN12 S11:X11 F11:R11 Y11:AN11 P13:Q13 S13:X13" formulaRange="1"/>
  </ignoredError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U20"/>
  <sheetViews>
    <sheetView workbookViewId="0">
      <selection activeCell="U21" sqref="U21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375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17.875" bestFit="1" customWidth="1"/>
    <col min="22" max="23" width="28.375" bestFit="1" customWidth="1"/>
    <col min="24" max="24" width="22.125" bestFit="1" customWidth="1"/>
    <col min="25" max="25" width="18.75" bestFit="1" customWidth="1"/>
    <col min="26" max="41" width="3.625" customWidth="1"/>
    <col min="42" max="42" width="1.625" customWidth="1"/>
    <col min="43" max="43" width="13.125" bestFit="1" customWidth="1"/>
    <col min="45" max="45" width="1.625" customWidth="1"/>
    <col min="46" max="46" width="13.125" bestFit="1" customWidth="1"/>
  </cols>
  <sheetData>
    <row r="1" spans="1:47" ht="14.95" customHeight="1" thickBot="1" x14ac:dyDescent="0.3">
      <c r="A1" s="1120" t="s">
        <v>407</v>
      </c>
      <c r="B1" s="1121"/>
      <c r="C1" s="1121"/>
      <c r="D1" s="105"/>
      <c r="E1" s="1122" t="s">
        <v>24</v>
      </c>
      <c r="F1" s="1123"/>
      <c r="G1" s="1124"/>
      <c r="H1" s="1122" t="s">
        <v>23</v>
      </c>
      <c r="I1" s="1124"/>
      <c r="J1" s="1117" t="s">
        <v>6</v>
      </c>
      <c r="K1" s="1118"/>
      <c r="L1" s="1118"/>
      <c r="M1" s="1119"/>
      <c r="N1" s="1117" t="s">
        <v>7</v>
      </c>
      <c r="O1" s="1119"/>
      <c r="P1" s="1117" t="s">
        <v>25</v>
      </c>
      <c r="Q1" s="1118"/>
      <c r="R1" s="1119"/>
      <c r="S1" s="236" t="s">
        <v>8</v>
      </c>
      <c r="T1" s="236" t="s">
        <v>9</v>
      </c>
      <c r="U1" s="781" t="s">
        <v>10</v>
      </c>
      <c r="V1" s="236" t="s">
        <v>11</v>
      </c>
      <c r="W1" s="781" t="s">
        <v>211</v>
      </c>
      <c r="X1" s="795" t="s">
        <v>26</v>
      </c>
      <c r="Y1" s="796" t="s">
        <v>27</v>
      </c>
      <c r="Z1" s="1114" t="s">
        <v>20</v>
      </c>
      <c r="AA1" s="1115"/>
      <c r="AB1" s="1115"/>
      <c r="AC1" s="1116"/>
      <c r="AD1" s="1114" t="s">
        <v>61</v>
      </c>
      <c r="AE1" s="1115"/>
      <c r="AF1" s="1115"/>
      <c r="AG1" s="1116"/>
      <c r="AH1" s="1114" t="s">
        <v>62</v>
      </c>
      <c r="AI1" s="1115"/>
      <c r="AJ1" s="1115"/>
      <c r="AK1" s="1116"/>
      <c r="AL1" s="1114" t="s">
        <v>63</v>
      </c>
      <c r="AM1" s="1115"/>
      <c r="AN1" s="1115"/>
      <c r="AO1" s="1116"/>
      <c r="AQ1" s="227" t="s">
        <v>129</v>
      </c>
      <c r="AR1" s="218"/>
      <c r="AS1" s="218"/>
      <c r="AT1" s="227" t="s">
        <v>129</v>
      </c>
    </row>
    <row r="2" spans="1:47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4"/>
      <c r="X2" s="26"/>
      <c r="Y2" s="5"/>
      <c r="Z2" s="195" t="s">
        <v>0</v>
      </c>
      <c r="AA2" s="195" t="s">
        <v>1</v>
      </c>
      <c r="AB2" s="195" t="s">
        <v>2</v>
      </c>
      <c r="AC2" s="195" t="s">
        <v>3</v>
      </c>
      <c r="AD2" s="195" t="s">
        <v>0</v>
      </c>
      <c r="AE2" s="195" t="s">
        <v>1</v>
      </c>
      <c r="AF2" s="195" t="s">
        <v>2</v>
      </c>
      <c r="AG2" s="195" t="s">
        <v>3</v>
      </c>
      <c r="AH2" s="195" t="s">
        <v>0</v>
      </c>
      <c r="AI2" s="195" t="s">
        <v>1</v>
      </c>
      <c r="AJ2" s="195" t="s">
        <v>2</v>
      </c>
      <c r="AK2" s="195" t="s">
        <v>3</v>
      </c>
      <c r="AL2" s="195" t="s">
        <v>0</v>
      </c>
      <c r="AM2" s="195" t="s">
        <v>1</v>
      </c>
      <c r="AN2" s="195" t="s">
        <v>2</v>
      </c>
      <c r="AO2" s="195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5">
      <c r="A3" s="305" t="s">
        <v>243</v>
      </c>
      <c r="B3" s="290" t="s">
        <v>259</v>
      </c>
      <c r="C3" s="290" t="s">
        <v>92</v>
      </c>
      <c r="D3" s="290" t="s">
        <v>576</v>
      </c>
      <c r="E3" s="291" t="s">
        <v>1</v>
      </c>
      <c r="F3" s="291">
        <v>30</v>
      </c>
      <c r="G3" s="291">
        <v>16</v>
      </c>
      <c r="H3" s="692">
        <v>0</v>
      </c>
      <c r="I3" s="692">
        <v>0</v>
      </c>
      <c r="J3" s="692">
        <v>3</v>
      </c>
      <c r="K3" s="692">
        <v>3</v>
      </c>
      <c r="L3" s="692">
        <v>0</v>
      </c>
      <c r="M3" s="692">
        <v>3</v>
      </c>
      <c r="N3" s="692">
        <v>0</v>
      </c>
      <c r="O3" s="692">
        <v>0</v>
      </c>
      <c r="P3" s="692">
        <v>0</v>
      </c>
      <c r="Q3" s="692">
        <v>0</v>
      </c>
      <c r="R3" s="692">
        <v>2</v>
      </c>
      <c r="S3" s="292">
        <v>3000</v>
      </c>
      <c r="T3" s="302" t="s">
        <v>577</v>
      </c>
      <c r="U3" s="294" t="s">
        <v>162</v>
      </c>
      <c r="V3" s="292" t="s">
        <v>578</v>
      </c>
      <c r="W3" s="292" t="s">
        <v>157</v>
      </c>
      <c r="X3" s="292" t="s">
        <v>170</v>
      </c>
      <c r="Y3" s="296" t="s">
        <v>579</v>
      </c>
      <c r="Z3" s="716">
        <v>1</v>
      </c>
      <c r="AA3" s="716">
        <v>1</v>
      </c>
      <c r="AB3" s="716">
        <v>0</v>
      </c>
      <c r="AC3" s="717">
        <v>0</v>
      </c>
      <c r="AD3" s="716">
        <v>1</v>
      </c>
      <c r="AE3" s="716">
        <v>1</v>
      </c>
      <c r="AF3" s="716">
        <v>0</v>
      </c>
      <c r="AG3" s="716">
        <v>0</v>
      </c>
      <c r="AH3" s="716">
        <v>0</v>
      </c>
      <c r="AI3" s="716">
        <v>0</v>
      </c>
      <c r="AJ3" s="716">
        <v>0</v>
      </c>
      <c r="AK3" s="767">
        <v>0</v>
      </c>
      <c r="AL3" s="767">
        <v>0</v>
      </c>
      <c r="AM3" s="767">
        <v>0</v>
      </c>
      <c r="AN3" s="767">
        <v>0</v>
      </c>
      <c r="AO3" s="767">
        <v>0</v>
      </c>
      <c r="AQ3" s="214" t="s">
        <v>101</v>
      </c>
      <c r="AR3" s="215">
        <f>Tongaalltestshistplayed</f>
        <v>319</v>
      </c>
      <c r="AT3" s="214" t="s">
        <v>101</v>
      </c>
      <c r="AU3" s="215">
        <f>TongaRWChistplayed</f>
        <v>33</v>
      </c>
    </row>
    <row r="4" spans="1:47" ht="14.95" customHeight="1" thickBot="1" x14ac:dyDescent="0.3">
      <c r="A4" s="282" t="s">
        <v>249</v>
      </c>
      <c r="B4" s="270" t="s">
        <v>259</v>
      </c>
      <c r="C4" s="270" t="s">
        <v>31</v>
      </c>
      <c r="D4" s="270" t="s">
        <v>440</v>
      </c>
      <c r="E4" s="271" t="s">
        <v>3</v>
      </c>
      <c r="F4" s="271">
        <v>10</v>
      </c>
      <c r="G4" s="271">
        <v>32</v>
      </c>
      <c r="H4" s="691">
        <v>0</v>
      </c>
      <c r="I4" s="691">
        <v>0</v>
      </c>
      <c r="J4" s="691">
        <v>1</v>
      </c>
      <c r="K4" s="691">
        <v>1</v>
      </c>
      <c r="L4" s="691">
        <v>0</v>
      </c>
      <c r="M4" s="691">
        <v>1</v>
      </c>
      <c r="N4" s="691">
        <v>1</v>
      </c>
      <c r="O4" s="691">
        <v>1</v>
      </c>
      <c r="P4" s="691">
        <v>1</v>
      </c>
      <c r="Q4" s="691">
        <v>0</v>
      </c>
      <c r="R4" s="691">
        <v>4</v>
      </c>
      <c r="S4" s="277">
        <v>3000</v>
      </c>
      <c r="T4" s="281" t="s">
        <v>591</v>
      </c>
      <c r="U4" s="279" t="s">
        <v>161</v>
      </c>
      <c r="V4" s="277" t="s">
        <v>188</v>
      </c>
      <c r="W4" s="277" t="s">
        <v>157</v>
      </c>
      <c r="X4" s="277" t="s">
        <v>417</v>
      </c>
      <c r="Y4" s="280" t="s">
        <v>590</v>
      </c>
      <c r="Z4" s="718">
        <v>1</v>
      </c>
      <c r="AA4" s="718">
        <v>0</v>
      </c>
      <c r="AB4" s="718">
        <v>0</v>
      </c>
      <c r="AC4" s="719">
        <v>1</v>
      </c>
      <c r="AD4" s="766">
        <v>0</v>
      </c>
      <c r="AE4" s="766">
        <v>0</v>
      </c>
      <c r="AF4" s="766">
        <v>0</v>
      </c>
      <c r="AG4" s="766">
        <v>0</v>
      </c>
      <c r="AH4" s="766">
        <v>1</v>
      </c>
      <c r="AI4" s="766">
        <v>0</v>
      </c>
      <c r="AJ4" s="766">
        <v>0</v>
      </c>
      <c r="AK4" s="766">
        <v>1</v>
      </c>
      <c r="AL4" s="766">
        <v>0</v>
      </c>
      <c r="AM4" s="766">
        <v>0</v>
      </c>
      <c r="AN4" s="766">
        <v>0</v>
      </c>
      <c r="AO4" s="766">
        <v>0</v>
      </c>
      <c r="AQ4" s="216" t="s">
        <v>102</v>
      </c>
      <c r="AR4" s="217">
        <f>Tongaalltestshistwon</f>
        <v>119</v>
      </c>
      <c r="AT4" s="216" t="s">
        <v>102</v>
      </c>
      <c r="AU4" s="217">
        <f>TongaRWChistwon</f>
        <v>9</v>
      </c>
    </row>
    <row r="5" spans="1:47" ht="14.95" customHeight="1" thickBot="1" x14ac:dyDescent="0.3">
      <c r="A5" s="375" t="s">
        <v>179</v>
      </c>
      <c r="B5" s="319" t="s">
        <v>226</v>
      </c>
      <c r="C5" s="319" t="s">
        <v>36</v>
      </c>
      <c r="D5" s="319" t="s">
        <v>642</v>
      </c>
      <c r="E5" s="314" t="s">
        <v>3</v>
      </c>
      <c r="F5" s="314">
        <v>24</v>
      </c>
      <c r="G5" s="314">
        <v>62</v>
      </c>
      <c r="H5" s="699" t="s">
        <v>80</v>
      </c>
      <c r="I5" s="699" t="s">
        <v>80</v>
      </c>
      <c r="J5" s="699">
        <v>4</v>
      </c>
      <c r="K5" s="699">
        <v>2</v>
      </c>
      <c r="L5" s="699">
        <v>0</v>
      </c>
      <c r="M5" s="699">
        <v>0</v>
      </c>
      <c r="N5" s="699">
        <v>2</v>
      </c>
      <c r="O5" s="699">
        <v>0</v>
      </c>
      <c r="P5" s="699" t="s">
        <v>80</v>
      </c>
      <c r="Q5" s="699" t="s">
        <v>80</v>
      </c>
      <c r="R5" s="699">
        <v>8</v>
      </c>
      <c r="S5" s="320">
        <v>6452</v>
      </c>
      <c r="T5" s="372" t="s">
        <v>654</v>
      </c>
      <c r="U5" s="321" t="s">
        <v>194</v>
      </c>
      <c r="V5" s="320" t="s">
        <v>215</v>
      </c>
      <c r="W5" s="320" t="s">
        <v>256</v>
      </c>
      <c r="X5" s="317" t="s">
        <v>177</v>
      </c>
      <c r="Y5" s="322" t="s">
        <v>464</v>
      </c>
      <c r="Z5" s="720">
        <v>1</v>
      </c>
      <c r="AA5" s="720">
        <v>0</v>
      </c>
      <c r="AB5" s="720">
        <v>0</v>
      </c>
      <c r="AC5" s="721">
        <v>1</v>
      </c>
      <c r="AD5" s="768">
        <v>0</v>
      </c>
      <c r="AE5" s="768">
        <v>0</v>
      </c>
      <c r="AF5" s="768">
        <v>0</v>
      </c>
      <c r="AG5" s="768">
        <v>0</v>
      </c>
      <c r="AH5" s="768">
        <v>0</v>
      </c>
      <c r="AI5" s="768">
        <v>0</v>
      </c>
      <c r="AJ5" s="768">
        <v>0</v>
      </c>
      <c r="AK5" s="768">
        <v>0</v>
      </c>
      <c r="AL5" s="768">
        <v>1</v>
      </c>
      <c r="AM5" s="768">
        <v>0</v>
      </c>
      <c r="AN5" s="768">
        <v>0</v>
      </c>
      <c r="AO5" s="768">
        <v>1</v>
      </c>
      <c r="AQ5" s="216" t="s">
        <v>107</v>
      </c>
      <c r="AR5" s="217">
        <f>Tongaalltestshistdrawn</f>
        <v>7</v>
      </c>
      <c r="AT5" s="216" t="s">
        <v>107</v>
      </c>
      <c r="AU5" s="217">
        <f>TongaRWChistdrawn</f>
        <v>0</v>
      </c>
    </row>
    <row r="6" spans="1:47" ht="14.95" customHeight="1" thickBot="1" x14ac:dyDescent="0.35">
      <c r="A6" s="318" t="s">
        <v>666</v>
      </c>
      <c r="B6" s="319" t="s">
        <v>260</v>
      </c>
      <c r="C6" s="319" t="s">
        <v>40</v>
      </c>
      <c r="D6" s="319" t="s">
        <v>667</v>
      </c>
      <c r="E6" s="314" t="s">
        <v>1</v>
      </c>
      <c r="F6" s="314">
        <v>35</v>
      </c>
      <c r="G6" s="314">
        <v>24</v>
      </c>
      <c r="H6" s="699" t="s">
        <v>80</v>
      </c>
      <c r="I6" s="699" t="s">
        <v>80</v>
      </c>
      <c r="J6" s="699">
        <v>5</v>
      </c>
      <c r="K6" s="699">
        <v>5</v>
      </c>
      <c r="L6" s="699">
        <v>0</v>
      </c>
      <c r="M6" s="699">
        <v>0</v>
      </c>
      <c r="N6" s="699">
        <v>1</v>
      </c>
      <c r="O6" s="699">
        <v>0</v>
      </c>
      <c r="P6" s="699" t="s">
        <v>80</v>
      </c>
      <c r="Q6" s="699" t="s">
        <v>80</v>
      </c>
      <c r="R6" s="699">
        <v>3</v>
      </c>
      <c r="S6" s="320">
        <v>8000</v>
      </c>
      <c r="T6" s="323" t="s">
        <v>669</v>
      </c>
      <c r="U6" s="321" t="s">
        <v>182</v>
      </c>
      <c r="V6" s="320" t="s">
        <v>235</v>
      </c>
      <c r="W6" s="320" t="s">
        <v>215</v>
      </c>
      <c r="X6" s="320" t="s">
        <v>661</v>
      </c>
      <c r="Y6" s="320" t="s">
        <v>470</v>
      </c>
      <c r="Z6" s="317">
        <v>1</v>
      </c>
      <c r="AA6" s="317">
        <v>1</v>
      </c>
      <c r="AB6" s="317">
        <v>0</v>
      </c>
      <c r="AC6" s="725">
        <v>0</v>
      </c>
      <c r="AD6" s="802">
        <v>0</v>
      </c>
      <c r="AE6" s="802">
        <v>0</v>
      </c>
      <c r="AF6" s="802">
        <v>0</v>
      </c>
      <c r="AG6" s="802">
        <v>0</v>
      </c>
      <c r="AH6" s="802">
        <v>0</v>
      </c>
      <c r="AI6" s="802">
        <v>0</v>
      </c>
      <c r="AJ6" s="802">
        <v>0</v>
      </c>
      <c r="AK6" s="802">
        <v>0</v>
      </c>
      <c r="AL6" s="802">
        <v>1</v>
      </c>
      <c r="AM6" s="802">
        <v>1</v>
      </c>
      <c r="AN6" s="802">
        <v>0</v>
      </c>
      <c r="AO6" s="802">
        <v>0</v>
      </c>
      <c r="AQ6" s="216" t="s">
        <v>103</v>
      </c>
      <c r="AR6" s="217">
        <f>Tongaalltestshistlost</f>
        <v>193</v>
      </c>
      <c r="AT6" s="216" t="s">
        <v>103</v>
      </c>
      <c r="AU6" s="217">
        <f>TongaRWChistlost</f>
        <v>24</v>
      </c>
    </row>
    <row r="7" spans="1:47" ht="14.95" customHeight="1" thickBot="1" x14ac:dyDescent="0.3">
      <c r="A7" s="268" t="s">
        <v>206</v>
      </c>
      <c r="B7" s="270" t="s">
        <v>605</v>
      </c>
      <c r="C7" s="270" t="s">
        <v>35</v>
      </c>
      <c r="D7" s="270" t="s">
        <v>89</v>
      </c>
      <c r="E7" s="271" t="s">
        <v>3</v>
      </c>
      <c r="F7" s="271">
        <v>0</v>
      </c>
      <c r="G7" s="271">
        <v>56</v>
      </c>
      <c r="H7" s="691" t="s">
        <v>80</v>
      </c>
      <c r="I7" s="691" t="s">
        <v>80</v>
      </c>
      <c r="J7" s="691">
        <v>0</v>
      </c>
      <c r="K7" s="691">
        <v>0</v>
      </c>
      <c r="L7" s="691">
        <v>0</v>
      </c>
      <c r="M7" s="691">
        <v>0</v>
      </c>
      <c r="N7" s="691">
        <v>3</v>
      </c>
      <c r="O7" s="701">
        <v>1</v>
      </c>
      <c r="P7" s="691"/>
      <c r="Q7" s="691"/>
      <c r="R7" s="691"/>
      <c r="S7" s="273">
        <v>60374</v>
      </c>
      <c r="T7" s="286" t="s">
        <v>837</v>
      </c>
      <c r="U7" s="273" t="s">
        <v>194</v>
      </c>
      <c r="V7" s="273" t="s">
        <v>256</v>
      </c>
      <c r="W7" s="273" t="s">
        <v>430</v>
      </c>
      <c r="X7" s="273" t="s">
        <v>836</v>
      </c>
      <c r="Y7" s="273" t="s">
        <v>345</v>
      </c>
      <c r="Z7" s="273">
        <v>1</v>
      </c>
      <c r="AA7" s="273">
        <v>0</v>
      </c>
      <c r="AB7" s="273">
        <v>0</v>
      </c>
      <c r="AC7" s="287">
        <v>1</v>
      </c>
      <c r="AD7" s="273">
        <v>0</v>
      </c>
      <c r="AE7" s="273">
        <v>0</v>
      </c>
      <c r="AF7" s="273">
        <v>0</v>
      </c>
      <c r="AG7" s="273">
        <v>0</v>
      </c>
      <c r="AH7" s="273">
        <v>1</v>
      </c>
      <c r="AI7" s="273">
        <v>0</v>
      </c>
      <c r="AJ7" s="273">
        <v>0</v>
      </c>
      <c r="AK7" s="273">
        <v>1</v>
      </c>
      <c r="AL7" s="273">
        <v>0</v>
      </c>
      <c r="AM7" s="273">
        <v>0</v>
      </c>
      <c r="AN7" s="273">
        <v>0</v>
      </c>
      <c r="AO7" s="273">
        <v>0</v>
      </c>
      <c r="AQ7" s="216" t="s">
        <v>108</v>
      </c>
      <c r="AR7" s="217">
        <f>Tongaalltestshistptsscored</f>
        <v>5906</v>
      </c>
      <c r="AT7" s="216" t="s">
        <v>108</v>
      </c>
      <c r="AU7" s="217">
        <f>TongaRWChistptsscored</f>
        <v>568</v>
      </c>
    </row>
    <row r="8" spans="1:47" ht="14.95" customHeight="1" thickBot="1" x14ac:dyDescent="0.3">
      <c r="A8" s="179"/>
      <c r="B8" s="180"/>
      <c r="C8" s="1128" t="s">
        <v>244</v>
      </c>
      <c r="D8" s="1157"/>
      <c r="E8" s="1158"/>
      <c r="F8" s="558">
        <f t="shared" ref="F8:R8" si="0">SUM(F3:F6)</f>
        <v>99</v>
      </c>
      <c r="G8" s="558">
        <f t="shared" si="0"/>
        <v>134</v>
      </c>
      <c r="H8" s="558">
        <f t="shared" si="0"/>
        <v>0</v>
      </c>
      <c r="I8" s="558">
        <f t="shared" si="0"/>
        <v>0</v>
      </c>
      <c r="J8" s="558">
        <f t="shared" si="0"/>
        <v>13</v>
      </c>
      <c r="K8" s="558">
        <f t="shared" si="0"/>
        <v>11</v>
      </c>
      <c r="L8" s="558">
        <f t="shared" si="0"/>
        <v>0</v>
      </c>
      <c r="M8" s="558">
        <f t="shared" si="0"/>
        <v>4</v>
      </c>
      <c r="N8" s="558">
        <f t="shared" si="0"/>
        <v>4</v>
      </c>
      <c r="O8" s="558">
        <f t="shared" si="0"/>
        <v>1</v>
      </c>
      <c r="P8" s="558">
        <f t="shared" si="0"/>
        <v>1</v>
      </c>
      <c r="Q8" s="558">
        <f t="shared" si="0"/>
        <v>0</v>
      </c>
      <c r="R8" s="558">
        <f t="shared" si="0"/>
        <v>17</v>
      </c>
      <c r="S8" s="564"/>
      <c r="T8" s="564"/>
      <c r="U8" s="564"/>
      <c r="V8" s="564"/>
      <c r="W8" s="564"/>
      <c r="X8" s="175"/>
      <c r="Y8" s="250" t="s">
        <v>244</v>
      </c>
      <c r="Z8" s="474">
        <f t="shared" ref="Z8:AO8" si="1">SUM(Z3:Z6)</f>
        <v>4</v>
      </c>
      <c r="AA8" s="558">
        <f t="shared" si="1"/>
        <v>2</v>
      </c>
      <c r="AB8" s="558">
        <f t="shared" si="1"/>
        <v>0</v>
      </c>
      <c r="AC8" s="558">
        <f t="shared" si="1"/>
        <v>2</v>
      </c>
      <c r="AD8" s="565">
        <f t="shared" si="1"/>
        <v>1</v>
      </c>
      <c r="AE8" s="565">
        <f t="shared" si="1"/>
        <v>1</v>
      </c>
      <c r="AF8" s="565">
        <f t="shared" si="1"/>
        <v>0</v>
      </c>
      <c r="AG8" s="565">
        <f t="shared" si="1"/>
        <v>0</v>
      </c>
      <c r="AH8" s="566">
        <f t="shared" si="1"/>
        <v>1</v>
      </c>
      <c r="AI8" s="566">
        <f t="shared" si="1"/>
        <v>0</v>
      </c>
      <c r="AJ8" s="566">
        <f t="shared" si="1"/>
        <v>0</v>
      </c>
      <c r="AK8" s="566">
        <f t="shared" si="1"/>
        <v>1</v>
      </c>
      <c r="AL8" s="558">
        <f t="shared" si="1"/>
        <v>2</v>
      </c>
      <c r="AM8" s="558">
        <f t="shared" si="1"/>
        <v>1</v>
      </c>
      <c r="AN8" s="558">
        <f t="shared" si="1"/>
        <v>0</v>
      </c>
      <c r="AO8" s="558">
        <f t="shared" si="1"/>
        <v>1</v>
      </c>
      <c r="AQ8" s="216" t="s">
        <v>109</v>
      </c>
      <c r="AR8" s="217">
        <f>Tongaalltestshistptsagainst</f>
        <v>7755</v>
      </c>
      <c r="AT8" s="216" t="s">
        <v>109</v>
      </c>
      <c r="AU8" s="217">
        <f>TongaRWChistptscon</f>
        <v>1143</v>
      </c>
    </row>
    <row r="9" spans="1:47" ht="14.95" customHeight="1" thickBot="1" x14ac:dyDescent="0.3">
      <c r="A9" s="179"/>
      <c r="B9" s="180"/>
      <c r="C9" s="1084" t="s">
        <v>231</v>
      </c>
      <c r="D9" s="1085"/>
      <c r="E9" s="1086"/>
      <c r="F9" s="539">
        <f>SUM(F7)</f>
        <v>0</v>
      </c>
      <c r="G9" s="539">
        <f>SUM(G7)</f>
        <v>56</v>
      </c>
      <c r="H9" s="539" t="s">
        <v>80</v>
      </c>
      <c r="I9" s="539" t="s">
        <v>80</v>
      </c>
      <c r="J9" s="539">
        <f t="shared" ref="J9:O9" si="2">SUM(J7)</f>
        <v>0</v>
      </c>
      <c r="K9" s="539">
        <f t="shared" si="2"/>
        <v>0</v>
      </c>
      <c r="L9" s="539">
        <f t="shared" si="2"/>
        <v>0</v>
      </c>
      <c r="M9" s="539">
        <f t="shared" si="2"/>
        <v>0</v>
      </c>
      <c r="N9" s="539">
        <f t="shared" si="2"/>
        <v>3</v>
      </c>
      <c r="O9" s="539">
        <f t="shared" si="2"/>
        <v>1</v>
      </c>
      <c r="P9" s="539" t="s">
        <v>80</v>
      </c>
      <c r="Q9" s="539" t="s">
        <v>80</v>
      </c>
      <c r="R9" s="539">
        <f>SUM(R7)</f>
        <v>0</v>
      </c>
      <c r="S9" s="540"/>
      <c r="T9" s="540"/>
      <c r="U9" s="540"/>
      <c r="V9" s="540"/>
      <c r="W9" s="540"/>
      <c r="X9" s="541"/>
      <c r="Y9" s="542" t="s">
        <v>231</v>
      </c>
      <c r="Z9" s="543">
        <f t="shared" ref="Z9:AO9" si="3">SUM(Z7)</f>
        <v>1</v>
      </c>
      <c r="AA9" s="539">
        <f t="shared" si="3"/>
        <v>0</v>
      </c>
      <c r="AB9" s="539">
        <f t="shared" si="3"/>
        <v>0</v>
      </c>
      <c r="AC9" s="539">
        <f t="shared" si="3"/>
        <v>1</v>
      </c>
      <c r="AD9" s="544">
        <f t="shared" si="3"/>
        <v>0</v>
      </c>
      <c r="AE9" s="544">
        <f t="shared" si="3"/>
        <v>0</v>
      </c>
      <c r="AF9" s="544">
        <f t="shared" si="3"/>
        <v>0</v>
      </c>
      <c r="AG9" s="544">
        <f t="shared" si="3"/>
        <v>0</v>
      </c>
      <c r="AH9" s="545">
        <f t="shared" si="3"/>
        <v>1</v>
      </c>
      <c r="AI9" s="545">
        <f t="shared" si="3"/>
        <v>0</v>
      </c>
      <c r="AJ9" s="545">
        <f t="shared" si="3"/>
        <v>0</v>
      </c>
      <c r="AK9" s="545">
        <f t="shared" si="3"/>
        <v>1</v>
      </c>
      <c r="AL9" s="539">
        <f t="shared" si="3"/>
        <v>0</v>
      </c>
      <c r="AM9" s="539">
        <f t="shared" si="3"/>
        <v>0</v>
      </c>
      <c r="AN9" s="539">
        <f t="shared" si="3"/>
        <v>0</v>
      </c>
      <c r="AO9" s="539">
        <f t="shared" si="3"/>
        <v>0</v>
      </c>
      <c r="AQ9" s="216" t="s">
        <v>100</v>
      </c>
      <c r="AR9" s="217">
        <f>Tongaalltestshisttriesscored</f>
        <v>716</v>
      </c>
      <c r="AT9" s="216" t="s">
        <v>100</v>
      </c>
      <c r="AU9" s="217">
        <f>TongaRWChisttriesscored</f>
        <v>66</v>
      </c>
    </row>
    <row r="10" spans="1:47" ht="14.95" thickBot="1" x14ac:dyDescent="0.3">
      <c r="A10" s="179"/>
      <c r="B10" s="180"/>
      <c r="C10" s="1087" t="s">
        <v>81</v>
      </c>
      <c r="D10" s="1088"/>
      <c r="E10" s="1089"/>
      <c r="F10" s="231">
        <f t="shared" ref="F10:R10" si="4">SUM(F3:F7)</f>
        <v>99</v>
      </c>
      <c r="G10" s="231">
        <f t="shared" si="4"/>
        <v>190</v>
      </c>
      <c r="H10" s="231">
        <f t="shared" si="4"/>
        <v>0</v>
      </c>
      <c r="I10" s="231">
        <f t="shared" si="4"/>
        <v>0</v>
      </c>
      <c r="J10" s="231">
        <f t="shared" si="4"/>
        <v>13</v>
      </c>
      <c r="K10" s="231">
        <f t="shared" si="4"/>
        <v>11</v>
      </c>
      <c r="L10" s="231">
        <f t="shared" si="4"/>
        <v>0</v>
      </c>
      <c r="M10" s="231">
        <f t="shared" si="4"/>
        <v>4</v>
      </c>
      <c r="N10" s="231">
        <f t="shared" si="4"/>
        <v>7</v>
      </c>
      <c r="O10" s="231">
        <f t="shared" si="4"/>
        <v>2</v>
      </c>
      <c r="P10" s="231">
        <f t="shared" si="4"/>
        <v>1</v>
      </c>
      <c r="Q10" s="231">
        <f t="shared" si="4"/>
        <v>0</v>
      </c>
      <c r="R10" s="231">
        <f t="shared" si="4"/>
        <v>17</v>
      </c>
      <c r="S10" s="228"/>
      <c r="T10" s="228"/>
      <c r="U10" s="228"/>
      <c r="V10" s="228"/>
      <c r="W10" s="228"/>
      <c r="X10" s="13"/>
      <c r="Y10" s="246" t="s">
        <v>81</v>
      </c>
      <c r="Z10" s="231">
        <f t="shared" ref="Z10:AO10" si="5">SUM(Z3:Z7)</f>
        <v>5</v>
      </c>
      <c r="AA10" s="231">
        <f t="shared" si="5"/>
        <v>2</v>
      </c>
      <c r="AB10" s="231">
        <f t="shared" si="5"/>
        <v>0</v>
      </c>
      <c r="AC10" s="231">
        <f t="shared" si="5"/>
        <v>3</v>
      </c>
      <c r="AD10" s="229">
        <f t="shared" si="5"/>
        <v>1</v>
      </c>
      <c r="AE10" s="229">
        <f t="shared" si="5"/>
        <v>1</v>
      </c>
      <c r="AF10" s="229">
        <f t="shared" si="5"/>
        <v>0</v>
      </c>
      <c r="AG10" s="229">
        <f t="shared" si="5"/>
        <v>0</v>
      </c>
      <c r="AH10" s="230">
        <f t="shared" si="5"/>
        <v>2</v>
      </c>
      <c r="AI10" s="230">
        <f t="shared" si="5"/>
        <v>0</v>
      </c>
      <c r="AJ10" s="230">
        <f t="shared" si="5"/>
        <v>0</v>
      </c>
      <c r="AK10" s="230">
        <f t="shared" si="5"/>
        <v>2</v>
      </c>
      <c r="AL10" s="231">
        <f t="shared" si="5"/>
        <v>2</v>
      </c>
      <c r="AM10" s="231">
        <f t="shared" si="5"/>
        <v>1</v>
      </c>
      <c r="AN10" s="231">
        <f t="shared" si="5"/>
        <v>0</v>
      </c>
      <c r="AO10" s="231">
        <f t="shared" si="5"/>
        <v>1</v>
      </c>
    </row>
    <row r="11" spans="1:47" ht="14.95" customHeight="1" x14ac:dyDescent="0.25">
      <c r="A11" s="1108" t="s">
        <v>838</v>
      </c>
      <c r="B11" s="1268"/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8"/>
      <c r="P11" s="1268"/>
      <c r="Q11" s="1268"/>
      <c r="R11" s="1268"/>
      <c r="S11" s="404"/>
      <c r="T11" s="404"/>
      <c r="U11" s="404"/>
      <c r="V11" s="404"/>
      <c r="W11" s="404"/>
      <c r="X11" s="13"/>
      <c r="Y11" s="1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</row>
    <row r="12" spans="1:47" x14ac:dyDescent="0.25">
      <c r="A12" s="1108" t="s">
        <v>651</v>
      </c>
      <c r="B12" s="1108"/>
      <c r="C12" s="1108"/>
      <c r="D12" s="1108"/>
      <c r="E12" s="1108"/>
      <c r="F12" s="1108"/>
      <c r="G12" s="1108"/>
      <c r="H12" s="1108"/>
      <c r="I12" s="1108"/>
      <c r="J12" s="1108"/>
      <c r="K12" s="1108"/>
      <c r="L12" s="1108"/>
      <c r="M12" s="1108"/>
      <c r="N12" s="1108"/>
      <c r="O12" s="1108"/>
      <c r="P12" s="1108"/>
      <c r="Q12" s="1108"/>
      <c r="R12" s="1108"/>
      <c r="S12" s="1108"/>
      <c r="T12" s="1108"/>
      <c r="U12" s="1108"/>
      <c r="V12" s="1108"/>
      <c r="W12" s="1108"/>
      <c r="X12" s="1108"/>
      <c r="Y12" s="1108"/>
      <c r="Z12" s="1108"/>
      <c r="AA12" s="1108"/>
      <c r="AB12" s="1108"/>
      <c r="AC12" s="1108"/>
      <c r="AD12" s="1108"/>
      <c r="AE12" s="1108"/>
      <c r="AF12" s="1108"/>
      <c r="AG12" s="1108"/>
      <c r="AH12" s="1108"/>
      <c r="AI12" s="1108"/>
      <c r="AJ12" s="1108"/>
      <c r="AK12" s="1108"/>
      <c r="AL12" s="1108"/>
      <c r="AM12" s="1108"/>
      <c r="AN12" s="1108"/>
      <c r="AO12" s="1108"/>
    </row>
    <row r="13" spans="1:47" x14ac:dyDescent="0.25">
      <c r="A13" s="1108" t="s">
        <v>668</v>
      </c>
      <c r="B13" s="1147"/>
      <c r="C13" s="1147"/>
      <c r="D13" s="1147"/>
      <c r="E13" s="1147"/>
      <c r="F13" s="1147"/>
      <c r="G13" s="1147"/>
      <c r="H13" s="1147"/>
      <c r="I13" s="1147"/>
      <c r="J13" s="1147"/>
      <c r="K13" s="1147"/>
      <c r="L13" s="1147"/>
      <c r="M13" s="1147"/>
      <c r="N13" s="1147"/>
      <c r="O13" s="1147"/>
      <c r="P13" s="1147"/>
      <c r="Q13" s="1147"/>
      <c r="R13" s="1147"/>
      <c r="S13" s="1147"/>
      <c r="T13" s="1147"/>
      <c r="U13" s="1147"/>
      <c r="V13" s="1147"/>
      <c r="W13" s="1147"/>
      <c r="X13" s="1147"/>
      <c r="Y13" s="1147"/>
      <c r="Z13" s="1147"/>
      <c r="AA13" s="1147"/>
      <c r="AB13" s="1147"/>
      <c r="AC13" s="1147"/>
      <c r="AD13" s="1147"/>
      <c r="AE13" s="1147"/>
      <c r="AF13" s="1147"/>
      <c r="AG13" s="1147"/>
      <c r="AH13" s="1147"/>
      <c r="AI13" s="1147"/>
      <c r="AJ13" s="1147"/>
      <c r="AK13" s="1147"/>
      <c r="AL13" s="1147"/>
      <c r="AM13" s="1147"/>
      <c r="AN13" s="1147"/>
      <c r="AO13" s="1147"/>
    </row>
    <row r="14" spans="1:47" x14ac:dyDescent="0.25">
      <c r="A14" s="1108" t="s">
        <v>552</v>
      </c>
      <c r="B14" s="1147"/>
      <c r="C14" s="1147"/>
      <c r="D14" s="1147"/>
      <c r="E14" s="1147"/>
      <c r="F14" s="1147"/>
      <c r="G14" s="1147"/>
      <c r="H14" s="1147"/>
      <c r="I14" s="1147"/>
      <c r="J14" s="1147"/>
      <c r="K14" s="1147"/>
      <c r="L14" s="1147"/>
      <c r="M14" s="1147"/>
      <c r="N14" s="1147"/>
      <c r="O14" s="1147"/>
      <c r="P14" s="1147"/>
      <c r="Q14" s="1147"/>
      <c r="R14" s="1147"/>
      <c r="S14" s="1147"/>
      <c r="T14" s="1147"/>
      <c r="U14" s="1147"/>
      <c r="V14" s="1147"/>
      <c r="W14" s="1147"/>
      <c r="X14" s="1147"/>
      <c r="Y14" s="1147"/>
      <c r="Z14" s="1147"/>
      <c r="AA14" s="1147"/>
      <c r="AB14" s="1147"/>
      <c r="AC14" s="1147"/>
      <c r="AD14" s="1147"/>
      <c r="AE14" s="1147"/>
      <c r="AF14" s="1147"/>
      <c r="AG14" s="1147"/>
      <c r="AH14" s="1147"/>
      <c r="AI14" s="1147"/>
      <c r="AJ14" s="1147"/>
      <c r="AK14" s="1147"/>
      <c r="AL14" s="1147"/>
      <c r="AM14" s="1147"/>
      <c r="AN14" s="1147"/>
      <c r="AO14" s="1147"/>
    </row>
    <row r="15" spans="1:47" x14ac:dyDescent="0.25">
      <c r="A15" s="789" t="s">
        <v>652</v>
      </c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7" x14ac:dyDescent="0.25">
      <c r="A16" s="789" t="s">
        <v>672</v>
      </c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2" x14ac:dyDescent="0.25">
      <c r="A17" s="376"/>
      <c r="B17" t="s">
        <v>44</v>
      </c>
    </row>
    <row r="18" spans="1:2" ht="14.3" customHeight="1" x14ac:dyDescent="0.25">
      <c r="A18" s="377"/>
      <c r="B18" t="s">
        <v>42</v>
      </c>
    </row>
    <row r="19" spans="1:2" x14ac:dyDescent="0.25">
      <c r="A19" s="378"/>
      <c r="B19" t="s">
        <v>43</v>
      </c>
    </row>
    <row r="20" spans="1:2" ht="16.3" x14ac:dyDescent="0.3">
      <c r="A20" s="792" t="s">
        <v>28</v>
      </c>
    </row>
  </sheetData>
  <mergeCells count="17">
    <mergeCell ref="C8:E8"/>
    <mergeCell ref="AH1:AK1"/>
    <mergeCell ref="AL1:AO1"/>
    <mergeCell ref="AD1:AG1"/>
    <mergeCell ref="Z1:AC1"/>
    <mergeCell ref="P1:R1"/>
    <mergeCell ref="A1:C1"/>
    <mergeCell ref="E1:G1"/>
    <mergeCell ref="H1:I1"/>
    <mergeCell ref="J1:M1"/>
    <mergeCell ref="N1:O1"/>
    <mergeCell ref="C9:E9"/>
    <mergeCell ref="A13:AO13"/>
    <mergeCell ref="A12:AO12"/>
    <mergeCell ref="A14:AO14"/>
    <mergeCell ref="C10:E10"/>
    <mergeCell ref="A11:R11"/>
  </mergeCells>
  <pageMargins left="0.7" right="0.7" top="0.75" bottom="0.75" header="0.3" footer="0.3"/>
  <pageSetup paperSize="9" orientation="portrait" r:id="rId1"/>
  <ignoredErrors>
    <ignoredError sqref="T4" twoDigitTextYear="1"/>
    <ignoredError sqref="H9:I9 P9:Q9 S9:X9" formulaRange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U28"/>
  <sheetViews>
    <sheetView workbookViewId="0">
      <selection activeCell="V10" sqref="V10"/>
    </sheetView>
  </sheetViews>
  <sheetFormatPr defaultRowHeight="14.3" x14ac:dyDescent="0.25"/>
  <cols>
    <col min="1" max="1" width="7.375" customWidth="1"/>
    <col min="2" max="2" width="4.375" bestFit="1" customWidth="1"/>
    <col min="3" max="3" width="11.375" customWidth="1"/>
    <col min="4" max="4" width="5" customWidth="1"/>
    <col min="5" max="5" width="3.625" customWidth="1"/>
    <col min="6" max="6" width="4" bestFit="1" customWidth="1"/>
    <col min="7" max="18" width="3.625" customWidth="1"/>
    <col min="19" max="20" width="6.375" customWidth="1"/>
    <col min="21" max="21" width="20.625" bestFit="1" customWidth="1"/>
    <col min="22" max="22" width="19.5" bestFit="1" customWidth="1"/>
    <col min="23" max="23" width="15.375" bestFit="1" customWidth="1"/>
    <col min="24" max="24" width="20.25" bestFit="1" customWidth="1"/>
    <col min="25" max="25" width="23.125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333" t="s">
        <v>408</v>
      </c>
      <c r="B1" s="1334"/>
      <c r="C1" s="1334"/>
      <c r="D1" s="733"/>
      <c r="E1" s="1335" t="s">
        <v>24</v>
      </c>
      <c r="F1" s="1336"/>
      <c r="G1" s="1337"/>
      <c r="H1" s="1335" t="s">
        <v>23</v>
      </c>
      <c r="I1" s="1337"/>
      <c r="J1" s="1330" t="s">
        <v>6</v>
      </c>
      <c r="K1" s="1331"/>
      <c r="L1" s="1331"/>
      <c r="M1" s="1332"/>
      <c r="N1" s="1330" t="s">
        <v>7</v>
      </c>
      <c r="O1" s="1332"/>
      <c r="P1" s="1330" t="s">
        <v>25</v>
      </c>
      <c r="Q1" s="1331"/>
      <c r="R1" s="1332"/>
      <c r="S1" s="734" t="s">
        <v>8</v>
      </c>
      <c r="T1" s="734" t="s">
        <v>9</v>
      </c>
      <c r="U1" s="785" t="s">
        <v>10</v>
      </c>
      <c r="V1" s="797" t="s">
        <v>11</v>
      </c>
      <c r="W1" s="785" t="s">
        <v>211</v>
      </c>
      <c r="X1" s="798" t="s">
        <v>26</v>
      </c>
      <c r="Y1" s="799" t="s">
        <v>27</v>
      </c>
      <c r="Z1" s="1325" t="s">
        <v>20</v>
      </c>
      <c r="AA1" s="1326"/>
      <c r="AB1" s="1326"/>
      <c r="AC1" s="1327"/>
      <c r="AD1" s="1328" t="s">
        <v>61</v>
      </c>
      <c r="AE1" s="1329"/>
      <c r="AF1" s="1329"/>
      <c r="AG1" s="1329"/>
      <c r="AH1" s="1325" t="s">
        <v>62</v>
      </c>
      <c r="AI1" s="1326"/>
      <c r="AJ1" s="1326"/>
      <c r="AK1" s="1327"/>
      <c r="AL1" s="1325" t="s">
        <v>63</v>
      </c>
      <c r="AM1" s="1326"/>
      <c r="AN1" s="1326"/>
      <c r="AO1" s="1327"/>
      <c r="AQ1" s="746" t="s">
        <v>60</v>
      </c>
      <c r="AR1" s="218"/>
      <c r="AS1" s="218"/>
      <c r="AT1" s="746" t="s">
        <v>60</v>
      </c>
    </row>
    <row r="2" spans="1:47" ht="14.95" customHeight="1" thickBot="1" x14ac:dyDescent="0.3">
      <c r="A2" s="735" t="s">
        <v>19</v>
      </c>
      <c r="B2" s="736" t="s">
        <v>18</v>
      </c>
      <c r="C2" s="737" t="s">
        <v>17</v>
      </c>
      <c r="D2" s="738" t="s">
        <v>41</v>
      </c>
      <c r="E2" s="738" t="s">
        <v>16</v>
      </c>
      <c r="F2" s="738" t="s">
        <v>4</v>
      </c>
      <c r="G2" s="738" t="s">
        <v>5</v>
      </c>
      <c r="H2" s="739" t="s">
        <v>12</v>
      </c>
      <c r="I2" s="739" t="s">
        <v>3</v>
      </c>
      <c r="J2" s="739" t="s">
        <v>12</v>
      </c>
      <c r="K2" s="739" t="s">
        <v>13</v>
      </c>
      <c r="L2" s="739" t="s">
        <v>2</v>
      </c>
      <c r="M2" s="739" t="s">
        <v>14</v>
      </c>
      <c r="N2" s="739" t="s">
        <v>15</v>
      </c>
      <c r="O2" s="739" t="s">
        <v>16</v>
      </c>
      <c r="P2" s="739" t="s">
        <v>21</v>
      </c>
      <c r="Q2" s="739" t="s">
        <v>22</v>
      </c>
      <c r="R2" s="739" t="s">
        <v>12</v>
      </c>
      <c r="S2" s="740"/>
      <c r="T2" s="741"/>
      <c r="U2" s="742"/>
      <c r="V2" s="740"/>
      <c r="W2" s="740"/>
      <c r="X2" s="743"/>
      <c r="Y2" s="744"/>
      <c r="Z2" s="745" t="s">
        <v>0</v>
      </c>
      <c r="AA2" s="745" t="s">
        <v>1</v>
      </c>
      <c r="AB2" s="745" t="s">
        <v>2</v>
      </c>
      <c r="AC2" s="745" t="s">
        <v>3</v>
      </c>
      <c r="AD2" s="745" t="s">
        <v>0</v>
      </c>
      <c r="AE2" s="745" t="s">
        <v>1</v>
      </c>
      <c r="AF2" s="745" t="s">
        <v>2</v>
      </c>
      <c r="AG2" s="745" t="s">
        <v>3</v>
      </c>
      <c r="AH2" s="745" t="s">
        <v>0</v>
      </c>
      <c r="AI2" s="745" t="s">
        <v>1</v>
      </c>
      <c r="AJ2" s="745" t="s">
        <v>2</v>
      </c>
      <c r="AK2" s="745" t="s">
        <v>3</v>
      </c>
      <c r="AL2" s="745" t="s">
        <v>0</v>
      </c>
      <c r="AM2" s="745" t="s">
        <v>1</v>
      </c>
      <c r="AN2" s="745" t="s">
        <v>2</v>
      </c>
      <c r="AO2" s="745" t="s">
        <v>3</v>
      </c>
      <c r="AQ2" s="205" t="s">
        <v>81</v>
      </c>
      <c r="AR2" s="138"/>
      <c r="AT2" s="206" t="s">
        <v>99</v>
      </c>
      <c r="AU2" s="138"/>
    </row>
    <row r="3" spans="1:47" ht="14.95" customHeight="1" thickBot="1" x14ac:dyDescent="0.35">
      <c r="A3" s="304" t="s">
        <v>229</v>
      </c>
      <c r="B3" s="305" t="s">
        <v>45</v>
      </c>
      <c r="C3" s="308" t="s">
        <v>171</v>
      </c>
      <c r="D3" s="306" t="s">
        <v>431</v>
      </c>
      <c r="E3" s="306" t="s">
        <v>1</v>
      </c>
      <c r="F3" s="306">
        <v>36</v>
      </c>
      <c r="G3" s="306">
        <v>17</v>
      </c>
      <c r="H3" s="692" t="s">
        <v>80</v>
      </c>
      <c r="I3" s="692" t="s">
        <v>80</v>
      </c>
      <c r="J3" s="692">
        <v>6</v>
      </c>
      <c r="K3" s="692">
        <v>3</v>
      </c>
      <c r="L3" s="692">
        <v>0</v>
      </c>
      <c r="M3" s="692">
        <v>0</v>
      </c>
      <c r="N3" s="692">
        <v>0</v>
      </c>
      <c r="O3" s="692">
        <v>0</v>
      </c>
      <c r="P3" s="692" t="s">
        <v>80</v>
      </c>
      <c r="Q3" s="692" t="s">
        <v>80</v>
      </c>
      <c r="R3" s="692">
        <v>2</v>
      </c>
      <c r="S3" s="716" t="s">
        <v>157</v>
      </c>
      <c r="T3" s="310" t="s">
        <v>433</v>
      </c>
      <c r="U3" s="295" t="s">
        <v>254</v>
      </c>
      <c r="V3" s="295" t="s">
        <v>434</v>
      </c>
      <c r="W3" s="295" t="s">
        <v>157</v>
      </c>
      <c r="X3" s="295" t="s">
        <v>216</v>
      </c>
      <c r="Y3" s="295" t="s">
        <v>435</v>
      </c>
      <c r="Z3" s="716">
        <v>1</v>
      </c>
      <c r="AA3" s="716">
        <v>1</v>
      </c>
      <c r="AB3" s="716">
        <v>0</v>
      </c>
      <c r="AC3" s="716">
        <v>0</v>
      </c>
      <c r="AD3" s="716">
        <v>1</v>
      </c>
      <c r="AE3" s="716">
        <v>1</v>
      </c>
      <c r="AF3" s="716">
        <v>0</v>
      </c>
      <c r="AG3" s="716">
        <v>0</v>
      </c>
      <c r="AH3" s="716">
        <v>0</v>
      </c>
      <c r="AI3" s="716">
        <v>0</v>
      </c>
      <c r="AJ3" s="716">
        <v>0</v>
      </c>
      <c r="AK3" s="716">
        <v>0</v>
      </c>
      <c r="AL3" s="716">
        <v>0</v>
      </c>
      <c r="AM3" s="716">
        <v>0</v>
      </c>
      <c r="AN3" s="716">
        <v>0</v>
      </c>
      <c r="AO3" s="716">
        <v>0</v>
      </c>
      <c r="AQ3" s="214" t="s">
        <v>101</v>
      </c>
      <c r="AR3" s="215">
        <f>United_Statesalltestshistplayed</f>
        <v>285</v>
      </c>
      <c r="AT3" s="214" t="s">
        <v>101</v>
      </c>
      <c r="AU3" s="215">
        <f>United_StatesRWChistplayed</f>
        <v>29</v>
      </c>
    </row>
    <row r="4" spans="1:47" ht="14.95" customHeight="1" thickBot="1" x14ac:dyDescent="0.3">
      <c r="A4" s="304" t="s">
        <v>232</v>
      </c>
      <c r="B4" s="305" t="s">
        <v>45</v>
      </c>
      <c r="C4" s="308" t="s">
        <v>95</v>
      </c>
      <c r="D4" s="306" t="s">
        <v>431</v>
      </c>
      <c r="E4" s="229" t="s">
        <v>3</v>
      </c>
      <c r="F4" s="306">
        <v>20</v>
      </c>
      <c r="G4" s="306">
        <v>31</v>
      </c>
      <c r="H4" s="692" t="s">
        <v>80</v>
      </c>
      <c r="I4" s="692" t="s">
        <v>80</v>
      </c>
      <c r="J4" s="692">
        <v>2</v>
      </c>
      <c r="K4" s="692">
        <v>2</v>
      </c>
      <c r="L4" s="692">
        <v>0</v>
      </c>
      <c r="M4" s="692">
        <v>2</v>
      </c>
      <c r="N4" s="692">
        <v>0</v>
      </c>
      <c r="O4" s="692">
        <v>0</v>
      </c>
      <c r="P4" s="692" t="s">
        <v>80</v>
      </c>
      <c r="Q4" s="692" t="s">
        <v>80</v>
      </c>
      <c r="R4" s="692">
        <v>4</v>
      </c>
      <c r="S4" s="295">
        <v>6128</v>
      </c>
      <c r="T4" s="297" t="s">
        <v>463</v>
      </c>
      <c r="U4" s="295" t="s">
        <v>216</v>
      </c>
      <c r="V4" s="295" t="s">
        <v>434</v>
      </c>
      <c r="W4" s="295" t="s">
        <v>157</v>
      </c>
      <c r="X4" s="295" t="s">
        <v>254</v>
      </c>
      <c r="Y4" s="295" t="s">
        <v>464</v>
      </c>
      <c r="Z4" s="716">
        <v>1</v>
      </c>
      <c r="AA4" s="716">
        <v>0</v>
      </c>
      <c r="AB4" s="716">
        <v>0</v>
      </c>
      <c r="AC4" s="716">
        <v>1</v>
      </c>
      <c r="AD4" s="716">
        <v>1</v>
      </c>
      <c r="AE4" s="716">
        <v>0</v>
      </c>
      <c r="AF4" s="716">
        <v>0</v>
      </c>
      <c r="AG4" s="716">
        <v>1</v>
      </c>
      <c r="AH4" s="716">
        <v>0</v>
      </c>
      <c r="AI4" s="716">
        <v>0</v>
      </c>
      <c r="AJ4" s="716">
        <v>0</v>
      </c>
      <c r="AK4" s="716">
        <v>0</v>
      </c>
      <c r="AL4" s="716">
        <v>0</v>
      </c>
      <c r="AM4" s="716">
        <v>0</v>
      </c>
      <c r="AN4" s="716">
        <v>0</v>
      </c>
      <c r="AO4" s="716">
        <v>0</v>
      </c>
      <c r="AQ4" s="216" t="s">
        <v>102</v>
      </c>
      <c r="AR4" s="217">
        <f>United_Statesalltestshistwon</f>
        <v>106</v>
      </c>
      <c r="AT4" s="216" t="s">
        <v>102</v>
      </c>
      <c r="AU4" s="217">
        <f>United_StatesRWChistwon</f>
        <v>3</v>
      </c>
    </row>
    <row r="5" spans="1:47" ht="14.95" customHeight="1" thickBot="1" x14ac:dyDescent="0.3">
      <c r="A5" s="304" t="s">
        <v>239</v>
      </c>
      <c r="B5" s="305" t="s">
        <v>45</v>
      </c>
      <c r="C5" s="308" t="s">
        <v>30</v>
      </c>
      <c r="D5" s="306" t="s">
        <v>513</v>
      </c>
      <c r="E5" s="229" t="s">
        <v>3</v>
      </c>
      <c r="F5" s="229">
        <v>5</v>
      </c>
      <c r="G5" s="229">
        <v>40</v>
      </c>
      <c r="H5" s="692" t="s">
        <v>80</v>
      </c>
      <c r="I5" s="692" t="s">
        <v>80</v>
      </c>
      <c r="J5" s="692">
        <v>1</v>
      </c>
      <c r="K5" s="692">
        <v>0</v>
      </c>
      <c r="L5" s="692">
        <v>0</v>
      </c>
      <c r="M5" s="692">
        <v>0</v>
      </c>
      <c r="N5" s="692">
        <v>1</v>
      </c>
      <c r="O5" s="692">
        <v>0</v>
      </c>
      <c r="P5" s="692" t="s">
        <v>80</v>
      </c>
      <c r="Q5" s="692" t="s">
        <v>80</v>
      </c>
      <c r="R5" s="692">
        <v>6</v>
      </c>
      <c r="S5" s="295">
        <v>19079</v>
      </c>
      <c r="T5" s="297" t="s">
        <v>514</v>
      </c>
      <c r="U5" s="295" t="s">
        <v>254</v>
      </c>
      <c r="V5" s="295" t="s">
        <v>251</v>
      </c>
      <c r="W5" s="295" t="s">
        <v>157</v>
      </c>
      <c r="X5" s="295" t="s">
        <v>216</v>
      </c>
      <c r="Y5" s="295" t="s">
        <v>464</v>
      </c>
      <c r="Z5" s="717">
        <v>1</v>
      </c>
      <c r="AA5" s="717">
        <v>0</v>
      </c>
      <c r="AB5" s="717">
        <v>0</v>
      </c>
      <c r="AC5" s="717">
        <v>1</v>
      </c>
      <c r="AD5" s="717">
        <v>1</v>
      </c>
      <c r="AE5" s="717">
        <v>0</v>
      </c>
      <c r="AF5" s="717">
        <v>0</v>
      </c>
      <c r="AG5" s="717">
        <v>1</v>
      </c>
      <c r="AH5" s="717">
        <v>0</v>
      </c>
      <c r="AI5" s="717">
        <v>0</v>
      </c>
      <c r="AJ5" s="717">
        <v>0</v>
      </c>
      <c r="AK5" s="717">
        <v>0</v>
      </c>
      <c r="AL5" s="717">
        <v>0</v>
      </c>
      <c r="AM5" s="717">
        <v>0</v>
      </c>
      <c r="AN5" s="717">
        <v>0</v>
      </c>
      <c r="AO5" s="717">
        <v>0</v>
      </c>
      <c r="AQ5" s="216" t="s">
        <v>107</v>
      </c>
      <c r="AR5" s="217">
        <f>United_Statesalltestshistdrawn</f>
        <v>5</v>
      </c>
      <c r="AT5" s="216" t="s">
        <v>107</v>
      </c>
      <c r="AU5" s="217">
        <f>United_StatesRWChistdrawn</f>
        <v>0</v>
      </c>
    </row>
    <row r="6" spans="1:47" ht="14.95" customHeight="1" thickBot="1" x14ac:dyDescent="0.3">
      <c r="A6" s="284" t="s">
        <v>243</v>
      </c>
      <c r="B6" s="283" t="s">
        <v>257</v>
      </c>
      <c r="C6" s="536" t="s">
        <v>40</v>
      </c>
      <c r="D6" s="285" t="s">
        <v>569</v>
      </c>
      <c r="E6" s="230" t="s">
        <v>3</v>
      </c>
      <c r="F6" s="230">
        <v>20</v>
      </c>
      <c r="G6" s="230">
        <v>34</v>
      </c>
      <c r="H6" s="691">
        <v>0</v>
      </c>
      <c r="I6" s="691">
        <v>0</v>
      </c>
      <c r="J6" s="691">
        <v>2</v>
      </c>
      <c r="K6" s="691">
        <v>2</v>
      </c>
      <c r="L6" s="691">
        <v>0</v>
      </c>
      <c r="M6" s="691">
        <v>2</v>
      </c>
      <c r="N6" s="691">
        <v>1</v>
      </c>
      <c r="O6" s="691">
        <v>0</v>
      </c>
      <c r="P6" s="691">
        <v>1</v>
      </c>
      <c r="Q6" s="691">
        <v>0</v>
      </c>
      <c r="R6" s="691">
        <v>5</v>
      </c>
      <c r="S6" s="273">
        <v>11587</v>
      </c>
      <c r="T6" s="624" t="s">
        <v>570</v>
      </c>
      <c r="U6" s="273" t="s">
        <v>163</v>
      </c>
      <c r="V6" s="273" t="s">
        <v>181</v>
      </c>
      <c r="W6" s="273" t="s">
        <v>157</v>
      </c>
      <c r="X6" s="273" t="s">
        <v>421</v>
      </c>
      <c r="Y6" s="579" t="s">
        <v>456</v>
      </c>
      <c r="Z6" s="719">
        <v>1</v>
      </c>
      <c r="AA6" s="719">
        <v>0</v>
      </c>
      <c r="AB6" s="719">
        <v>0</v>
      </c>
      <c r="AC6" s="719">
        <v>1</v>
      </c>
      <c r="AD6" s="719">
        <v>0</v>
      </c>
      <c r="AE6" s="719">
        <v>0</v>
      </c>
      <c r="AF6" s="719">
        <v>0</v>
      </c>
      <c r="AG6" s="719">
        <v>0</v>
      </c>
      <c r="AH6" s="719">
        <v>1</v>
      </c>
      <c r="AI6" s="719">
        <v>0</v>
      </c>
      <c r="AJ6" s="719">
        <v>0</v>
      </c>
      <c r="AK6" s="719">
        <v>1</v>
      </c>
      <c r="AL6" s="719">
        <v>0</v>
      </c>
      <c r="AM6" s="719">
        <v>0</v>
      </c>
      <c r="AN6" s="719">
        <v>0</v>
      </c>
      <c r="AO6" s="719">
        <v>0</v>
      </c>
      <c r="AQ6" s="216" t="s">
        <v>103</v>
      </c>
      <c r="AR6" s="217">
        <f>United_Statesalltestshistlost</f>
        <v>174</v>
      </c>
      <c r="AT6" s="216" t="s">
        <v>103</v>
      </c>
      <c r="AU6" s="217">
        <f>United_StatesRWChistlost</f>
        <v>26</v>
      </c>
    </row>
    <row r="7" spans="1:47" ht="14.95" customHeight="1" thickBot="1" x14ac:dyDescent="0.3">
      <c r="A7" s="304" t="s">
        <v>253</v>
      </c>
      <c r="B7" s="305" t="s">
        <v>257</v>
      </c>
      <c r="C7" s="308" t="s">
        <v>36</v>
      </c>
      <c r="D7" s="306" t="s">
        <v>626</v>
      </c>
      <c r="E7" s="229" t="s">
        <v>3</v>
      </c>
      <c r="F7" s="229">
        <v>21</v>
      </c>
      <c r="G7" s="229">
        <v>47</v>
      </c>
      <c r="H7" s="692">
        <v>0</v>
      </c>
      <c r="I7" s="692">
        <v>0</v>
      </c>
      <c r="J7" s="692">
        <v>3</v>
      </c>
      <c r="K7" s="692">
        <v>3</v>
      </c>
      <c r="L7" s="692">
        <v>0</v>
      </c>
      <c r="M7" s="692">
        <v>0</v>
      </c>
      <c r="N7" s="692">
        <v>1</v>
      </c>
      <c r="O7" s="692">
        <v>0</v>
      </c>
      <c r="P7" s="692">
        <v>1</v>
      </c>
      <c r="Q7" s="692">
        <v>0</v>
      </c>
      <c r="R7" s="692">
        <v>7</v>
      </c>
      <c r="S7" s="295">
        <v>6079</v>
      </c>
      <c r="T7" s="297" t="s">
        <v>628</v>
      </c>
      <c r="U7" s="295" t="s">
        <v>186</v>
      </c>
      <c r="V7" s="295" t="s">
        <v>256</v>
      </c>
      <c r="W7" s="295" t="s">
        <v>157</v>
      </c>
      <c r="X7" s="295" t="s">
        <v>241</v>
      </c>
      <c r="Y7" s="295" t="s">
        <v>464</v>
      </c>
      <c r="Z7" s="717">
        <v>1</v>
      </c>
      <c r="AA7" s="717">
        <v>0</v>
      </c>
      <c r="AB7" s="717">
        <v>0</v>
      </c>
      <c r="AC7" s="717">
        <v>1</v>
      </c>
      <c r="AD7" s="717">
        <v>1</v>
      </c>
      <c r="AE7" s="717">
        <v>0</v>
      </c>
      <c r="AF7" s="717">
        <v>0</v>
      </c>
      <c r="AG7" s="717">
        <v>1</v>
      </c>
      <c r="AH7" s="717">
        <v>0</v>
      </c>
      <c r="AI7" s="717">
        <v>0</v>
      </c>
      <c r="AJ7" s="717">
        <v>0</v>
      </c>
      <c r="AK7" s="717">
        <v>0</v>
      </c>
      <c r="AL7" s="717">
        <v>0</v>
      </c>
      <c r="AM7" s="717">
        <v>0</v>
      </c>
      <c r="AN7" s="717">
        <v>0</v>
      </c>
      <c r="AO7" s="717">
        <v>0</v>
      </c>
      <c r="AQ7" s="216" t="s">
        <v>108</v>
      </c>
      <c r="AR7" s="217">
        <f>United_Statesalltestshistptsscored</f>
        <v>6111</v>
      </c>
      <c r="AT7" s="216" t="s">
        <v>108</v>
      </c>
      <c r="AU7" s="217">
        <f>United_StatesRWChistptsscored</f>
        <v>402</v>
      </c>
    </row>
    <row r="8" spans="1:47" ht="14.95" customHeight="1" thickBot="1" x14ac:dyDescent="0.35">
      <c r="A8" s="304" t="s">
        <v>179</v>
      </c>
      <c r="B8" s="305" t="s">
        <v>641</v>
      </c>
      <c r="C8" s="308" t="s">
        <v>92</v>
      </c>
      <c r="D8" s="306" t="s">
        <v>642</v>
      </c>
      <c r="E8" s="229" t="s">
        <v>1</v>
      </c>
      <c r="F8" s="229">
        <v>29</v>
      </c>
      <c r="G8" s="229">
        <v>13</v>
      </c>
      <c r="H8" s="692" t="s">
        <v>80</v>
      </c>
      <c r="I8" s="692" t="s">
        <v>80</v>
      </c>
      <c r="J8" s="692">
        <v>4</v>
      </c>
      <c r="K8" s="692">
        <v>3</v>
      </c>
      <c r="L8" s="692">
        <v>0</v>
      </c>
      <c r="M8" s="692">
        <v>1</v>
      </c>
      <c r="N8" s="692">
        <v>1</v>
      </c>
      <c r="O8" s="692">
        <v>0</v>
      </c>
      <c r="P8" s="692" t="s">
        <v>80</v>
      </c>
      <c r="Q8" s="692" t="s">
        <v>80</v>
      </c>
      <c r="R8" s="692">
        <v>1</v>
      </c>
      <c r="S8" s="292">
        <v>6452</v>
      </c>
      <c r="T8" s="302" t="s">
        <v>385</v>
      </c>
      <c r="U8" s="294" t="s">
        <v>241</v>
      </c>
      <c r="V8" s="292" t="s">
        <v>215</v>
      </c>
      <c r="W8" s="292" t="s">
        <v>256</v>
      </c>
      <c r="X8" s="292" t="s">
        <v>177</v>
      </c>
      <c r="Y8" s="296" t="s">
        <v>186</v>
      </c>
      <c r="Z8" s="717">
        <v>1</v>
      </c>
      <c r="AA8" s="717">
        <v>1</v>
      </c>
      <c r="AB8" s="717">
        <v>0</v>
      </c>
      <c r="AC8" s="717">
        <v>0</v>
      </c>
      <c r="AD8" s="717">
        <v>1</v>
      </c>
      <c r="AE8" s="717">
        <v>1</v>
      </c>
      <c r="AF8" s="717">
        <v>0</v>
      </c>
      <c r="AG8" s="717">
        <v>0</v>
      </c>
      <c r="AH8" s="717">
        <v>0</v>
      </c>
      <c r="AI8" s="717">
        <v>0</v>
      </c>
      <c r="AJ8" s="717">
        <v>0</v>
      </c>
      <c r="AK8" s="717">
        <v>0</v>
      </c>
      <c r="AL8" s="717">
        <v>0</v>
      </c>
      <c r="AM8" s="717">
        <v>0</v>
      </c>
      <c r="AN8" s="717">
        <v>0</v>
      </c>
      <c r="AO8" s="717">
        <v>0</v>
      </c>
      <c r="AQ8" s="216" t="s">
        <v>109</v>
      </c>
      <c r="AR8" s="217">
        <f>United_Statesalltestshistptscon</f>
        <v>7754</v>
      </c>
      <c r="AT8" s="216" t="s">
        <v>109</v>
      </c>
      <c r="AU8" s="217">
        <f>United_StatesRWChistptscon</f>
        <v>1048</v>
      </c>
    </row>
    <row r="9" spans="1:47" ht="14.95" customHeight="1" thickBot="1" x14ac:dyDescent="0.3">
      <c r="A9" s="284" t="s">
        <v>330</v>
      </c>
      <c r="B9" s="283" t="s">
        <v>605</v>
      </c>
      <c r="C9" s="536" t="s">
        <v>35</v>
      </c>
      <c r="D9" s="285" t="s">
        <v>89</v>
      </c>
      <c r="E9" s="230" t="s">
        <v>3</v>
      </c>
      <c r="F9" s="230">
        <v>0</v>
      </c>
      <c r="G9" s="230">
        <v>85</v>
      </c>
      <c r="H9" s="691" t="s">
        <v>80</v>
      </c>
      <c r="I9" s="691" t="s">
        <v>80</v>
      </c>
      <c r="J9" s="691">
        <v>0</v>
      </c>
      <c r="K9" s="691">
        <v>0</v>
      </c>
      <c r="L9" s="691">
        <v>0</v>
      </c>
      <c r="M9" s="691">
        <v>0</v>
      </c>
      <c r="N9" s="691">
        <v>0</v>
      </c>
      <c r="O9" s="691">
        <v>0</v>
      </c>
      <c r="P9" s="691" t="s">
        <v>80</v>
      </c>
      <c r="Q9" s="691" t="s">
        <v>80</v>
      </c>
      <c r="R9" s="691">
        <v>13</v>
      </c>
      <c r="S9" s="273">
        <v>56589</v>
      </c>
      <c r="T9" s="286" t="s">
        <v>764</v>
      </c>
      <c r="U9" s="273" t="s">
        <v>241</v>
      </c>
      <c r="V9" s="273" t="s">
        <v>763</v>
      </c>
      <c r="W9" s="273" t="s">
        <v>430</v>
      </c>
      <c r="X9" s="273" t="s">
        <v>214</v>
      </c>
      <c r="Y9" s="273" t="s">
        <v>590</v>
      </c>
      <c r="Z9" s="719">
        <v>1</v>
      </c>
      <c r="AA9" s="719">
        <v>0</v>
      </c>
      <c r="AB9" s="719">
        <v>0</v>
      </c>
      <c r="AC9" s="719">
        <v>1</v>
      </c>
      <c r="AD9" s="719">
        <v>0</v>
      </c>
      <c r="AE9" s="719">
        <v>0</v>
      </c>
      <c r="AF9" s="719">
        <v>0</v>
      </c>
      <c r="AG9" s="719">
        <v>0</v>
      </c>
      <c r="AH9" s="719">
        <v>1</v>
      </c>
      <c r="AI9" s="719">
        <v>0</v>
      </c>
      <c r="AJ9" s="719">
        <v>0</v>
      </c>
      <c r="AK9" s="719">
        <v>1</v>
      </c>
      <c r="AL9" s="719">
        <v>0</v>
      </c>
      <c r="AM9" s="719">
        <v>0</v>
      </c>
      <c r="AN9" s="719">
        <v>0</v>
      </c>
      <c r="AO9" s="719">
        <v>0</v>
      </c>
      <c r="AQ9" s="216" t="s">
        <v>100</v>
      </c>
      <c r="AR9" s="217">
        <f>United_Statesalltestshisttriesscored</f>
        <v>729</v>
      </c>
      <c r="AT9" s="216" t="s">
        <v>100</v>
      </c>
      <c r="AU9" s="217">
        <f>United_StatesRWChisttriesscored</f>
        <v>44</v>
      </c>
    </row>
    <row r="10" spans="1:47" ht="14.95" customHeight="1" thickBot="1" x14ac:dyDescent="0.3">
      <c r="A10" s="284" t="s">
        <v>263</v>
      </c>
      <c r="B10" s="283" t="s">
        <v>45</v>
      </c>
      <c r="C10" s="536" t="s">
        <v>38</v>
      </c>
      <c r="D10" s="285" t="s">
        <v>719</v>
      </c>
      <c r="E10" s="230" t="s">
        <v>3</v>
      </c>
      <c r="F10" s="230">
        <v>30</v>
      </c>
      <c r="G10" s="230">
        <v>43</v>
      </c>
      <c r="H10" s="691" t="s">
        <v>80</v>
      </c>
      <c r="I10" s="691" t="s">
        <v>80</v>
      </c>
      <c r="J10" s="691">
        <v>3</v>
      </c>
      <c r="K10" s="691">
        <v>3</v>
      </c>
      <c r="L10" s="691">
        <v>1</v>
      </c>
      <c r="M10" s="691">
        <v>2</v>
      </c>
      <c r="N10" s="691">
        <v>1</v>
      </c>
      <c r="O10" s="691">
        <v>0</v>
      </c>
      <c r="P10" s="691" t="s">
        <v>80</v>
      </c>
      <c r="Q10" s="691" t="s">
        <v>80</v>
      </c>
      <c r="R10" s="691">
        <v>6</v>
      </c>
      <c r="S10" s="273">
        <v>15480</v>
      </c>
      <c r="T10" s="286" t="s">
        <v>776</v>
      </c>
      <c r="U10" s="273" t="s">
        <v>163</v>
      </c>
      <c r="V10" s="273" t="s">
        <v>774</v>
      </c>
      <c r="W10" s="273" t="s">
        <v>157</v>
      </c>
      <c r="X10" s="273" t="s">
        <v>421</v>
      </c>
      <c r="Y10" s="273" t="s">
        <v>775</v>
      </c>
      <c r="Z10" s="719">
        <v>1</v>
      </c>
      <c r="AA10" s="719">
        <v>0</v>
      </c>
      <c r="AB10" s="719">
        <v>0</v>
      </c>
      <c r="AC10" s="719">
        <v>1</v>
      </c>
      <c r="AD10" s="719">
        <v>0</v>
      </c>
      <c r="AE10" s="719">
        <v>0</v>
      </c>
      <c r="AF10" s="719">
        <v>0</v>
      </c>
      <c r="AG10" s="719">
        <v>0</v>
      </c>
      <c r="AH10" s="719">
        <v>1</v>
      </c>
      <c r="AI10" s="719">
        <v>0</v>
      </c>
      <c r="AJ10" s="719">
        <v>0</v>
      </c>
      <c r="AK10" s="719">
        <v>1</v>
      </c>
      <c r="AL10" s="719">
        <v>0</v>
      </c>
      <c r="AM10" s="719">
        <v>0</v>
      </c>
      <c r="AN10" s="719">
        <v>0</v>
      </c>
      <c r="AO10" s="719">
        <v>0</v>
      </c>
      <c r="AP10" s="585"/>
      <c r="AQ10" s="137"/>
    </row>
    <row r="11" spans="1:47" ht="14.95" customHeight="1" thickBot="1" x14ac:dyDescent="0.35">
      <c r="A11" s="284" t="s">
        <v>264</v>
      </c>
      <c r="B11" s="283" t="s">
        <v>799</v>
      </c>
      <c r="C11" s="283" t="s">
        <v>94</v>
      </c>
      <c r="D11" s="285" t="s">
        <v>174</v>
      </c>
      <c r="E11" s="230" t="s">
        <v>1</v>
      </c>
      <c r="F11" s="271">
        <v>26</v>
      </c>
      <c r="G11" s="271">
        <v>18</v>
      </c>
      <c r="H11" s="691" t="s">
        <v>80</v>
      </c>
      <c r="I11" s="691" t="s">
        <v>80</v>
      </c>
      <c r="J11" s="691">
        <v>2</v>
      </c>
      <c r="K11" s="691">
        <v>2</v>
      </c>
      <c r="L11" s="691">
        <v>0</v>
      </c>
      <c r="M11" s="691">
        <v>4</v>
      </c>
      <c r="N11" s="691">
        <v>2</v>
      </c>
      <c r="O11" s="691">
        <v>0</v>
      </c>
      <c r="P11" s="691" t="s">
        <v>80</v>
      </c>
      <c r="Q11" s="691" t="s">
        <v>80</v>
      </c>
      <c r="R11" s="691">
        <v>1</v>
      </c>
      <c r="S11" s="273">
        <v>4500</v>
      </c>
      <c r="T11" s="316" t="s">
        <v>796</v>
      </c>
      <c r="U11" s="273" t="s">
        <v>254</v>
      </c>
      <c r="V11" s="273" t="s">
        <v>168</v>
      </c>
      <c r="W11" s="273" t="s">
        <v>157</v>
      </c>
      <c r="X11" s="273" t="s">
        <v>278</v>
      </c>
      <c r="Y11" s="273" t="s">
        <v>273</v>
      </c>
      <c r="Z11" s="719">
        <v>1</v>
      </c>
      <c r="AA11" s="719">
        <v>1</v>
      </c>
      <c r="AB11" s="719">
        <v>0</v>
      </c>
      <c r="AC11" s="719">
        <v>0</v>
      </c>
      <c r="AD11" s="719">
        <v>0</v>
      </c>
      <c r="AE11" s="719">
        <v>0</v>
      </c>
      <c r="AF11" s="719">
        <v>0</v>
      </c>
      <c r="AG11" s="719">
        <v>0</v>
      </c>
      <c r="AH11" s="719">
        <v>1</v>
      </c>
      <c r="AI11" s="719">
        <v>1</v>
      </c>
      <c r="AJ11" s="719">
        <v>0</v>
      </c>
      <c r="AK11" s="719">
        <v>0</v>
      </c>
      <c r="AL11" s="719">
        <v>0</v>
      </c>
      <c r="AM11" s="719">
        <v>0</v>
      </c>
      <c r="AN11" s="719">
        <v>0</v>
      </c>
      <c r="AO11" s="719">
        <v>0</v>
      </c>
      <c r="AP11" s="585"/>
    </row>
    <row r="12" spans="1:47" ht="14.95" thickBot="1" x14ac:dyDescent="0.3">
      <c r="A12" s="179"/>
      <c r="B12" s="180"/>
      <c r="C12" s="1230" t="s">
        <v>238</v>
      </c>
      <c r="D12" s="1231"/>
      <c r="E12" s="1232"/>
      <c r="F12" s="366">
        <f>SUM(F3:F5)</f>
        <v>61</v>
      </c>
      <c r="G12" s="366">
        <f>SUM(G3:G5)</f>
        <v>88</v>
      </c>
      <c r="H12" s="366" t="s">
        <v>80</v>
      </c>
      <c r="I12" s="366" t="s">
        <v>80</v>
      </c>
      <c r="J12" s="366">
        <f t="shared" ref="J12:O12" si="0">SUM(J3:J5)</f>
        <v>9</v>
      </c>
      <c r="K12" s="366">
        <f t="shared" si="0"/>
        <v>5</v>
      </c>
      <c r="L12" s="366">
        <f t="shared" si="0"/>
        <v>0</v>
      </c>
      <c r="M12" s="366">
        <f t="shared" si="0"/>
        <v>2</v>
      </c>
      <c r="N12" s="366">
        <f t="shared" si="0"/>
        <v>1</v>
      </c>
      <c r="O12" s="366">
        <f t="shared" si="0"/>
        <v>0</v>
      </c>
      <c r="P12" s="366" t="s">
        <v>80</v>
      </c>
      <c r="Q12" s="366" t="s">
        <v>80</v>
      </c>
      <c r="R12" s="366">
        <f>SUM(R3:R5)</f>
        <v>12</v>
      </c>
      <c r="S12" s="438"/>
      <c r="T12" s="440"/>
      <c r="U12" s="441"/>
      <c r="V12" s="441"/>
      <c r="W12" s="441"/>
      <c r="X12" s="441"/>
      <c r="Y12" s="367" t="s">
        <v>238</v>
      </c>
      <c r="Z12" s="370">
        <f t="shared" ref="Z12:AO12" si="1">SUM(Z3:Z5)</f>
        <v>3</v>
      </c>
      <c r="AA12" s="370">
        <f t="shared" si="1"/>
        <v>1</v>
      </c>
      <c r="AB12" s="370">
        <f t="shared" si="1"/>
        <v>0</v>
      </c>
      <c r="AC12" s="370">
        <f t="shared" si="1"/>
        <v>2</v>
      </c>
      <c r="AD12" s="525">
        <f t="shared" si="1"/>
        <v>3</v>
      </c>
      <c r="AE12" s="525">
        <f t="shared" si="1"/>
        <v>1</v>
      </c>
      <c r="AF12" s="525">
        <f t="shared" si="1"/>
        <v>0</v>
      </c>
      <c r="AG12" s="525">
        <f t="shared" si="1"/>
        <v>2</v>
      </c>
      <c r="AH12" s="526">
        <f t="shared" si="1"/>
        <v>0</v>
      </c>
      <c r="AI12" s="526">
        <f t="shared" si="1"/>
        <v>0</v>
      </c>
      <c r="AJ12" s="526">
        <f t="shared" si="1"/>
        <v>0</v>
      </c>
      <c r="AK12" s="526">
        <f t="shared" si="1"/>
        <v>0</v>
      </c>
      <c r="AL12" s="370">
        <f t="shared" si="1"/>
        <v>0</v>
      </c>
      <c r="AM12" s="370">
        <f t="shared" si="1"/>
        <v>0</v>
      </c>
      <c r="AN12" s="370">
        <f t="shared" si="1"/>
        <v>0</v>
      </c>
      <c r="AO12" s="370">
        <f t="shared" si="1"/>
        <v>0</v>
      </c>
      <c r="AP12" s="584"/>
    </row>
    <row r="13" spans="1:47" ht="17" thickBot="1" x14ac:dyDescent="0.35">
      <c r="A13" s="179"/>
      <c r="B13" s="180"/>
      <c r="C13" s="1128" t="s">
        <v>244</v>
      </c>
      <c r="D13" s="1129"/>
      <c r="E13" s="1130"/>
      <c r="F13" s="558">
        <f>SUM(F6:F8)</f>
        <v>70</v>
      </c>
      <c r="G13" s="558">
        <f t="shared" ref="G13:R13" si="2">SUM(G6:G8)</f>
        <v>94</v>
      </c>
      <c r="H13" s="558">
        <f t="shared" si="2"/>
        <v>0</v>
      </c>
      <c r="I13" s="558">
        <f t="shared" si="2"/>
        <v>0</v>
      </c>
      <c r="J13" s="558">
        <f t="shared" si="2"/>
        <v>9</v>
      </c>
      <c r="K13" s="558">
        <f t="shared" si="2"/>
        <v>8</v>
      </c>
      <c r="L13" s="558">
        <f t="shared" si="2"/>
        <v>0</v>
      </c>
      <c r="M13" s="558">
        <f t="shared" si="2"/>
        <v>3</v>
      </c>
      <c r="N13" s="558">
        <f t="shared" si="2"/>
        <v>3</v>
      </c>
      <c r="O13" s="558">
        <f t="shared" si="2"/>
        <v>0</v>
      </c>
      <c r="P13" s="558">
        <f t="shared" si="2"/>
        <v>2</v>
      </c>
      <c r="Q13" s="558">
        <f t="shared" si="2"/>
        <v>0</v>
      </c>
      <c r="R13" s="558">
        <f t="shared" si="2"/>
        <v>13</v>
      </c>
      <c r="S13" s="404"/>
      <c r="T13" s="580"/>
      <c r="U13" s="404"/>
      <c r="V13" s="404"/>
      <c r="W13" s="404"/>
      <c r="X13" s="404"/>
      <c r="Y13" s="581" t="s">
        <v>244</v>
      </c>
      <c r="Z13" s="561">
        <f t="shared" ref="Z13:AO13" si="3">SUM(Z6:Z8)</f>
        <v>3</v>
      </c>
      <c r="AA13" s="561">
        <f t="shared" si="3"/>
        <v>1</v>
      </c>
      <c r="AB13" s="561">
        <f t="shared" si="3"/>
        <v>0</v>
      </c>
      <c r="AC13" s="561">
        <f t="shared" si="3"/>
        <v>2</v>
      </c>
      <c r="AD13" s="562">
        <f t="shared" si="3"/>
        <v>2</v>
      </c>
      <c r="AE13" s="562">
        <f t="shared" si="3"/>
        <v>1</v>
      </c>
      <c r="AF13" s="562">
        <f t="shared" si="3"/>
        <v>0</v>
      </c>
      <c r="AG13" s="562">
        <f t="shared" si="3"/>
        <v>1</v>
      </c>
      <c r="AH13" s="563">
        <f t="shared" si="3"/>
        <v>1</v>
      </c>
      <c r="AI13" s="563">
        <f t="shared" si="3"/>
        <v>0</v>
      </c>
      <c r="AJ13" s="563">
        <f t="shared" si="3"/>
        <v>0</v>
      </c>
      <c r="AK13" s="563">
        <f t="shared" si="3"/>
        <v>1</v>
      </c>
      <c r="AL13" s="561">
        <f t="shared" si="3"/>
        <v>0</v>
      </c>
      <c r="AM13" s="561">
        <f t="shared" si="3"/>
        <v>0</v>
      </c>
      <c r="AN13" s="561">
        <f t="shared" si="3"/>
        <v>0</v>
      </c>
      <c r="AO13" s="561">
        <f t="shared" si="3"/>
        <v>0</v>
      </c>
    </row>
    <row r="14" spans="1:47" ht="14.95" customHeight="1" thickBot="1" x14ac:dyDescent="0.35">
      <c r="A14" s="179"/>
      <c r="B14" s="180"/>
      <c r="C14" s="1084" t="s">
        <v>231</v>
      </c>
      <c r="D14" s="1085"/>
      <c r="E14" s="1086"/>
      <c r="F14" s="539">
        <f>SUM(F9)</f>
        <v>0</v>
      </c>
      <c r="G14" s="539">
        <f t="shared" ref="G14:R14" si="4">SUM(G9)</f>
        <v>85</v>
      </c>
      <c r="H14" s="539" t="s">
        <v>80</v>
      </c>
      <c r="I14" s="539" t="s">
        <v>80</v>
      </c>
      <c r="J14" s="539">
        <f t="shared" si="4"/>
        <v>0</v>
      </c>
      <c r="K14" s="539">
        <f t="shared" si="4"/>
        <v>0</v>
      </c>
      <c r="L14" s="539">
        <f t="shared" si="4"/>
        <v>0</v>
      </c>
      <c r="M14" s="539">
        <f t="shared" si="4"/>
        <v>0</v>
      </c>
      <c r="N14" s="539">
        <f t="shared" si="4"/>
        <v>0</v>
      </c>
      <c r="O14" s="539">
        <f t="shared" si="4"/>
        <v>0</v>
      </c>
      <c r="P14" s="539" t="s">
        <v>80</v>
      </c>
      <c r="Q14" s="539" t="s">
        <v>80</v>
      </c>
      <c r="R14" s="539">
        <f t="shared" si="4"/>
        <v>13</v>
      </c>
      <c r="S14" s="823"/>
      <c r="T14" s="824"/>
      <c r="U14" s="823"/>
      <c r="V14" s="823"/>
      <c r="W14" s="823"/>
      <c r="X14" s="823"/>
      <c r="Y14" s="825" t="s">
        <v>231</v>
      </c>
      <c r="Z14" s="826">
        <f t="shared" ref="Z14:AO14" si="5">SUM(Z9)</f>
        <v>1</v>
      </c>
      <c r="AA14" s="826">
        <f t="shared" si="5"/>
        <v>0</v>
      </c>
      <c r="AB14" s="826">
        <f t="shared" si="5"/>
        <v>0</v>
      </c>
      <c r="AC14" s="826">
        <f t="shared" si="5"/>
        <v>1</v>
      </c>
      <c r="AD14" s="827">
        <f t="shared" si="5"/>
        <v>0</v>
      </c>
      <c r="AE14" s="827">
        <f t="shared" si="5"/>
        <v>0</v>
      </c>
      <c r="AF14" s="827">
        <f t="shared" si="5"/>
        <v>0</v>
      </c>
      <c r="AG14" s="827">
        <f t="shared" si="5"/>
        <v>0</v>
      </c>
      <c r="AH14" s="828">
        <f t="shared" si="5"/>
        <v>1</v>
      </c>
      <c r="AI14" s="828">
        <f t="shared" si="5"/>
        <v>0</v>
      </c>
      <c r="AJ14" s="828">
        <f t="shared" si="5"/>
        <v>0</v>
      </c>
      <c r="AK14" s="828">
        <f t="shared" si="5"/>
        <v>1</v>
      </c>
      <c r="AL14" s="826">
        <f t="shared" si="5"/>
        <v>0</v>
      </c>
      <c r="AM14" s="826">
        <f t="shared" si="5"/>
        <v>0</v>
      </c>
      <c r="AN14" s="826">
        <f t="shared" si="5"/>
        <v>0</v>
      </c>
      <c r="AO14" s="826">
        <f t="shared" si="5"/>
        <v>0</v>
      </c>
    </row>
    <row r="15" spans="1:47" ht="14.95" customHeight="1" thickBot="1" x14ac:dyDescent="0.3">
      <c r="A15" s="179"/>
      <c r="B15" s="180"/>
      <c r="C15" s="1093" t="s">
        <v>512</v>
      </c>
      <c r="D15" s="1110"/>
      <c r="E15" s="1111"/>
      <c r="F15" s="410">
        <f>SUM(F10:F11)</f>
        <v>56</v>
      </c>
      <c r="G15" s="410">
        <f>SUM(G9:G11)</f>
        <v>146</v>
      </c>
      <c r="H15" s="410" t="s">
        <v>80</v>
      </c>
      <c r="I15" s="410" t="s">
        <v>80</v>
      </c>
      <c r="J15" s="410">
        <f t="shared" ref="J15:O15" si="6">SUM(J9:J11)</f>
        <v>5</v>
      </c>
      <c r="K15" s="410">
        <f t="shared" si="6"/>
        <v>5</v>
      </c>
      <c r="L15" s="410">
        <f t="shared" si="6"/>
        <v>1</v>
      </c>
      <c r="M15" s="410">
        <f t="shared" si="6"/>
        <v>6</v>
      </c>
      <c r="N15" s="410">
        <f t="shared" si="6"/>
        <v>3</v>
      </c>
      <c r="O15" s="410">
        <f t="shared" si="6"/>
        <v>0</v>
      </c>
      <c r="P15" s="410" t="s">
        <v>80</v>
      </c>
      <c r="Q15" s="410" t="s">
        <v>80</v>
      </c>
      <c r="R15" s="410">
        <f>SUM(R9:R11)</f>
        <v>20</v>
      </c>
      <c r="S15" s="411"/>
      <c r="T15" s="411"/>
      <c r="U15" s="411"/>
      <c r="V15" s="411"/>
      <c r="W15" s="411"/>
      <c r="X15" s="412"/>
      <c r="Y15" s="413" t="s">
        <v>512</v>
      </c>
      <c r="Z15" s="414">
        <f t="shared" ref="Z15:AO15" si="7">SUM(Z9:Z11)</f>
        <v>3</v>
      </c>
      <c r="AA15" s="410">
        <f t="shared" si="7"/>
        <v>1</v>
      </c>
      <c r="AB15" s="410">
        <f t="shared" si="7"/>
        <v>0</v>
      </c>
      <c r="AC15" s="410">
        <f t="shared" si="7"/>
        <v>2</v>
      </c>
      <c r="AD15" s="415">
        <f t="shared" si="7"/>
        <v>0</v>
      </c>
      <c r="AE15" s="415">
        <f t="shared" si="7"/>
        <v>0</v>
      </c>
      <c r="AF15" s="415">
        <f t="shared" si="7"/>
        <v>0</v>
      </c>
      <c r="AG15" s="415">
        <f t="shared" si="7"/>
        <v>0</v>
      </c>
      <c r="AH15" s="416">
        <f t="shared" si="7"/>
        <v>3</v>
      </c>
      <c r="AI15" s="416">
        <f t="shared" si="7"/>
        <v>1</v>
      </c>
      <c r="AJ15" s="416">
        <f t="shared" si="7"/>
        <v>0</v>
      </c>
      <c r="AK15" s="416">
        <f t="shared" si="7"/>
        <v>2</v>
      </c>
      <c r="AL15" s="410">
        <f t="shared" si="7"/>
        <v>0</v>
      </c>
      <c r="AM15" s="410">
        <f t="shared" si="7"/>
        <v>0</v>
      </c>
      <c r="AN15" s="410">
        <f t="shared" si="7"/>
        <v>0</v>
      </c>
      <c r="AO15" s="410">
        <f t="shared" si="7"/>
        <v>0</v>
      </c>
    </row>
    <row r="16" spans="1:47" ht="14.95" customHeight="1" thickBot="1" x14ac:dyDescent="0.3">
      <c r="A16" s="524"/>
      <c r="C16" s="1087" t="s">
        <v>81</v>
      </c>
      <c r="D16" s="1088"/>
      <c r="E16" s="1089"/>
      <c r="F16" s="231">
        <f>SUM(F10:F11)</f>
        <v>56</v>
      </c>
      <c r="G16" s="231">
        <f>SUM(G10:G11)</f>
        <v>61</v>
      </c>
      <c r="H16" s="231">
        <f t="shared" ref="H16:R16" si="8">SUM(H10:H11)</f>
        <v>0</v>
      </c>
      <c r="I16" s="231">
        <f t="shared" si="8"/>
        <v>0</v>
      </c>
      <c r="J16" s="231">
        <f t="shared" si="8"/>
        <v>5</v>
      </c>
      <c r="K16" s="231">
        <f t="shared" si="8"/>
        <v>5</v>
      </c>
      <c r="L16" s="231">
        <f t="shared" si="8"/>
        <v>1</v>
      </c>
      <c r="M16" s="231">
        <f t="shared" si="8"/>
        <v>6</v>
      </c>
      <c r="N16" s="231">
        <f t="shared" si="8"/>
        <v>3</v>
      </c>
      <c r="O16" s="231">
        <f t="shared" si="8"/>
        <v>0</v>
      </c>
      <c r="P16" s="231">
        <f t="shared" si="8"/>
        <v>0</v>
      </c>
      <c r="Q16" s="231">
        <f t="shared" si="8"/>
        <v>0</v>
      </c>
      <c r="R16" s="231">
        <f t="shared" si="8"/>
        <v>7</v>
      </c>
      <c r="S16" s="228"/>
      <c r="T16" s="228"/>
      <c r="U16" s="228"/>
      <c r="V16" s="228"/>
      <c r="W16" s="228"/>
      <c r="X16" s="13"/>
      <c r="Y16" s="246" t="s">
        <v>81</v>
      </c>
      <c r="Z16" s="231">
        <f t="shared" ref="Z16:AO16" si="9">SUM(Z10:Z11)</f>
        <v>2</v>
      </c>
      <c r="AA16" s="231">
        <f t="shared" si="9"/>
        <v>1</v>
      </c>
      <c r="AB16" s="231">
        <f t="shared" si="9"/>
        <v>0</v>
      </c>
      <c r="AC16" s="231">
        <f t="shared" si="9"/>
        <v>1</v>
      </c>
      <c r="AD16" s="229">
        <f t="shared" si="9"/>
        <v>0</v>
      </c>
      <c r="AE16" s="229">
        <f t="shared" si="9"/>
        <v>0</v>
      </c>
      <c r="AF16" s="229">
        <f t="shared" si="9"/>
        <v>0</v>
      </c>
      <c r="AG16" s="229">
        <f t="shared" si="9"/>
        <v>0</v>
      </c>
      <c r="AH16" s="230">
        <f t="shared" si="9"/>
        <v>2</v>
      </c>
      <c r="AI16" s="230">
        <f t="shared" si="9"/>
        <v>1</v>
      </c>
      <c r="AJ16" s="230">
        <f t="shared" si="9"/>
        <v>0</v>
      </c>
      <c r="AK16" s="230">
        <f t="shared" si="9"/>
        <v>1</v>
      </c>
      <c r="AL16" s="231">
        <f t="shared" si="9"/>
        <v>0</v>
      </c>
      <c r="AM16" s="231">
        <f t="shared" si="9"/>
        <v>0</v>
      </c>
      <c r="AN16" s="231">
        <f t="shared" si="9"/>
        <v>0</v>
      </c>
      <c r="AO16" s="231">
        <f t="shared" si="9"/>
        <v>0</v>
      </c>
    </row>
    <row r="17" spans="1:41" ht="14.95" customHeight="1" x14ac:dyDescent="0.25">
      <c r="A17" s="362"/>
      <c r="B17" s="362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</row>
    <row r="18" spans="1:41" x14ac:dyDescent="0.25">
      <c r="A18" s="713" t="s">
        <v>432</v>
      </c>
      <c r="B18" s="362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</row>
    <row r="19" spans="1:41" x14ac:dyDescent="0.25">
      <c r="A19" s="1108" t="s">
        <v>627</v>
      </c>
      <c r="B19" s="1063"/>
      <c r="C19" s="1063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</row>
    <row r="20" spans="1:41" x14ac:dyDescent="0.25">
      <c r="A20" s="816" t="s">
        <v>717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1" x14ac:dyDescent="0.25">
      <c r="A21" s="816" t="s">
        <v>725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1" x14ac:dyDescent="0.25">
      <c r="A22" s="789" t="s">
        <v>646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</row>
    <row r="23" spans="1:41" x14ac:dyDescent="0.25">
      <c r="A23" s="859" t="s">
        <v>801</v>
      </c>
    </row>
    <row r="24" spans="1:41" x14ac:dyDescent="0.25">
      <c r="A24" s="524" t="s">
        <v>133</v>
      </c>
    </row>
    <row r="25" spans="1:41" x14ac:dyDescent="0.25">
      <c r="A25" s="376"/>
      <c r="B25" t="s">
        <v>44</v>
      </c>
    </row>
    <row r="26" spans="1:41" x14ac:dyDescent="0.25">
      <c r="A26" s="377"/>
      <c r="B26" t="s">
        <v>42</v>
      </c>
    </row>
    <row r="27" spans="1:41" x14ac:dyDescent="0.25">
      <c r="A27" s="378"/>
      <c r="B27" t="s">
        <v>43</v>
      </c>
    </row>
    <row r="28" spans="1:41" ht="16.3" x14ac:dyDescent="0.3">
      <c r="A28" s="792" t="s">
        <v>28</v>
      </c>
    </row>
  </sheetData>
  <mergeCells count="16">
    <mergeCell ref="AL1:AO1"/>
    <mergeCell ref="P1:R1"/>
    <mergeCell ref="C16:E16"/>
    <mergeCell ref="A1:C1"/>
    <mergeCell ref="E1:G1"/>
    <mergeCell ref="H1:I1"/>
    <mergeCell ref="J1:M1"/>
    <mergeCell ref="N1:O1"/>
    <mergeCell ref="C12:E12"/>
    <mergeCell ref="C15:E15"/>
    <mergeCell ref="C14:E14"/>
    <mergeCell ref="A19:R19"/>
    <mergeCell ref="C13:E13"/>
    <mergeCell ref="Z1:AC1"/>
    <mergeCell ref="AD1:AG1"/>
    <mergeCell ref="AH1:AK1"/>
  </mergeCells>
  <pageMargins left="0.7" right="0.7" top="0.75" bottom="0.75" header="0.3" footer="0.3"/>
  <pageSetup paperSize="9" orientation="portrait" r:id="rId1"/>
  <ignoredErrors>
    <ignoredError sqref="F13:AO13 G15:AO15 Z12 AA12:AO12 F12:R12 F16:AO16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T23"/>
  <sheetViews>
    <sheetView workbookViewId="0">
      <selection activeCell="U13" sqref="U13"/>
    </sheetView>
  </sheetViews>
  <sheetFormatPr defaultRowHeight="14.3" x14ac:dyDescent="0.25"/>
  <cols>
    <col min="1" max="1" width="7.375" customWidth="1"/>
    <col min="2" max="2" width="5.125" bestFit="1" customWidth="1"/>
    <col min="3" max="3" width="13.62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1.625" bestFit="1" customWidth="1"/>
    <col min="22" max="22" width="17.625" bestFit="1" customWidth="1"/>
    <col min="23" max="23" width="22.375" bestFit="1" customWidth="1"/>
    <col min="24" max="24" width="22.125" bestFit="1" customWidth="1"/>
    <col min="25" max="40" width="3.625" customWidth="1"/>
    <col min="41" max="41" width="1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338" t="s">
        <v>409</v>
      </c>
      <c r="B1" s="1339"/>
      <c r="C1" s="1339"/>
      <c r="D1" s="104"/>
      <c r="E1" s="1340" t="s">
        <v>24</v>
      </c>
      <c r="F1" s="1341"/>
      <c r="G1" s="1342"/>
      <c r="H1" s="1340" t="s">
        <v>23</v>
      </c>
      <c r="I1" s="1342"/>
      <c r="J1" s="1344" t="s">
        <v>6</v>
      </c>
      <c r="K1" s="1345"/>
      <c r="L1" s="1345"/>
      <c r="M1" s="1346"/>
      <c r="N1" s="1344" t="s">
        <v>7</v>
      </c>
      <c r="O1" s="1346"/>
      <c r="P1" s="1344" t="s">
        <v>25</v>
      </c>
      <c r="Q1" s="1345"/>
      <c r="R1" s="1346"/>
      <c r="S1" s="200" t="s">
        <v>8</v>
      </c>
      <c r="T1" s="200" t="s">
        <v>9</v>
      </c>
      <c r="U1" s="201" t="s">
        <v>10</v>
      </c>
      <c r="V1" s="200" t="s">
        <v>11</v>
      </c>
      <c r="W1" s="202" t="s">
        <v>26</v>
      </c>
      <c r="X1" s="203" t="s">
        <v>27</v>
      </c>
      <c r="Y1" s="1343" t="s">
        <v>20</v>
      </c>
      <c r="Z1" s="1177"/>
      <c r="AA1" s="1177"/>
      <c r="AB1" s="1178"/>
      <c r="AC1" s="1343" t="s">
        <v>61</v>
      </c>
      <c r="AD1" s="1177"/>
      <c r="AE1" s="1177"/>
      <c r="AF1" s="1178"/>
      <c r="AG1" s="1343" t="s">
        <v>62</v>
      </c>
      <c r="AH1" s="1177"/>
      <c r="AI1" s="1177"/>
      <c r="AJ1" s="1178"/>
      <c r="AK1" s="1343" t="s">
        <v>63</v>
      </c>
      <c r="AL1" s="1177"/>
      <c r="AM1" s="1177"/>
      <c r="AN1" s="1178"/>
      <c r="AP1" s="220" t="s">
        <v>130</v>
      </c>
      <c r="AQ1" s="218"/>
      <c r="AR1" s="218"/>
      <c r="AS1" s="220" t="s">
        <v>130</v>
      </c>
    </row>
    <row r="2" spans="1:46" ht="14.95" customHeight="1" thickBot="1" x14ac:dyDescent="0.3">
      <c r="A2" s="90" t="s">
        <v>19</v>
      </c>
      <c r="B2" s="91" t="s">
        <v>18</v>
      </c>
      <c r="C2" s="92" t="s">
        <v>17</v>
      </c>
      <c r="D2" s="93" t="s">
        <v>41</v>
      </c>
      <c r="E2" s="93" t="s">
        <v>16</v>
      </c>
      <c r="F2" s="93" t="s">
        <v>4</v>
      </c>
      <c r="G2" s="93" t="s">
        <v>5</v>
      </c>
      <c r="H2" s="94" t="s">
        <v>12</v>
      </c>
      <c r="I2" s="94" t="s">
        <v>3</v>
      </c>
      <c r="J2" s="94" t="s">
        <v>12</v>
      </c>
      <c r="K2" s="94" t="s">
        <v>13</v>
      </c>
      <c r="L2" s="94" t="s">
        <v>2</v>
      </c>
      <c r="M2" s="94" t="s">
        <v>14</v>
      </c>
      <c r="N2" s="94" t="s">
        <v>15</v>
      </c>
      <c r="O2" s="94" t="s">
        <v>16</v>
      </c>
      <c r="P2" s="94" t="s">
        <v>21</v>
      </c>
      <c r="Q2" s="94" t="s">
        <v>22</v>
      </c>
      <c r="R2" s="94" t="s">
        <v>12</v>
      </c>
      <c r="S2" s="95"/>
      <c r="T2" s="185"/>
      <c r="U2" s="96"/>
      <c r="V2" s="95"/>
      <c r="W2" s="112"/>
      <c r="X2" s="97"/>
      <c r="Y2" s="200" t="s">
        <v>0</v>
      </c>
      <c r="Z2" s="200" t="s">
        <v>1</v>
      </c>
      <c r="AA2" s="200" t="s">
        <v>2</v>
      </c>
      <c r="AB2" s="200" t="s">
        <v>3</v>
      </c>
      <c r="AC2" s="200" t="s">
        <v>0</v>
      </c>
      <c r="AD2" s="200" t="s">
        <v>1</v>
      </c>
      <c r="AE2" s="200" t="s">
        <v>2</v>
      </c>
      <c r="AF2" s="200" t="s">
        <v>3</v>
      </c>
      <c r="AG2" s="200" t="s">
        <v>0</v>
      </c>
      <c r="AH2" s="200" t="s">
        <v>1</v>
      </c>
      <c r="AI2" s="200" t="s">
        <v>2</v>
      </c>
      <c r="AJ2" s="200" t="s">
        <v>3</v>
      </c>
      <c r="AK2" s="200" t="s">
        <v>0</v>
      </c>
      <c r="AL2" s="200" t="s">
        <v>1</v>
      </c>
      <c r="AM2" s="200" t="s">
        <v>2</v>
      </c>
      <c r="AN2" s="200" t="s">
        <v>3</v>
      </c>
      <c r="AP2" s="205" t="s">
        <v>81</v>
      </c>
      <c r="AQ2" s="138"/>
      <c r="AS2" s="225" t="s">
        <v>99</v>
      </c>
      <c r="AT2" s="138"/>
    </row>
    <row r="3" spans="1:46" ht="14.95" customHeight="1" thickBot="1" x14ac:dyDescent="0.35">
      <c r="A3" s="417" t="s">
        <v>232</v>
      </c>
      <c r="B3" s="290" t="s">
        <v>45</v>
      </c>
      <c r="C3" s="290" t="s">
        <v>94</v>
      </c>
      <c r="D3" s="300" t="s">
        <v>457</v>
      </c>
      <c r="E3" s="291" t="s">
        <v>1</v>
      </c>
      <c r="F3" s="291">
        <v>70</v>
      </c>
      <c r="G3" s="291">
        <v>8</v>
      </c>
      <c r="H3" s="692" t="s">
        <v>80</v>
      </c>
      <c r="I3" s="692" t="s">
        <v>80</v>
      </c>
      <c r="J3" s="692">
        <v>11</v>
      </c>
      <c r="K3" s="692">
        <v>6</v>
      </c>
      <c r="L3" s="692">
        <v>0</v>
      </c>
      <c r="M3" s="692">
        <v>1</v>
      </c>
      <c r="N3" s="692">
        <v>0</v>
      </c>
      <c r="O3" s="692">
        <v>0</v>
      </c>
      <c r="P3" s="692" t="s">
        <v>80</v>
      </c>
      <c r="Q3" s="692" t="s">
        <v>80</v>
      </c>
      <c r="R3" s="692">
        <v>1</v>
      </c>
      <c r="S3" s="865">
        <v>4250</v>
      </c>
      <c r="T3" s="302" t="s">
        <v>458</v>
      </c>
      <c r="U3" s="294" t="s">
        <v>186</v>
      </c>
      <c r="V3" s="292" t="s">
        <v>459</v>
      </c>
      <c r="W3" s="295" t="s">
        <v>252</v>
      </c>
      <c r="X3" s="296" t="s">
        <v>460</v>
      </c>
      <c r="Y3" s="295">
        <v>1</v>
      </c>
      <c r="Z3" s="295">
        <v>1</v>
      </c>
      <c r="AA3" s="295">
        <v>0</v>
      </c>
      <c r="AB3" s="307">
        <v>0</v>
      </c>
      <c r="AC3" s="295">
        <v>1</v>
      </c>
      <c r="AD3" s="295">
        <v>1</v>
      </c>
      <c r="AE3" s="295">
        <v>0</v>
      </c>
      <c r="AF3" s="307">
        <v>0</v>
      </c>
      <c r="AG3" s="295">
        <v>0</v>
      </c>
      <c r="AH3" s="295">
        <v>0</v>
      </c>
      <c r="AI3" s="295">
        <v>0</v>
      </c>
      <c r="AJ3" s="307">
        <v>0</v>
      </c>
      <c r="AK3" s="295">
        <v>0</v>
      </c>
      <c r="AL3" s="295">
        <v>0</v>
      </c>
      <c r="AM3" s="295">
        <v>0</v>
      </c>
      <c r="AN3" s="307">
        <v>0</v>
      </c>
      <c r="AP3" s="214" t="s">
        <v>101</v>
      </c>
      <c r="AQ3" s="215">
        <f>Urualltestshistplayed</f>
        <v>319</v>
      </c>
      <c r="AS3" s="214" t="s">
        <v>101</v>
      </c>
      <c r="AT3" s="215">
        <f>UruRWChistplayed</f>
        <v>19</v>
      </c>
    </row>
    <row r="4" spans="1:46" ht="14.95" customHeight="1" thickBot="1" x14ac:dyDescent="0.3">
      <c r="A4" s="712" t="s">
        <v>239</v>
      </c>
      <c r="B4" s="283" t="s">
        <v>45</v>
      </c>
      <c r="C4" s="270" t="s">
        <v>37</v>
      </c>
      <c r="D4" s="269" t="s">
        <v>508</v>
      </c>
      <c r="E4" s="271" t="s">
        <v>3</v>
      </c>
      <c r="F4" s="271">
        <v>17</v>
      </c>
      <c r="G4" s="271">
        <v>52</v>
      </c>
      <c r="H4" s="691" t="s">
        <v>80</v>
      </c>
      <c r="I4" s="691" t="s">
        <v>80</v>
      </c>
      <c r="J4" s="691">
        <v>2</v>
      </c>
      <c r="K4" s="691">
        <v>2</v>
      </c>
      <c r="L4" s="691">
        <v>0</v>
      </c>
      <c r="M4" s="691">
        <v>1</v>
      </c>
      <c r="N4" s="691">
        <v>0</v>
      </c>
      <c r="O4" s="691">
        <v>0</v>
      </c>
      <c r="P4" s="691" t="s">
        <v>80</v>
      </c>
      <c r="Q4" s="691" t="s">
        <v>80</v>
      </c>
      <c r="R4" s="691">
        <v>8</v>
      </c>
      <c r="S4" s="866">
        <v>22000</v>
      </c>
      <c r="T4" s="281" t="s">
        <v>511</v>
      </c>
      <c r="U4" s="279" t="s">
        <v>214</v>
      </c>
      <c r="V4" s="277" t="s">
        <v>235</v>
      </c>
      <c r="W4" s="280" t="s">
        <v>186</v>
      </c>
      <c r="X4" s="273" t="s">
        <v>510</v>
      </c>
      <c r="Y4" s="273">
        <v>1</v>
      </c>
      <c r="Z4" s="273">
        <v>0</v>
      </c>
      <c r="AA4" s="273">
        <v>0</v>
      </c>
      <c r="AB4" s="287">
        <v>1</v>
      </c>
      <c r="AC4" s="273">
        <v>0</v>
      </c>
      <c r="AD4" s="273">
        <v>0</v>
      </c>
      <c r="AE4" s="273">
        <v>0</v>
      </c>
      <c r="AF4" s="287">
        <v>0</v>
      </c>
      <c r="AG4" s="273">
        <v>1</v>
      </c>
      <c r="AH4" s="273">
        <v>0</v>
      </c>
      <c r="AI4" s="273">
        <v>0</v>
      </c>
      <c r="AJ4" s="287">
        <v>1</v>
      </c>
      <c r="AK4" s="273">
        <v>0</v>
      </c>
      <c r="AL4" s="273">
        <v>0</v>
      </c>
      <c r="AM4" s="273">
        <v>0</v>
      </c>
      <c r="AN4" s="287">
        <v>0</v>
      </c>
      <c r="AP4" s="216" t="s">
        <v>102</v>
      </c>
      <c r="AQ4" s="217">
        <f>Urualltestshistwon</f>
        <v>151</v>
      </c>
      <c r="AS4" s="216" t="s">
        <v>102</v>
      </c>
      <c r="AT4" s="217">
        <f>UruRWChistwon</f>
        <v>4</v>
      </c>
    </row>
    <row r="5" spans="1:46" ht="14.95" customHeight="1" thickBot="1" x14ac:dyDescent="0.35">
      <c r="A5" s="268" t="s">
        <v>517</v>
      </c>
      <c r="B5" s="270" t="s">
        <v>487</v>
      </c>
      <c r="C5" s="270" t="s">
        <v>529</v>
      </c>
      <c r="D5" s="270" t="s">
        <v>530</v>
      </c>
      <c r="E5" s="271" t="s">
        <v>1</v>
      </c>
      <c r="F5" s="271">
        <v>38</v>
      </c>
      <c r="G5" s="271">
        <v>0</v>
      </c>
      <c r="H5" s="691" t="s">
        <v>80</v>
      </c>
      <c r="I5" s="691" t="s">
        <v>80</v>
      </c>
      <c r="J5" s="691">
        <v>6</v>
      </c>
      <c r="K5" s="691">
        <v>4</v>
      </c>
      <c r="L5" s="691">
        <v>0</v>
      </c>
      <c r="M5" s="691">
        <v>0</v>
      </c>
      <c r="N5" s="691">
        <v>1</v>
      </c>
      <c r="O5" s="691">
        <v>0</v>
      </c>
      <c r="P5" s="691" t="s">
        <v>80</v>
      </c>
      <c r="Q5" s="691" t="s">
        <v>80</v>
      </c>
      <c r="R5" s="691">
        <v>0</v>
      </c>
      <c r="S5" s="866">
        <v>3500</v>
      </c>
      <c r="T5" s="278" t="s">
        <v>451</v>
      </c>
      <c r="U5" s="279" t="s">
        <v>531</v>
      </c>
      <c r="V5" s="277" t="s">
        <v>532</v>
      </c>
      <c r="W5" s="273" t="s">
        <v>533</v>
      </c>
      <c r="X5" s="280" t="s">
        <v>534</v>
      </c>
      <c r="Y5" s="718">
        <v>1</v>
      </c>
      <c r="Z5" s="718">
        <v>1</v>
      </c>
      <c r="AA5" s="718">
        <v>0</v>
      </c>
      <c r="AB5" s="719">
        <v>0</v>
      </c>
      <c r="AC5" s="718">
        <v>0</v>
      </c>
      <c r="AD5" s="718">
        <v>0</v>
      </c>
      <c r="AE5" s="718">
        <v>0</v>
      </c>
      <c r="AF5" s="719">
        <v>0</v>
      </c>
      <c r="AG5" s="718">
        <v>1</v>
      </c>
      <c r="AH5" s="718">
        <v>1</v>
      </c>
      <c r="AI5" s="718">
        <v>0</v>
      </c>
      <c r="AJ5" s="719">
        <v>0</v>
      </c>
      <c r="AK5" s="718">
        <v>0</v>
      </c>
      <c r="AL5" s="718">
        <v>0</v>
      </c>
      <c r="AM5" s="718">
        <v>0</v>
      </c>
      <c r="AN5" s="719">
        <v>0</v>
      </c>
      <c r="AP5" s="216" t="s">
        <v>107</v>
      </c>
      <c r="AQ5" s="217">
        <f>Urualltestshistdrawn</f>
        <v>4</v>
      </c>
      <c r="AS5" s="216" t="s">
        <v>107</v>
      </c>
      <c r="AT5" s="217">
        <f>UruRWChistdrawn</f>
        <v>0</v>
      </c>
    </row>
    <row r="6" spans="1:46" ht="14.95" customHeight="1" thickBot="1" x14ac:dyDescent="0.35">
      <c r="A6" s="289" t="s">
        <v>243</v>
      </c>
      <c r="B6" s="290" t="s">
        <v>487</v>
      </c>
      <c r="C6" s="290" t="s">
        <v>529</v>
      </c>
      <c r="D6" s="290" t="s">
        <v>457</v>
      </c>
      <c r="E6" s="291" t="s">
        <v>1</v>
      </c>
      <c r="F6" s="291">
        <v>78</v>
      </c>
      <c r="G6" s="291">
        <v>10</v>
      </c>
      <c r="H6" s="692" t="s">
        <v>80</v>
      </c>
      <c r="I6" s="692" t="s">
        <v>80</v>
      </c>
      <c r="J6" s="692">
        <v>12</v>
      </c>
      <c r="K6" s="692">
        <v>9</v>
      </c>
      <c r="L6" s="692">
        <v>0</v>
      </c>
      <c r="M6" s="692">
        <v>0</v>
      </c>
      <c r="N6" s="692">
        <v>0</v>
      </c>
      <c r="O6" s="692">
        <v>0</v>
      </c>
      <c r="P6" s="692" t="s">
        <v>80</v>
      </c>
      <c r="Q6" s="692" t="s">
        <v>80</v>
      </c>
      <c r="R6" s="692">
        <v>1</v>
      </c>
      <c r="S6" s="865" t="s">
        <v>157</v>
      </c>
      <c r="T6" s="302" t="s">
        <v>544</v>
      </c>
      <c r="U6" s="294" t="s">
        <v>241</v>
      </c>
      <c r="V6" s="292" t="s">
        <v>545</v>
      </c>
      <c r="W6" s="296" t="s">
        <v>546</v>
      </c>
      <c r="X6" s="296" t="s">
        <v>547</v>
      </c>
      <c r="Y6" s="716">
        <v>1</v>
      </c>
      <c r="Z6" s="716">
        <v>1</v>
      </c>
      <c r="AA6" s="716">
        <v>0</v>
      </c>
      <c r="AB6" s="717">
        <v>0</v>
      </c>
      <c r="AC6" s="716">
        <v>1</v>
      </c>
      <c r="AD6" s="716">
        <v>1</v>
      </c>
      <c r="AE6" s="716">
        <v>0</v>
      </c>
      <c r="AF6" s="717">
        <v>0</v>
      </c>
      <c r="AG6" s="716">
        <v>0</v>
      </c>
      <c r="AH6" s="716">
        <v>0</v>
      </c>
      <c r="AI6" s="716">
        <v>0</v>
      </c>
      <c r="AJ6" s="717">
        <v>0</v>
      </c>
      <c r="AK6" s="716">
        <v>0</v>
      </c>
      <c r="AL6" s="716">
        <v>0</v>
      </c>
      <c r="AM6" s="716">
        <v>0</v>
      </c>
      <c r="AN6" s="717">
        <v>0</v>
      </c>
      <c r="AP6" s="216" t="s">
        <v>103</v>
      </c>
      <c r="AQ6" s="217">
        <f>Urualltestshistlost</f>
        <v>164</v>
      </c>
      <c r="AS6" s="216" t="s">
        <v>103</v>
      </c>
      <c r="AT6" s="217">
        <f>UruRWChistlost</f>
        <v>15</v>
      </c>
    </row>
    <row r="7" spans="1:46" ht="14.95" customHeight="1" thickBot="1" x14ac:dyDescent="0.3">
      <c r="A7" s="268" t="s">
        <v>249</v>
      </c>
      <c r="B7" s="270" t="s">
        <v>487</v>
      </c>
      <c r="C7" s="270" t="s">
        <v>150</v>
      </c>
      <c r="D7" s="270" t="s">
        <v>582</v>
      </c>
      <c r="E7" s="271" t="s">
        <v>1</v>
      </c>
      <c r="F7" s="271">
        <v>28</v>
      </c>
      <c r="G7" s="271">
        <v>16</v>
      </c>
      <c r="H7" s="691" t="s">
        <v>80</v>
      </c>
      <c r="I7" s="691" t="s">
        <v>80</v>
      </c>
      <c r="J7" s="691">
        <v>4</v>
      </c>
      <c r="K7" s="691">
        <v>4</v>
      </c>
      <c r="L7" s="691">
        <v>0</v>
      </c>
      <c r="M7" s="691">
        <v>0</v>
      </c>
      <c r="N7" s="691">
        <v>3</v>
      </c>
      <c r="O7" s="691">
        <v>0</v>
      </c>
      <c r="P7" s="691" t="s">
        <v>80</v>
      </c>
      <c r="Q7" s="691" t="s">
        <v>80</v>
      </c>
      <c r="R7" s="691">
        <v>1</v>
      </c>
      <c r="S7" s="866" t="s">
        <v>157</v>
      </c>
      <c r="T7" s="281" t="s">
        <v>584</v>
      </c>
      <c r="U7" s="279" t="s">
        <v>585</v>
      </c>
      <c r="V7" s="277" t="s">
        <v>586</v>
      </c>
      <c r="W7" s="273" t="s">
        <v>241</v>
      </c>
      <c r="X7" s="280" t="s">
        <v>587</v>
      </c>
      <c r="Y7" s="718">
        <v>1</v>
      </c>
      <c r="Z7" s="718">
        <v>1</v>
      </c>
      <c r="AA7" s="718">
        <v>0</v>
      </c>
      <c r="AB7" s="719">
        <v>0</v>
      </c>
      <c r="AC7" s="718">
        <v>0</v>
      </c>
      <c r="AD7" s="718">
        <v>0</v>
      </c>
      <c r="AE7" s="718">
        <v>0</v>
      </c>
      <c r="AF7" s="719">
        <v>0</v>
      </c>
      <c r="AG7" s="718">
        <v>1</v>
      </c>
      <c r="AH7" s="718">
        <v>1</v>
      </c>
      <c r="AI7" s="718">
        <v>0</v>
      </c>
      <c r="AJ7" s="719">
        <v>0</v>
      </c>
      <c r="AK7" s="718">
        <v>0</v>
      </c>
      <c r="AL7" s="718">
        <v>0</v>
      </c>
      <c r="AM7" s="718">
        <v>0</v>
      </c>
      <c r="AN7" s="719">
        <v>0</v>
      </c>
      <c r="AP7" s="216" t="s">
        <v>108</v>
      </c>
      <c r="AQ7" s="217">
        <f>Urualltestshistptsscored</f>
        <v>7264</v>
      </c>
      <c r="AS7" s="216" t="s">
        <v>108</v>
      </c>
      <c r="AT7" s="217">
        <f>UruRWChistptsscored</f>
        <v>253</v>
      </c>
    </row>
    <row r="8" spans="1:46" ht="14.95" customHeight="1" thickBot="1" x14ac:dyDescent="0.35">
      <c r="A8" s="289" t="s">
        <v>253</v>
      </c>
      <c r="B8" s="290" t="s">
        <v>487</v>
      </c>
      <c r="C8" s="290" t="s">
        <v>150</v>
      </c>
      <c r="D8" s="290" t="s">
        <v>457</v>
      </c>
      <c r="E8" s="291" t="s">
        <v>3</v>
      </c>
      <c r="F8" s="291">
        <v>18</v>
      </c>
      <c r="G8" s="291">
        <v>21</v>
      </c>
      <c r="H8" s="692" t="s">
        <v>80</v>
      </c>
      <c r="I8" s="692" t="s">
        <v>80</v>
      </c>
      <c r="J8" s="692">
        <v>2</v>
      </c>
      <c r="K8" s="692">
        <v>1</v>
      </c>
      <c r="L8" s="692">
        <v>0</v>
      </c>
      <c r="M8" s="692">
        <v>2</v>
      </c>
      <c r="N8" s="692">
        <v>3</v>
      </c>
      <c r="O8" s="692">
        <v>0</v>
      </c>
      <c r="P8" s="692" t="s">
        <v>80</v>
      </c>
      <c r="Q8" s="692" t="s">
        <v>80</v>
      </c>
      <c r="R8" s="692">
        <v>3</v>
      </c>
      <c r="S8" s="716">
        <v>10250</v>
      </c>
      <c r="T8" s="473" t="s">
        <v>596</v>
      </c>
      <c r="U8" s="298" t="s">
        <v>585</v>
      </c>
      <c r="V8" s="295" t="s">
        <v>532</v>
      </c>
      <c r="W8" s="295" t="s">
        <v>587</v>
      </c>
      <c r="X8" s="299" t="s">
        <v>597</v>
      </c>
      <c r="Y8" s="716">
        <v>1</v>
      </c>
      <c r="Z8" s="716">
        <v>0</v>
      </c>
      <c r="AA8" s="716">
        <v>0</v>
      </c>
      <c r="AB8" s="717">
        <v>1</v>
      </c>
      <c r="AC8" s="716">
        <v>1</v>
      </c>
      <c r="AD8" s="716">
        <v>0</v>
      </c>
      <c r="AE8" s="716">
        <v>0</v>
      </c>
      <c r="AF8" s="717">
        <v>1</v>
      </c>
      <c r="AG8" s="716">
        <v>0</v>
      </c>
      <c r="AH8" s="716">
        <v>0</v>
      </c>
      <c r="AI8" s="716">
        <v>0</v>
      </c>
      <c r="AJ8" s="717">
        <v>0</v>
      </c>
      <c r="AK8" s="716">
        <v>0</v>
      </c>
      <c r="AL8" s="716">
        <v>0</v>
      </c>
      <c r="AM8" s="716">
        <v>0</v>
      </c>
      <c r="AN8" s="717">
        <v>0</v>
      </c>
      <c r="AP8" s="216" t="s">
        <v>109</v>
      </c>
      <c r="AQ8" s="217">
        <f>Urualltestshistptscon</f>
        <v>8189</v>
      </c>
      <c r="AS8" s="216" t="s">
        <v>109</v>
      </c>
      <c r="AT8" s="217">
        <f>UruRWChistptscon</f>
        <v>882</v>
      </c>
    </row>
    <row r="9" spans="1:46" ht="14.95" customHeight="1" thickBot="1" x14ac:dyDescent="0.3">
      <c r="A9" s="284" t="s">
        <v>263</v>
      </c>
      <c r="B9" s="283" t="s">
        <v>45</v>
      </c>
      <c r="C9" s="283" t="s">
        <v>96</v>
      </c>
      <c r="D9" s="283" t="s">
        <v>380</v>
      </c>
      <c r="E9" s="285" t="s">
        <v>1</v>
      </c>
      <c r="F9" s="271">
        <v>26</v>
      </c>
      <c r="G9" s="271">
        <v>8</v>
      </c>
      <c r="H9" s="691" t="s">
        <v>80</v>
      </c>
      <c r="I9" s="691" t="s">
        <v>80</v>
      </c>
      <c r="J9" s="691">
        <v>3</v>
      </c>
      <c r="K9" s="691">
        <v>1</v>
      </c>
      <c r="L9" s="691">
        <v>0</v>
      </c>
      <c r="M9" s="691">
        <v>3</v>
      </c>
      <c r="N9" s="691">
        <v>1</v>
      </c>
      <c r="O9" s="691">
        <v>0</v>
      </c>
      <c r="P9" s="691" t="s">
        <v>80</v>
      </c>
      <c r="Q9" s="691" t="s">
        <v>80</v>
      </c>
      <c r="R9" s="691">
        <v>1</v>
      </c>
      <c r="S9" s="718" t="s">
        <v>157</v>
      </c>
      <c r="T9" s="442" t="s">
        <v>780</v>
      </c>
      <c r="U9" s="273" t="s">
        <v>166</v>
      </c>
      <c r="V9" s="590" t="s">
        <v>256</v>
      </c>
      <c r="W9" s="273" t="s">
        <v>777</v>
      </c>
      <c r="X9" s="273" t="s">
        <v>778</v>
      </c>
      <c r="Y9" s="817">
        <v>1</v>
      </c>
      <c r="Z9" s="817">
        <v>1</v>
      </c>
      <c r="AA9" s="817">
        <v>0</v>
      </c>
      <c r="AB9" s="818">
        <v>0</v>
      </c>
      <c r="AC9" s="817">
        <v>0</v>
      </c>
      <c r="AD9" s="817">
        <v>0</v>
      </c>
      <c r="AE9" s="817">
        <v>0</v>
      </c>
      <c r="AF9" s="818">
        <v>0</v>
      </c>
      <c r="AG9" s="817">
        <v>1</v>
      </c>
      <c r="AH9" s="817">
        <v>1</v>
      </c>
      <c r="AI9" s="817">
        <v>0</v>
      </c>
      <c r="AJ9" s="818">
        <v>0</v>
      </c>
      <c r="AK9" s="817">
        <v>0</v>
      </c>
      <c r="AL9" s="817">
        <v>0</v>
      </c>
      <c r="AM9" s="817">
        <v>0</v>
      </c>
      <c r="AN9" s="818">
        <v>0</v>
      </c>
      <c r="AP9" s="216" t="s">
        <v>100</v>
      </c>
      <c r="AQ9" s="217">
        <f>Urualltestshisttriesscored</f>
        <v>890</v>
      </c>
      <c r="AS9" s="216" t="s">
        <v>100</v>
      </c>
      <c r="AT9" s="217">
        <f>UruRWChisttriesscored</f>
        <v>27</v>
      </c>
    </row>
    <row r="10" spans="1:46" ht="17" thickBot="1" x14ac:dyDescent="0.35">
      <c r="A10" s="284" t="s">
        <v>266</v>
      </c>
      <c r="B10" s="283" t="s">
        <v>45</v>
      </c>
      <c r="C10" s="283" t="s">
        <v>94</v>
      </c>
      <c r="D10" s="283" t="s">
        <v>174</v>
      </c>
      <c r="E10" s="285" t="s">
        <v>1</v>
      </c>
      <c r="F10" s="271">
        <v>31</v>
      </c>
      <c r="G10" s="271">
        <v>21</v>
      </c>
      <c r="H10" s="691" t="s">
        <v>80</v>
      </c>
      <c r="I10" s="691" t="s">
        <v>80</v>
      </c>
      <c r="J10" s="691">
        <v>4</v>
      </c>
      <c r="K10" s="691">
        <v>4</v>
      </c>
      <c r="L10" s="691">
        <v>0</v>
      </c>
      <c r="M10" s="691">
        <v>1</v>
      </c>
      <c r="N10" s="691">
        <v>1</v>
      </c>
      <c r="O10" s="691">
        <v>0</v>
      </c>
      <c r="P10" s="691" t="s">
        <v>80</v>
      </c>
      <c r="Q10" s="691" t="s">
        <v>80</v>
      </c>
      <c r="R10" s="691">
        <v>3</v>
      </c>
      <c r="S10" s="718" t="s">
        <v>830</v>
      </c>
      <c r="T10" s="316" t="s">
        <v>669</v>
      </c>
      <c r="U10" s="273" t="s">
        <v>585</v>
      </c>
      <c r="V10" s="273" t="s">
        <v>782</v>
      </c>
      <c r="W10" s="273" t="s">
        <v>781</v>
      </c>
      <c r="X10" s="273" t="s">
        <v>777</v>
      </c>
      <c r="Y10" s="817">
        <v>1</v>
      </c>
      <c r="Z10" s="817">
        <v>1</v>
      </c>
      <c r="AA10" s="817">
        <v>0</v>
      </c>
      <c r="AB10" s="818">
        <v>0</v>
      </c>
      <c r="AC10" s="817">
        <v>0</v>
      </c>
      <c r="AD10" s="817">
        <v>0</v>
      </c>
      <c r="AE10" s="817">
        <v>0</v>
      </c>
      <c r="AF10" s="818">
        <v>0</v>
      </c>
      <c r="AG10" s="817">
        <v>1</v>
      </c>
      <c r="AH10" s="817">
        <v>1</v>
      </c>
      <c r="AI10" s="817">
        <v>0</v>
      </c>
      <c r="AJ10" s="818">
        <v>0</v>
      </c>
      <c r="AK10" s="817">
        <v>0</v>
      </c>
      <c r="AL10" s="817">
        <v>0</v>
      </c>
      <c r="AM10" s="817">
        <v>0</v>
      </c>
      <c r="AN10" s="818">
        <v>0</v>
      </c>
    </row>
    <row r="11" spans="1:46" ht="14.95" thickBot="1" x14ac:dyDescent="0.3">
      <c r="A11" s="179"/>
      <c r="B11" s="180"/>
      <c r="C11" s="1347" t="s">
        <v>238</v>
      </c>
      <c r="D11" s="1348"/>
      <c r="E11" s="1349"/>
      <c r="F11" s="437">
        <f t="shared" ref="F11:R11" si="0">SUM(F3:F4)</f>
        <v>87</v>
      </c>
      <c r="G11" s="437">
        <f t="shared" si="0"/>
        <v>60</v>
      </c>
      <c r="H11" s="437">
        <f t="shared" si="0"/>
        <v>0</v>
      </c>
      <c r="I11" s="437">
        <f t="shared" si="0"/>
        <v>0</v>
      </c>
      <c r="J11" s="437">
        <f t="shared" si="0"/>
        <v>13</v>
      </c>
      <c r="K11" s="437">
        <f t="shared" si="0"/>
        <v>8</v>
      </c>
      <c r="L11" s="437">
        <f t="shared" si="0"/>
        <v>0</v>
      </c>
      <c r="M11" s="437">
        <f t="shared" si="0"/>
        <v>2</v>
      </c>
      <c r="N11" s="437">
        <f t="shared" si="0"/>
        <v>0</v>
      </c>
      <c r="O11" s="437">
        <f t="shared" si="0"/>
        <v>0</v>
      </c>
      <c r="P11" s="437">
        <f t="shared" si="0"/>
        <v>0</v>
      </c>
      <c r="Q11" s="437">
        <f t="shared" si="0"/>
        <v>0</v>
      </c>
      <c r="R11" s="437">
        <f t="shared" si="0"/>
        <v>9</v>
      </c>
      <c r="S11" s="407"/>
      <c r="T11" s="407"/>
      <c r="U11" s="407"/>
      <c r="V11" s="407"/>
      <c r="W11" s="408"/>
      <c r="X11" s="409" t="s">
        <v>238</v>
      </c>
      <c r="Y11" s="437">
        <f t="shared" ref="Y11:AN11" si="1">SUM(Y3:Y4)</f>
        <v>2</v>
      </c>
      <c r="Z11" s="437">
        <f t="shared" si="1"/>
        <v>1</v>
      </c>
      <c r="AA11" s="437">
        <f t="shared" si="1"/>
        <v>0</v>
      </c>
      <c r="AB11" s="437">
        <f t="shared" si="1"/>
        <v>1</v>
      </c>
      <c r="AC11" s="596">
        <f t="shared" si="1"/>
        <v>1</v>
      </c>
      <c r="AD11" s="596">
        <f t="shared" si="1"/>
        <v>1</v>
      </c>
      <c r="AE11" s="596">
        <f t="shared" si="1"/>
        <v>0</v>
      </c>
      <c r="AF11" s="596">
        <f t="shared" si="1"/>
        <v>0</v>
      </c>
      <c r="AG11" s="597">
        <f t="shared" si="1"/>
        <v>1</v>
      </c>
      <c r="AH11" s="597">
        <f t="shared" si="1"/>
        <v>0</v>
      </c>
      <c r="AI11" s="597">
        <f t="shared" si="1"/>
        <v>0</v>
      </c>
      <c r="AJ11" s="597">
        <f t="shared" si="1"/>
        <v>1</v>
      </c>
      <c r="AK11" s="437">
        <f t="shared" si="1"/>
        <v>0</v>
      </c>
      <c r="AL11" s="437">
        <f t="shared" si="1"/>
        <v>0</v>
      </c>
      <c r="AM11" s="437">
        <f t="shared" si="1"/>
        <v>0</v>
      </c>
      <c r="AN11" s="437">
        <f t="shared" si="1"/>
        <v>0</v>
      </c>
    </row>
    <row r="12" spans="1:46" ht="14.95" thickBot="1" x14ac:dyDescent="0.3">
      <c r="A12" s="179"/>
      <c r="B12" s="180"/>
      <c r="C12" s="1128" t="s">
        <v>262</v>
      </c>
      <c r="D12" s="1129"/>
      <c r="E12" s="1130"/>
      <c r="F12" s="558">
        <f>SUM(F5:F8)</f>
        <v>162</v>
      </c>
      <c r="G12" s="558">
        <f>SUM(G5:G8)</f>
        <v>47</v>
      </c>
      <c r="H12" s="558" t="s">
        <v>80</v>
      </c>
      <c r="I12" s="558" t="s">
        <v>80</v>
      </c>
      <c r="J12" s="558">
        <f t="shared" ref="J12:O12" si="2">SUM(J5:J8)</f>
        <v>24</v>
      </c>
      <c r="K12" s="558">
        <f t="shared" si="2"/>
        <v>18</v>
      </c>
      <c r="L12" s="558">
        <f t="shared" si="2"/>
        <v>0</v>
      </c>
      <c r="M12" s="558">
        <f t="shared" si="2"/>
        <v>2</v>
      </c>
      <c r="N12" s="558">
        <f t="shared" si="2"/>
        <v>7</v>
      </c>
      <c r="O12" s="558">
        <f t="shared" si="2"/>
        <v>0</v>
      </c>
      <c r="P12" s="558" t="s">
        <v>80</v>
      </c>
      <c r="Q12" s="558" t="s">
        <v>80</v>
      </c>
      <c r="R12" s="558">
        <f>SUM(R5:R8)</f>
        <v>5</v>
      </c>
      <c r="S12" s="564"/>
      <c r="T12" s="564"/>
      <c r="U12" s="564"/>
      <c r="V12" s="564"/>
      <c r="W12" s="175"/>
      <c r="X12" s="250" t="s">
        <v>262</v>
      </c>
      <c r="Y12" s="558">
        <f t="shared" ref="Y12:AN12" si="3">SUM(Y5:Y8)</f>
        <v>4</v>
      </c>
      <c r="Z12" s="558">
        <f t="shared" si="3"/>
        <v>3</v>
      </c>
      <c r="AA12" s="558">
        <f t="shared" si="3"/>
        <v>0</v>
      </c>
      <c r="AB12" s="558">
        <f t="shared" si="3"/>
        <v>1</v>
      </c>
      <c r="AC12" s="565">
        <f t="shared" si="3"/>
        <v>2</v>
      </c>
      <c r="AD12" s="565">
        <f t="shared" si="3"/>
        <v>1</v>
      </c>
      <c r="AE12" s="565">
        <f t="shared" si="3"/>
        <v>0</v>
      </c>
      <c r="AF12" s="565">
        <f t="shared" si="3"/>
        <v>1</v>
      </c>
      <c r="AG12" s="566">
        <f t="shared" si="3"/>
        <v>2</v>
      </c>
      <c r="AH12" s="566">
        <f t="shared" si="3"/>
        <v>2</v>
      </c>
      <c r="AI12" s="566">
        <f t="shared" si="3"/>
        <v>0</v>
      </c>
      <c r="AJ12" s="566">
        <f t="shared" si="3"/>
        <v>0</v>
      </c>
      <c r="AK12" s="558">
        <f t="shared" si="3"/>
        <v>0</v>
      </c>
      <c r="AL12" s="558">
        <f t="shared" si="3"/>
        <v>0</v>
      </c>
      <c r="AM12" s="558">
        <f t="shared" si="3"/>
        <v>0</v>
      </c>
      <c r="AN12" s="558">
        <f t="shared" si="3"/>
        <v>0</v>
      </c>
    </row>
    <row r="13" spans="1:46" ht="14.95" thickBot="1" x14ac:dyDescent="0.3">
      <c r="A13" s="179"/>
      <c r="B13" s="180"/>
      <c r="C13" s="1207" t="s">
        <v>512</v>
      </c>
      <c r="D13" s="1208"/>
      <c r="E13" s="1209"/>
      <c r="F13" s="554">
        <f>SUM(F9:F10)</f>
        <v>57</v>
      </c>
      <c r="G13" s="554">
        <f t="shared" ref="G13:R13" si="4">SUM(G9:G10)</f>
        <v>29</v>
      </c>
      <c r="H13" s="554" t="s">
        <v>80</v>
      </c>
      <c r="I13" s="554" t="s">
        <v>80</v>
      </c>
      <c r="J13" s="554">
        <f t="shared" si="4"/>
        <v>7</v>
      </c>
      <c r="K13" s="554">
        <f t="shared" si="4"/>
        <v>5</v>
      </c>
      <c r="L13" s="554">
        <f t="shared" si="4"/>
        <v>0</v>
      </c>
      <c r="M13" s="554">
        <f t="shared" si="4"/>
        <v>4</v>
      </c>
      <c r="N13" s="554">
        <f t="shared" si="4"/>
        <v>2</v>
      </c>
      <c r="O13" s="554">
        <f t="shared" si="4"/>
        <v>0</v>
      </c>
      <c r="P13" s="554" t="s">
        <v>80</v>
      </c>
      <c r="Q13" s="554" t="s">
        <v>80</v>
      </c>
      <c r="R13" s="554">
        <f t="shared" si="4"/>
        <v>4</v>
      </c>
      <c r="S13" s="531"/>
      <c r="T13" s="531"/>
      <c r="U13" s="531"/>
      <c r="V13" s="531"/>
      <c r="W13" s="532"/>
      <c r="X13" s="533" t="s">
        <v>512</v>
      </c>
      <c r="Y13" s="554">
        <f t="shared" ref="Y13:AN13" si="5">SUM(Y9:Y10)</f>
        <v>2</v>
      </c>
      <c r="Z13" s="554">
        <f t="shared" si="5"/>
        <v>2</v>
      </c>
      <c r="AA13" s="554">
        <f t="shared" si="5"/>
        <v>0</v>
      </c>
      <c r="AB13" s="554">
        <f t="shared" si="5"/>
        <v>0</v>
      </c>
      <c r="AC13" s="829">
        <f t="shared" si="5"/>
        <v>0</v>
      </c>
      <c r="AD13" s="829">
        <f t="shared" si="5"/>
        <v>0</v>
      </c>
      <c r="AE13" s="829">
        <f t="shared" si="5"/>
        <v>0</v>
      </c>
      <c r="AF13" s="829">
        <f t="shared" si="5"/>
        <v>0</v>
      </c>
      <c r="AG13" s="830">
        <f t="shared" si="5"/>
        <v>2</v>
      </c>
      <c r="AH13" s="830">
        <f t="shared" si="5"/>
        <v>2</v>
      </c>
      <c r="AI13" s="830">
        <f t="shared" si="5"/>
        <v>0</v>
      </c>
      <c r="AJ13" s="830">
        <f t="shared" si="5"/>
        <v>0</v>
      </c>
      <c r="AK13" s="554">
        <f t="shared" si="5"/>
        <v>0</v>
      </c>
      <c r="AL13" s="554">
        <f t="shared" si="5"/>
        <v>0</v>
      </c>
      <c r="AM13" s="554">
        <f t="shared" si="5"/>
        <v>0</v>
      </c>
      <c r="AN13" s="554">
        <f t="shared" si="5"/>
        <v>0</v>
      </c>
    </row>
    <row r="14" spans="1:46" ht="14.95" thickBot="1" x14ac:dyDescent="0.3">
      <c r="A14" s="362"/>
      <c r="B14" s="362"/>
      <c r="C14" s="1087" t="s">
        <v>81</v>
      </c>
      <c r="D14" s="1088"/>
      <c r="E14" s="1089"/>
      <c r="F14" s="231">
        <f>SUM(F3:F10)</f>
        <v>306</v>
      </c>
      <c r="G14" s="231">
        <f t="shared" ref="G14:R14" si="6">SUM(G3:G10)</f>
        <v>136</v>
      </c>
      <c r="H14" s="231">
        <f t="shared" si="6"/>
        <v>0</v>
      </c>
      <c r="I14" s="231">
        <f t="shared" si="6"/>
        <v>0</v>
      </c>
      <c r="J14" s="231">
        <f t="shared" si="6"/>
        <v>44</v>
      </c>
      <c r="K14" s="231">
        <f t="shared" si="6"/>
        <v>31</v>
      </c>
      <c r="L14" s="231">
        <f t="shared" si="6"/>
        <v>0</v>
      </c>
      <c r="M14" s="231">
        <f t="shared" si="6"/>
        <v>8</v>
      </c>
      <c r="N14" s="231">
        <f t="shared" si="6"/>
        <v>9</v>
      </c>
      <c r="O14" s="231">
        <f t="shared" si="6"/>
        <v>0</v>
      </c>
      <c r="P14" s="231">
        <f t="shared" si="6"/>
        <v>0</v>
      </c>
      <c r="Q14" s="231">
        <f t="shared" si="6"/>
        <v>0</v>
      </c>
      <c r="R14" s="231">
        <f t="shared" si="6"/>
        <v>18</v>
      </c>
      <c r="S14" s="228"/>
      <c r="T14" s="228"/>
      <c r="U14" s="228"/>
      <c r="V14" s="228"/>
      <c r="W14" s="13"/>
      <c r="X14" s="246" t="s">
        <v>81</v>
      </c>
      <c r="Y14" s="231">
        <f t="shared" ref="Y14:AN14" si="7">SUM(Y3:Y10)</f>
        <v>8</v>
      </c>
      <c r="Z14" s="231">
        <f t="shared" si="7"/>
        <v>6</v>
      </c>
      <c r="AA14" s="231">
        <f t="shared" si="7"/>
        <v>0</v>
      </c>
      <c r="AB14" s="231">
        <f t="shared" si="7"/>
        <v>2</v>
      </c>
      <c r="AC14" s="229">
        <f t="shared" si="7"/>
        <v>3</v>
      </c>
      <c r="AD14" s="229">
        <f t="shared" si="7"/>
        <v>2</v>
      </c>
      <c r="AE14" s="229">
        <f t="shared" si="7"/>
        <v>0</v>
      </c>
      <c r="AF14" s="229">
        <f t="shared" si="7"/>
        <v>1</v>
      </c>
      <c r="AG14" s="230">
        <f t="shared" si="7"/>
        <v>5</v>
      </c>
      <c r="AH14" s="230">
        <f t="shared" si="7"/>
        <v>4</v>
      </c>
      <c r="AI14" s="230">
        <f t="shared" si="7"/>
        <v>0</v>
      </c>
      <c r="AJ14" s="230">
        <f t="shared" si="7"/>
        <v>1</v>
      </c>
      <c r="AK14" s="231">
        <f t="shared" si="7"/>
        <v>0</v>
      </c>
      <c r="AL14" s="231">
        <f t="shared" si="7"/>
        <v>0</v>
      </c>
      <c r="AM14" s="231">
        <f t="shared" si="7"/>
        <v>0</v>
      </c>
      <c r="AN14" s="231">
        <f t="shared" si="7"/>
        <v>0</v>
      </c>
    </row>
    <row r="15" spans="1:46" x14ac:dyDescent="0.25">
      <c r="A15" s="769" t="s">
        <v>548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</row>
    <row r="16" spans="1:46" x14ac:dyDescent="0.25">
      <c r="A16" s="769" t="s">
        <v>588</v>
      </c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816" t="s">
        <v>732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816" t="s">
        <v>687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713" t="s">
        <v>133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376"/>
      <c r="B20" t="s">
        <v>44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377"/>
      <c r="B21" t="s">
        <v>42</v>
      </c>
    </row>
    <row r="22" spans="1:18" x14ac:dyDescent="0.25">
      <c r="A22" s="378"/>
      <c r="B22" t="s">
        <v>43</v>
      </c>
    </row>
    <row r="23" spans="1:18" ht="16.3" x14ac:dyDescent="0.3">
      <c r="A23" s="792" t="s">
        <v>28</v>
      </c>
    </row>
  </sheetData>
  <mergeCells count="14">
    <mergeCell ref="C14:E14"/>
    <mergeCell ref="A1:C1"/>
    <mergeCell ref="E1:G1"/>
    <mergeCell ref="H1:I1"/>
    <mergeCell ref="AK1:AN1"/>
    <mergeCell ref="P1:R1"/>
    <mergeCell ref="C12:E12"/>
    <mergeCell ref="J1:M1"/>
    <mergeCell ref="N1:O1"/>
    <mergeCell ref="Y1:AB1"/>
    <mergeCell ref="AC1:AF1"/>
    <mergeCell ref="AG1:AJ1"/>
    <mergeCell ref="C11:E11"/>
    <mergeCell ref="C13:E13"/>
  </mergeCells>
  <pageMargins left="0.7" right="0.7" top="0.75" bottom="0.75" header="0.3" footer="0.3"/>
  <pageSetup paperSize="9" orientation="portrait" r:id="rId1"/>
  <ignoredErrors>
    <ignoredError sqref="C11:AN11 G12:AN12 F13:AN13 F12" formulaRange="1"/>
    <ignoredError sqref="S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6"/>
  <sheetViews>
    <sheetView topLeftCell="A10" workbookViewId="0">
      <selection activeCell="X25" sqref="X25"/>
    </sheetView>
  </sheetViews>
  <sheetFormatPr defaultRowHeight="14.3" x14ac:dyDescent="0.25"/>
  <cols>
    <col min="1" max="1" width="3.75" bestFit="1" customWidth="1"/>
    <col min="2" max="2" width="4.625" customWidth="1"/>
    <col min="4" max="9" width="4" customWidth="1"/>
    <col min="10" max="10" width="5.625" customWidth="1"/>
    <col min="11" max="16" width="4" customWidth="1"/>
    <col min="17" max="17" width="1.625" customWidth="1"/>
    <col min="19" max="22" width="5.375" customWidth="1"/>
    <col min="23" max="23" width="5.125" bestFit="1" customWidth="1"/>
    <col min="24" max="27" width="5.375" customWidth="1"/>
    <col min="28" max="28" width="5.875" bestFit="1" customWidth="1"/>
    <col min="29" max="29" width="5.375" customWidth="1"/>
    <col min="30" max="30" width="1.625" customWidth="1"/>
    <col min="32" max="36" width="5.375" customWidth="1"/>
    <col min="37" max="37" width="7.25" bestFit="1" customWidth="1"/>
    <col min="38" max="41" width="5.375" customWidth="1"/>
    <col min="42" max="42" width="5.875" bestFit="1" customWidth="1"/>
    <col min="43" max="43" width="5.375" customWidth="1"/>
  </cols>
  <sheetData>
    <row r="1" spans="1:43" ht="14.95" thickBot="1" x14ac:dyDescent="0.3">
      <c r="A1" s="897" t="s">
        <v>851</v>
      </c>
      <c r="B1" s="897"/>
      <c r="C1" s="897"/>
      <c r="D1" s="898"/>
      <c r="E1" s="898"/>
      <c r="F1" s="1042"/>
      <c r="G1" s="1043"/>
      <c r="H1" s="898"/>
      <c r="I1" s="898"/>
      <c r="J1" s="898"/>
      <c r="K1" s="898"/>
      <c r="L1" s="898"/>
      <c r="M1" s="898"/>
      <c r="N1" s="898"/>
      <c r="O1" s="1049"/>
      <c r="P1" s="1050"/>
      <c r="R1" s="897" t="s">
        <v>291</v>
      </c>
      <c r="S1" s="898"/>
      <c r="T1" s="898"/>
      <c r="U1" s="898"/>
      <c r="V1" s="898"/>
      <c r="W1" s="898"/>
      <c r="X1" s="898"/>
      <c r="Y1" s="898"/>
      <c r="Z1" s="898"/>
      <c r="AA1" s="898"/>
      <c r="AB1" s="898"/>
      <c r="AC1" s="376"/>
      <c r="AE1" s="897" t="s">
        <v>292</v>
      </c>
      <c r="AF1" s="898"/>
      <c r="AG1" s="898"/>
      <c r="AH1" s="898"/>
      <c r="AI1" s="898"/>
      <c r="AJ1" s="376"/>
      <c r="AK1" s="376"/>
      <c r="AL1" s="376"/>
      <c r="AM1" s="376"/>
      <c r="AN1" s="376"/>
      <c r="AO1" s="376"/>
      <c r="AP1" s="376"/>
      <c r="AQ1" s="376"/>
    </row>
    <row r="2" spans="1:43" ht="14.95" customHeight="1" thickBot="1" x14ac:dyDescent="0.3">
      <c r="A2" s="919" t="s">
        <v>852</v>
      </c>
      <c r="B2" s="915"/>
      <c r="C2" s="1040" t="s">
        <v>34</v>
      </c>
      <c r="D2" s="1041"/>
      <c r="E2" s="1041"/>
      <c r="F2" s="897">
        <v>36</v>
      </c>
      <c r="G2" s="917" t="s">
        <v>136</v>
      </c>
      <c r="H2" s="916">
        <v>14</v>
      </c>
      <c r="I2" s="1044" t="s">
        <v>39</v>
      </c>
      <c r="J2" s="1043"/>
      <c r="K2" s="1043"/>
      <c r="L2" s="1040" t="s">
        <v>754</v>
      </c>
      <c r="M2" s="1040"/>
      <c r="N2" s="1040"/>
      <c r="O2" s="898"/>
      <c r="P2" s="898"/>
      <c r="R2" s="626"/>
      <c r="S2" s="627" t="s">
        <v>220</v>
      </c>
      <c r="T2" s="628" t="s">
        <v>293</v>
      </c>
      <c r="U2" s="629" t="s">
        <v>294</v>
      </c>
      <c r="V2" s="630" t="s">
        <v>295</v>
      </c>
      <c r="W2" s="631" t="s">
        <v>296</v>
      </c>
      <c r="X2" s="632" t="s">
        <v>297</v>
      </c>
      <c r="Y2" s="632" t="s">
        <v>298</v>
      </c>
      <c r="Z2" s="633" t="s">
        <v>299</v>
      </c>
      <c r="AA2" s="633" t="s">
        <v>300</v>
      </c>
      <c r="AB2" s="667" t="s">
        <v>301</v>
      </c>
      <c r="AC2" s="668" t="s">
        <v>302</v>
      </c>
      <c r="AE2" s="626"/>
      <c r="AF2" s="634" t="s">
        <v>220</v>
      </c>
      <c r="AG2" s="628" t="s">
        <v>293</v>
      </c>
      <c r="AH2" s="630" t="s">
        <v>294</v>
      </c>
      <c r="AI2" s="630" t="s">
        <v>295</v>
      </c>
      <c r="AJ2" s="631" t="s">
        <v>296</v>
      </c>
      <c r="AK2" s="937" t="s">
        <v>297</v>
      </c>
      <c r="AL2" s="632" t="s">
        <v>298</v>
      </c>
      <c r="AM2" s="633" t="s">
        <v>299</v>
      </c>
      <c r="AN2" s="1051" t="s">
        <v>300</v>
      </c>
      <c r="AO2" s="1052"/>
      <c r="AP2" s="574" t="s">
        <v>301</v>
      </c>
      <c r="AQ2" s="574" t="s">
        <v>303</v>
      </c>
    </row>
    <row r="3" spans="1:43" ht="14.95" thickBot="1" x14ac:dyDescent="0.3">
      <c r="A3" s="919" t="s">
        <v>853</v>
      </c>
      <c r="B3" s="897"/>
      <c r="C3" s="1039" t="s">
        <v>33</v>
      </c>
      <c r="D3" s="1039"/>
      <c r="E3" s="1039"/>
      <c r="F3" s="897">
        <v>18</v>
      </c>
      <c r="G3" s="917" t="s">
        <v>136</v>
      </c>
      <c r="H3" s="916">
        <v>15</v>
      </c>
      <c r="I3" s="897" t="s">
        <v>35</v>
      </c>
      <c r="J3" s="897"/>
      <c r="K3" s="897"/>
      <c r="L3" s="1039" t="s">
        <v>757</v>
      </c>
      <c r="M3" s="1039"/>
      <c r="N3" s="1039"/>
      <c r="O3" s="898"/>
      <c r="P3" s="898"/>
      <c r="R3" s="153" t="s">
        <v>30</v>
      </c>
      <c r="S3" s="635">
        <v>1</v>
      </c>
      <c r="T3" s="636">
        <v>1</v>
      </c>
      <c r="U3" s="637">
        <v>3</v>
      </c>
      <c r="V3" s="638">
        <v>3</v>
      </c>
      <c r="W3" s="639">
        <f t="shared" ref="W3:W8" si="0">SUM(S3:V3)</f>
        <v>8</v>
      </c>
      <c r="X3" s="640">
        <v>1</v>
      </c>
      <c r="Y3" s="641">
        <v>1</v>
      </c>
      <c r="Z3" s="642">
        <v>1</v>
      </c>
      <c r="AA3" s="643">
        <v>3</v>
      </c>
      <c r="AB3" s="644">
        <f t="shared" ref="AB3:AB8" si="1">SUM(X3:AA3)</f>
        <v>6</v>
      </c>
      <c r="AC3" s="311">
        <f t="shared" ref="AC3:AC8" si="2">SUM(W3+AB3)</f>
        <v>14</v>
      </c>
      <c r="AE3" s="645"/>
      <c r="AF3" s="646" t="s">
        <v>304</v>
      </c>
      <c r="AG3" s="646" t="s">
        <v>304</v>
      </c>
      <c r="AH3" s="647" t="s">
        <v>304</v>
      </c>
      <c r="AI3" s="647" t="s">
        <v>304</v>
      </c>
      <c r="AJ3" s="291" t="s">
        <v>58</v>
      </c>
      <c r="AK3" s="648" t="s">
        <v>304</v>
      </c>
      <c r="AL3" s="648" t="s">
        <v>304</v>
      </c>
      <c r="AM3" s="649" t="s">
        <v>304</v>
      </c>
      <c r="AN3" s="649" t="s">
        <v>304</v>
      </c>
      <c r="AO3" s="649" t="s">
        <v>305</v>
      </c>
      <c r="AP3" s="574"/>
      <c r="AQ3" s="574"/>
    </row>
    <row r="4" spans="1:43" ht="14.95" thickBot="1" x14ac:dyDescent="0.3">
      <c r="A4" s="919" t="s">
        <v>853</v>
      </c>
      <c r="B4" s="915"/>
      <c r="C4" s="1040" t="s">
        <v>30</v>
      </c>
      <c r="D4" s="1041"/>
      <c r="E4" s="1041"/>
      <c r="F4" s="897">
        <v>48</v>
      </c>
      <c r="G4" s="917" t="s">
        <v>136</v>
      </c>
      <c r="H4" s="916">
        <v>7</v>
      </c>
      <c r="I4" s="1045" t="s">
        <v>32</v>
      </c>
      <c r="J4" s="1045"/>
      <c r="K4" s="1045"/>
      <c r="L4" s="1039" t="s">
        <v>758</v>
      </c>
      <c r="M4" s="1039"/>
      <c r="N4" s="1039"/>
      <c r="O4" s="898"/>
      <c r="P4" s="898"/>
      <c r="R4" s="81" t="s">
        <v>34</v>
      </c>
      <c r="S4" s="635">
        <v>2</v>
      </c>
      <c r="T4" s="636">
        <v>5</v>
      </c>
      <c r="U4" s="637">
        <v>3</v>
      </c>
      <c r="V4" s="638">
        <v>2</v>
      </c>
      <c r="W4" s="639">
        <f t="shared" si="0"/>
        <v>12</v>
      </c>
      <c r="X4" s="640">
        <v>3</v>
      </c>
      <c r="Y4" s="641">
        <v>1</v>
      </c>
      <c r="Z4" s="642">
        <v>2</v>
      </c>
      <c r="AA4" s="643">
        <v>6</v>
      </c>
      <c r="AB4" s="644">
        <f t="shared" si="1"/>
        <v>12</v>
      </c>
      <c r="AC4" s="311">
        <f t="shared" si="2"/>
        <v>24</v>
      </c>
      <c r="AE4" s="153" t="s">
        <v>30</v>
      </c>
      <c r="AF4" s="635"/>
      <c r="AG4" s="636"/>
      <c r="AH4" s="638"/>
      <c r="AI4" s="637">
        <v>1</v>
      </c>
      <c r="AJ4" s="639">
        <f>SUM(AE4:AI4)</f>
        <v>1</v>
      </c>
      <c r="AK4" s="640"/>
      <c r="AL4" s="641"/>
      <c r="AM4" s="642"/>
      <c r="AN4" s="642"/>
      <c r="AO4" s="643">
        <v>1</v>
      </c>
      <c r="AP4" s="644">
        <f t="shared" ref="AP4:AP9" si="3">SUM(AK4:AO4)</f>
        <v>1</v>
      </c>
      <c r="AQ4" s="644">
        <f>SUM(AJ4:AN4)</f>
        <v>1</v>
      </c>
    </row>
    <row r="5" spans="1:43" ht="14.95" thickBot="1" x14ac:dyDescent="0.3">
      <c r="A5" s="919" t="s">
        <v>854</v>
      </c>
      <c r="B5" s="915"/>
      <c r="C5" s="1040" t="s">
        <v>39</v>
      </c>
      <c r="D5" s="1041"/>
      <c r="E5" s="1041"/>
      <c r="F5" s="897">
        <v>20</v>
      </c>
      <c r="G5" s="917" t="s">
        <v>136</v>
      </c>
      <c r="H5" s="916">
        <v>13</v>
      </c>
      <c r="I5" s="897" t="s">
        <v>33</v>
      </c>
      <c r="J5" s="897"/>
      <c r="K5" s="897"/>
      <c r="L5" s="1039" t="s">
        <v>756</v>
      </c>
      <c r="M5" s="1039"/>
      <c r="N5" s="1039"/>
      <c r="O5" s="898"/>
      <c r="P5" s="898"/>
      <c r="R5" s="31" t="s">
        <v>39</v>
      </c>
      <c r="S5" s="635">
        <v>1</v>
      </c>
      <c r="T5" s="636">
        <v>2</v>
      </c>
      <c r="U5" s="637">
        <v>2</v>
      </c>
      <c r="V5" s="638">
        <v>1</v>
      </c>
      <c r="W5" s="639">
        <f t="shared" si="0"/>
        <v>6</v>
      </c>
      <c r="X5" s="640">
        <v>3</v>
      </c>
      <c r="Y5" s="641">
        <v>2</v>
      </c>
      <c r="Z5" s="642">
        <v>3</v>
      </c>
      <c r="AA5" s="643"/>
      <c r="AB5" s="644">
        <f t="shared" si="1"/>
        <v>8</v>
      </c>
      <c r="AC5" s="311">
        <f t="shared" si="2"/>
        <v>14</v>
      </c>
      <c r="AE5" s="81" t="s">
        <v>34</v>
      </c>
      <c r="AF5" s="635"/>
      <c r="AG5" s="636"/>
      <c r="AH5" s="638"/>
      <c r="AI5" s="637">
        <v>1</v>
      </c>
      <c r="AJ5" s="639">
        <f t="shared" ref="AJ5:AJ9" si="4">SUM(AE5:AI5)</f>
        <v>1</v>
      </c>
      <c r="AK5" s="640">
        <v>1</v>
      </c>
      <c r="AL5" s="641"/>
      <c r="AM5" s="642"/>
      <c r="AN5" s="642">
        <v>2</v>
      </c>
      <c r="AO5" s="643"/>
      <c r="AP5" s="644">
        <f t="shared" si="3"/>
        <v>3</v>
      </c>
      <c r="AQ5" s="644">
        <f t="shared" ref="AQ5:AQ9" si="5">SUM(AJ5:AN5)</f>
        <v>4</v>
      </c>
    </row>
    <row r="6" spans="1:43" ht="14.95" thickBot="1" x14ac:dyDescent="0.3">
      <c r="A6" s="919" t="s">
        <v>854</v>
      </c>
      <c r="B6" s="915"/>
      <c r="C6" s="1039" t="s">
        <v>35</v>
      </c>
      <c r="D6" s="1039"/>
      <c r="E6" s="1039"/>
      <c r="F6" s="897">
        <v>31</v>
      </c>
      <c r="G6" s="917" t="s">
        <v>136</v>
      </c>
      <c r="H6" s="916">
        <v>20</v>
      </c>
      <c r="I6" s="897" t="s">
        <v>30</v>
      </c>
      <c r="J6" s="897"/>
      <c r="K6" s="897"/>
      <c r="L6" s="1039" t="s">
        <v>755</v>
      </c>
      <c r="M6" s="1039"/>
      <c r="N6" s="1039"/>
      <c r="O6" s="898"/>
      <c r="P6" s="898"/>
      <c r="R6" s="1016" t="s">
        <v>33</v>
      </c>
      <c r="S6" s="635">
        <v>1</v>
      </c>
      <c r="T6" s="636">
        <v>1</v>
      </c>
      <c r="U6" s="637"/>
      <c r="V6" s="638">
        <v>3</v>
      </c>
      <c r="W6" s="639">
        <f t="shared" si="0"/>
        <v>5</v>
      </c>
      <c r="X6" s="640"/>
      <c r="Y6" s="641"/>
      <c r="Z6" s="642"/>
      <c r="AA6" s="643">
        <v>1</v>
      </c>
      <c r="AB6" s="644">
        <f t="shared" si="1"/>
        <v>1</v>
      </c>
      <c r="AC6" s="311">
        <f t="shared" si="2"/>
        <v>6</v>
      </c>
      <c r="AE6" s="31" t="s">
        <v>39</v>
      </c>
      <c r="AF6" s="635"/>
      <c r="AG6" s="636"/>
      <c r="AH6" s="638"/>
      <c r="AI6" s="637"/>
      <c r="AJ6" s="639">
        <f t="shared" si="4"/>
        <v>0</v>
      </c>
      <c r="AK6" s="640">
        <v>1</v>
      </c>
      <c r="AL6" s="641"/>
      <c r="AM6" s="642">
        <v>1</v>
      </c>
      <c r="AN6" s="642"/>
      <c r="AO6" s="643"/>
      <c r="AP6" s="644">
        <f t="shared" si="3"/>
        <v>2</v>
      </c>
      <c r="AQ6" s="644">
        <f t="shared" si="5"/>
        <v>2</v>
      </c>
    </row>
    <row r="7" spans="1:43" ht="14.95" thickBot="1" x14ac:dyDescent="0.3">
      <c r="A7" s="919" t="s">
        <v>855</v>
      </c>
      <c r="B7" s="915"/>
      <c r="C7" s="1040" t="s">
        <v>32</v>
      </c>
      <c r="D7" s="1041"/>
      <c r="E7" s="1041"/>
      <c r="F7" s="897">
        <v>12</v>
      </c>
      <c r="G7" s="917" t="s">
        <v>136</v>
      </c>
      <c r="H7" s="916">
        <v>54</v>
      </c>
      <c r="I7" s="897" t="s">
        <v>34</v>
      </c>
      <c r="J7" s="897"/>
      <c r="K7" s="897"/>
      <c r="L7" s="1039" t="s">
        <v>759</v>
      </c>
      <c r="M7" s="1039"/>
      <c r="N7" s="1039"/>
      <c r="O7" s="898"/>
      <c r="P7" s="898"/>
      <c r="R7" s="81" t="s">
        <v>35</v>
      </c>
      <c r="S7" s="635">
        <v>2</v>
      </c>
      <c r="T7" s="636">
        <v>2</v>
      </c>
      <c r="U7" s="637">
        <v>3</v>
      </c>
      <c r="V7" s="638">
        <v>1</v>
      </c>
      <c r="W7" s="639">
        <f t="shared" si="0"/>
        <v>8</v>
      </c>
      <c r="X7" s="640">
        <v>1</v>
      </c>
      <c r="Y7" s="641">
        <v>5</v>
      </c>
      <c r="Z7" s="642">
        <v>2</v>
      </c>
      <c r="AA7" s="643">
        <v>1</v>
      </c>
      <c r="AB7" s="644">
        <f t="shared" si="1"/>
        <v>9</v>
      </c>
      <c r="AC7" s="311">
        <f t="shared" si="2"/>
        <v>17</v>
      </c>
      <c r="AE7" s="1016" t="s">
        <v>33</v>
      </c>
      <c r="AF7" s="635"/>
      <c r="AG7" s="636"/>
      <c r="AH7" s="638"/>
      <c r="AI7" s="637"/>
      <c r="AJ7" s="639">
        <f t="shared" si="4"/>
        <v>0</v>
      </c>
      <c r="AK7" s="640"/>
      <c r="AL7" s="641"/>
      <c r="AM7" s="642"/>
      <c r="AN7" s="642"/>
      <c r="AO7" s="643">
        <v>1</v>
      </c>
      <c r="AP7" s="644">
        <f t="shared" si="3"/>
        <v>1</v>
      </c>
      <c r="AQ7" s="644">
        <f t="shared" si="5"/>
        <v>0</v>
      </c>
    </row>
    <row r="8" spans="1:43" ht="14.95" thickBot="1" x14ac:dyDescent="0.3">
      <c r="A8" s="919" t="s">
        <v>856</v>
      </c>
      <c r="B8" s="915"/>
      <c r="C8" s="1040" t="s">
        <v>30</v>
      </c>
      <c r="D8" s="1041"/>
      <c r="E8" s="1041"/>
      <c r="F8" s="897">
        <v>21</v>
      </c>
      <c r="G8" s="917" t="s">
        <v>136</v>
      </c>
      <c r="H8" s="916">
        <v>42</v>
      </c>
      <c r="I8" s="897" t="s">
        <v>39</v>
      </c>
      <c r="J8" s="897"/>
      <c r="K8" s="897"/>
      <c r="L8" s="1039" t="s">
        <v>758</v>
      </c>
      <c r="M8" s="1039"/>
      <c r="N8" s="1039"/>
      <c r="O8" s="898"/>
      <c r="P8" s="898"/>
      <c r="Q8" s="121" t="s">
        <v>58</v>
      </c>
      <c r="R8" s="8" t="s">
        <v>32</v>
      </c>
      <c r="S8" s="635">
        <v>1</v>
      </c>
      <c r="T8" s="636">
        <v>2</v>
      </c>
      <c r="U8" s="637"/>
      <c r="V8" s="638">
        <v>1</v>
      </c>
      <c r="W8" s="639">
        <f t="shared" si="0"/>
        <v>4</v>
      </c>
      <c r="X8" s="640"/>
      <c r="Y8" s="641">
        <v>1</v>
      </c>
      <c r="Z8" s="642">
        <v>1</v>
      </c>
      <c r="AA8" s="643">
        <v>1</v>
      </c>
      <c r="AB8" s="669">
        <f t="shared" si="1"/>
        <v>3</v>
      </c>
      <c r="AC8" s="509">
        <f t="shared" si="2"/>
        <v>7</v>
      </c>
      <c r="AE8" s="81" t="s">
        <v>35</v>
      </c>
      <c r="AF8" s="635"/>
      <c r="AG8" s="636"/>
      <c r="AH8" s="638"/>
      <c r="AI8" s="637"/>
      <c r="AJ8" s="639">
        <f t="shared" si="4"/>
        <v>0</v>
      </c>
      <c r="AK8" s="640">
        <v>1</v>
      </c>
      <c r="AL8" s="641">
        <v>1</v>
      </c>
      <c r="AM8" s="642"/>
      <c r="AN8" s="642">
        <v>1</v>
      </c>
      <c r="AO8" s="643">
        <v>1</v>
      </c>
      <c r="AP8" s="644">
        <f t="shared" si="3"/>
        <v>4</v>
      </c>
      <c r="AQ8" s="644">
        <f t="shared" si="5"/>
        <v>3</v>
      </c>
    </row>
    <row r="9" spans="1:43" ht="14.95" thickBot="1" x14ac:dyDescent="0.3">
      <c r="A9" s="919" t="s">
        <v>856</v>
      </c>
      <c r="B9" s="915"/>
      <c r="C9" s="1039" t="s">
        <v>32</v>
      </c>
      <c r="D9" s="1039"/>
      <c r="E9" s="1039"/>
      <c r="F9" s="897">
        <v>23</v>
      </c>
      <c r="G9" s="917" t="s">
        <v>136</v>
      </c>
      <c r="H9" s="916">
        <v>26</v>
      </c>
      <c r="I9" s="897" t="s">
        <v>35</v>
      </c>
      <c r="J9" s="897"/>
      <c r="K9" s="897"/>
      <c r="L9" s="1039" t="s">
        <v>759</v>
      </c>
      <c r="M9" s="1039"/>
      <c r="N9" s="1039"/>
      <c r="O9" s="898"/>
      <c r="P9" s="898"/>
      <c r="AC9" s="239">
        <f>SUM(AC3:AC8)</f>
        <v>82</v>
      </c>
      <c r="AE9" s="8" t="s">
        <v>32</v>
      </c>
      <c r="AF9" s="635"/>
      <c r="AG9" s="636"/>
      <c r="AH9" s="638"/>
      <c r="AI9" s="637"/>
      <c r="AJ9" s="639">
        <f t="shared" si="4"/>
        <v>0</v>
      </c>
      <c r="AK9" s="640"/>
      <c r="AL9" s="641"/>
      <c r="AM9" s="642"/>
      <c r="AN9" s="642"/>
      <c r="AO9" s="643">
        <v>1</v>
      </c>
      <c r="AP9" s="644">
        <f t="shared" si="3"/>
        <v>1</v>
      </c>
      <c r="AQ9" s="644">
        <f t="shared" si="5"/>
        <v>0</v>
      </c>
    </row>
    <row r="10" spans="1:43" ht="15.8" customHeight="1" thickBot="1" x14ac:dyDescent="0.3">
      <c r="A10" s="919" t="s">
        <v>575</v>
      </c>
      <c r="B10" s="915"/>
      <c r="C10" s="1040" t="s">
        <v>34</v>
      </c>
      <c r="D10" s="1041"/>
      <c r="E10" s="1041"/>
      <c r="F10" s="897">
        <v>33</v>
      </c>
      <c r="G10" s="917" t="s">
        <v>136</v>
      </c>
      <c r="H10" s="916">
        <v>8</v>
      </c>
      <c r="I10" s="897" t="s">
        <v>33</v>
      </c>
      <c r="J10" s="897"/>
      <c r="K10" s="897"/>
      <c r="L10" s="1039" t="s">
        <v>857</v>
      </c>
      <c r="M10" s="1039"/>
      <c r="N10" s="1039"/>
      <c r="O10" s="898"/>
      <c r="P10" s="898"/>
      <c r="R10" s="897" t="s">
        <v>306</v>
      </c>
      <c r="S10" s="898"/>
      <c r="T10" s="898"/>
      <c r="U10" s="898"/>
      <c r="V10" s="898"/>
      <c r="W10" s="898"/>
      <c r="X10" s="898"/>
      <c r="Y10" s="898"/>
      <c r="Z10" s="898"/>
      <c r="AA10" s="898"/>
      <c r="AB10" s="898"/>
      <c r="AC10" s="376"/>
      <c r="AO10">
        <f>SUM(AO4:AO9)</f>
        <v>4</v>
      </c>
      <c r="AQ10" s="239">
        <f>SUM(AQ4:AQ9)</f>
        <v>10</v>
      </c>
    </row>
    <row r="11" spans="1:43" ht="15.8" customHeight="1" thickBot="1" x14ac:dyDescent="0.3">
      <c r="A11" s="919" t="s">
        <v>858</v>
      </c>
      <c r="B11" s="915"/>
      <c r="C11" s="1040" t="s">
        <v>39</v>
      </c>
      <c r="D11" s="1041"/>
      <c r="E11" s="1041"/>
      <c r="F11" s="897">
        <v>27</v>
      </c>
      <c r="G11" s="917" t="s">
        <v>136</v>
      </c>
      <c r="H11" s="916">
        <v>17</v>
      </c>
      <c r="I11" s="897" t="s">
        <v>32</v>
      </c>
      <c r="J11" s="897"/>
      <c r="K11" s="897"/>
      <c r="L11" s="1039" t="s">
        <v>756</v>
      </c>
      <c r="M11" s="1039"/>
      <c r="N11" s="1039"/>
      <c r="O11" s="898"/>
      <c r="P11" s="898"/>
      <c r="R11" s="626"/>
      <c r="S11" s="627" t="s">
        <v>220</v>
      </c>
      <c r="T11" s="634" t="s">
        <v>293</v>
      </c>
      <c r="U11" s="630" t="s">
        <v>294</v>
      </c>
      <c r="V11" s="630" t="s">
        <v>295</v>
      </c>
      <c r="W11" s="631" t="s">
        <v>296</v>
      </c>
      <c r="X11" s="632" t="s">
        <v>297</v>
      </c>
      <c r="Y11" s="632" t="s">
        <v>298</v>
      </c>
      <c r="Z11" s="633" t="s">
        <v>299</v>
      </c>
      <c r="AA11" s="633" t="s">
        <v>300</v>
      </c>
      <c r="AB11" s="667" t="s">
        <v>301</v>
      </c>
      <c r="AC11" s="668" t="s">
        <v>302</v>
      </c>
      <c r="AE11" s="897" t="s">
        <v>307</v>
      </c>
      <c r="AF11" s="898"/>
      <c r="AG11" s="898"/>
      <c r="AH11" s="898"/>
      <c r="AI11" s="898"/>
      <c r="AJ11" s="376"/>
      <c r="AK11" s="376"/>
      <c r="AL11" s="376"/>
      <c r="AM11" s="376"/>
      <c r="AN11" s="376"/>
      <c r="AO11" s="376"/>
      <c r="AP11" s="376"/>
      <c r="AQ11" s="376"/>
    </row>
    <row r="12" spans="1:43" ht="15.8" customHeight="1" thickBot="1" x14ac:dyDescent="0.3">
      <c r="A12" s="919" t="s">
        <v>859</v>
      </c>
      <c r="B12" s="915"/>
      <c r="C12" s="1039" t="s">
        <v>35</v>
      </c>
      <c r="D12" s="1039"/>
      <c r="E12" s="1039"/>
      <c r="F12" s="897">
        <v>50</v>
      </c>
      <c r="G12" s="917" t="s">
        <v>136</v>
      </c>
      <c r="H12" s="916">
        <v>40</v>
      </c>
      <c r="I12" s="897" t="s">
        <v>34</v>
      </c>
      <c r="J12" s="897"/>
      <c r="K12" s="897"/>
      <c r="L12" s="1039" t="s">
        <v>755</v>
      </c>
      <c r="M12" s="1039"/>
      <c r="N12" s="1039"/>
      <c r="O12" s="898"/>
      <c r="P12" s="898"/>
      <c r="R12" s="153" t="s">
        <v>30</v>
      </c>
      <c r="S12" s="635">
        <v>1</v>
      </c>
      <c r="T12" s="636">
        <v>2</v>
      </c>
      <c r="U12" s="638">
        <v>3</v>
      </c>
      <c r="V12" s="637">
        <v>1</v>
      </c>
      <c r="W12" s="639">
        <f t="shared" ref="W12:W17" si="6">SUM(S12:V12)</f>
        <v>7</v>
      </c>
      <c r="X12" s="640">
        <v>1</v>
      </c>
      <c r="Y12" s="641">
        <v>1</v>
      </c>
      <c r="Z12" s="642">
        <v>1</v>
      </c>
      <c r="AA12" s="643">
        <v>2</v>
      </c>
      <c r="AB12" s="644">
        <f t="shared" ref="AB12:AB17" si="7">SUM(X12:AA12)</f>
        <v>5</v>
      </c>
      <c r="AC12" s="311">
        <f>SUM(W12+AB12)</f>
        <v>12</v>
      </c>
      <c r="AE12" s="626"/>
      <c r="AF12" s="634" t="s">
        <v>220</v>
      </c>
      <c r="AG12" s="628" t="s">
        <v>293</v>
      </c>
      <c r="AH12" s="630" t="s">
        <v>294</v>
      </c>
      <c r="AI12" s="630" t="s">
        <v>295</v>
      </c>
      <c r="AJ12" s="631" t="s">
        <v>296</v>
      </c>
      <c r="AK12" s="937" t="s">
        <v>297</v>
      </c>
      <c r="AL12" s="632" t="s">
        <v>298</v>
      </c>
      <c r="AM12" s="633" t="s">
        <v>299</v>
      </c>
      <c r="AN12" s="1051" t="s">
        <v>300</v>
      </c>
      <c r="AO12" s="1052"/>
      <c r="AP12" s="574" t="s">
        <v>301</v>
      </c>
      <c r="AQ12" s="574" t="s">
        <v>303</v>
      </c>
    </row>
    <row r="13" spans="1:43" ht="15.8" customHeight="1" thickBot="1" x14ac:dyDescent="0.3">
      <c r="A13" s="919" t="s">
        <v>859</v>
      </c>
      <c r="B13" s="915"/>
      <c r="C13" s="1040" t="s">
        <v>33</v>
      </c>
      <c r="D13" s="1041"/>
      <c r="E13" s="1041"/>
      <c r="F13" s="897"/>
      <c r="G13" s="917" t="s">
        <v>136</v>
      </c>
      <c r="H13" s="916"/>
      <c r="I13" s="897" t="s">
        <v>30</v>
      </c>
      <c r="J13" s="897"/>
      <c r="K13" s="897"/>
      <c r="L13" s="1039" t="s">
        <v>757</v>
      </c>
      <c r="M13" s="1039"/>
      <c r="N13" s="1039"/>
      <c r="O13" s="898"/>
      <c r="P13" s="898"/>
      <c r="R13" s="81" t="s">
        <v>34</v>
      </c>
      <c r="S13" s="635">
        <v>1</v>
      </c>
      <c r="T13" s="636">
        <v>1</v>
      </c>
      <c r="U13" s="638">
        <v>1</v>
      </c>
      <c r="V13" s="637">
        <v>2</v>
      </c>
      <c r="W13" s="639">
        <f t="shared" si="6"/>
        <v>5</v>
      </c>
      <c r="X13" s="640">
        <v>1</v>
      </c>
      <c r="Y13" s="641">
        <v>3</v>
      </c>
      <c r="Z13" s="642">
        <v>2</v>
      </c>
      <c r="AA13" s="643">
        <v>1</v>
      </c>
      <c r="AB13" s="644">
        <f t="shared" si="7"/>
        <v>7</v>
      </c>
      <c r="AC13" s="311">
        <f t="shared" ref="AC13:AC17" si="8">SUM(W13+AB13)</f>
        <v>12</v>
      </c>
      <c r="AE13" s="645"/>
      <c r="AF13" s="646" t="s">
        <v>304</v>
      </c>
      <c r="AG13" s="646" t="s">
        <v>304</v>
      </c>
      <c r="AH13" s="647" t="s">
        <v>304</v>
      </c>
      <c r="AI13" s="647" t="s">
        <v>304</v>
      </c>
      <c r="AJ13" s="291" t="s">
        <v>58</v>
      </c>
      <c r="AK13" s="648" t="s">
        <v>304</v>
      </c>
      <c r="AL13" s="648" t="s">
        <v>304</v>
      </c>
      <c r="AM13" s="649" t="s">
        <v>304</v>
      </c>
      <c r="AN13" s="649" t="s">
        <v>304</v>
      </c>
      <c r="AO13" s="649" t="s">
        <v>305</v>
      </c>
      <c r="AP13" s="574"/>
      <c r="AQ13" s="574"/>
    </row>
    <row r="14" spans="1:43" ht="15.8" customHeight="1" thickBot="1" x14ac:dyDescent="0.3">
      <c r="A14" s="919" t="s">
        <v>860</v>
      </c>
      <c r="B14" s="915"/>
      <c r="C14" s="1040" t="s">
        <v>39</v>
      </c>
      <c r="D14" s="1041"/>
      <c r="E14" s="1041"/>
      <c r="F14" s="897"/>
      <c r="G14" s="917" t="s">
        <v>850</v>
      </c>
      <c r="H14" s="916"/>
      <c r="I14" s="897" t="s">
        <v>35</v>
      </c>
      <c r="J14" s="897"/>
      <c r="K14" s="897"/>
      <c r="L14" s="1039" t="s">
        <v>756</v>
      </c>
      <c r="M14" s="1039"/>
      <c r="N14" s="1039"/>
      <c r="O14" s="898"/>
      <c r="P14" s="898"/>
      <c r="R14" s="31" t="s">
        <v>39</v>
      </c>
      <c r="S14" s="635"/>
      <c r="T14" s="636">
        <v>1</v>
      </c>
      <c r="U14" s="638">
        <v>1</v>
      </c>
      <c r="V14" s="637">
        <v>4</v>
      </c>
      <c r="W14" s="639">
        <f t="shared" si="6"/>
        <v>6</v>
      </c>
      <c r="X14" s="640">
        <v>1</v>
      </c>
      <c r="Y14" s="641">
        <v>1</v>
      </c>
      <c r="Z14" s="642">
        <v>1</v>
      </c>
      <c r="AA14" s="643">
        <v>2</v>
      </c>
      <c r="AB14" s="644">
        <f t="shared" si="7"/>
        <v>5</v>
      </c>
      <c r="AC14" s="311">
        <f t="shared" si="8"/>
        <v>11</v>
      </c>
      <c r="AE14" s="153" t="s">
        <v>30</v>
      </c>
      <c r="AF14" s="635"/>
      <c r="AG14" s="636"/>
      <c r="AH14" s="638"/>
      <c r="AI14" s="637"/>
      <c r="AJ14" s="639">
        <f t="shared" ref="AJ14:AJ19" si="9">SUM(AE14:AI14)</f>
        <v>0</v>
      </c>
      <c r="AK14" s="640">
        <v>1</v>
      </c>
      <c r="AL14" s="641">
        <v>1</v>
      </c>
      <c r="AM14" s="642"/>
      <c r="AN14" s="642"/>
      <c r="AO14" s="643"/>
      <c r="AP14" s="644">
        <f t="shared" ref="AP14:AP19" si="10">SUM(AK14:AO14)</f>
        <v>2</v>
      </c>
      <c r="AQ14" s="644">
        <f t="shared" ref="AQ14:AQ19" si="11">SUM(AJ14:AN14)</f>
        <v>2</v>
      </c>
    </row>
    <row r="15" spans="1:43" ht="15.8" customHeight="1" thickBot="1" x14ac:dyDescent="0.3">
      <c r="A15" s="919" t="s">
        <v>860</v>
      </c>
      <c r="B15" s="915"/>
      <c r="C15" s="1039" t="s">
        <v>32</v>
      </c>
      <c r="D15" s="1039"/>
      <c r="E15" s="1039"/>
      <c r="F15" s="897"/>
      <c r="G15" s="917" t="s">
        <v>850</v>
      </c>
      <c r="H15" s="916"/>
      <c r="I15" s="897" t="s">
        <v>33</v>
      </c>
      <c r="J15" s="897"/>
      <c r="K15" s="897"/>
      <c r="L15" s="1039" t="s">
        <v>759</v>
      </c>
      <c r="M15" s="1039"/>
      <c r="N15" s="1039"/>
      <c r="O15" s="898"/>
      <c r="P15" s="898"/>
      <c r="R15" s="1016" t="s">
        <v>33</v>
      </c>
      <c r="S15" s="635">
        <v>1</v>
      </c>
      <c r="T15" s="636">
        <v>2</v>
      </c>
      <c r="U15" s="638">
        <v>3</v>
      </c>
      <c r="V15" s="637">
        <v>1</v>
      </c>
      <c r="W15" s="639">
        <f t="shared" si="6"/>
        <v>7</v>
      </c>
      <c r="X15" s="640">
        <v>1</v>
      </c>
      <c r="Y15" s="641">
        <v>1</v>
      </c>
      <c r="Z15" s="642">
        <v>1</v>
      </c>
      <c r="AA15" s="643">
        <v>2</v>
      </c>
      <c r="AB15" s="644">
        <f t="shared" si="7"/>
        <v>5</v>
      </c>
      <c r="AC15" s="311">
        <f t="shared" si="8"/>
        <v>12</v>
      </c>
      <c r="AE15" s="81" t="s">
        <v>34</v>
      </c>
      <c r="AF15" s="635"/>
      <c r="AG15" s="636"/>
      <c r="AH15" s="638"/>
      <c r="AI15" s="637"/>
      <c r="AJ15" s="639">
        <f t="shared" si="9"/>
        <v>0</v>
      </c>
      <c r="AK15" s="640">
        <v>1</v>
      </c>
      <c r="AL15" s="641"/>
      <c r="AM15" s="642"/>
      <c r="AN15" s="642"/>
      <c r="AO15" s="643"/>
      <c r="AP15" s="644">
        <f t="shared" si="10"/>
        <v>1</v>
      </c>
      <c r="AQ15" s="644">
        <f t="shared" si="11"/>
        <v>1</v>
      </c>
    </row>
    <row r="16" spans="1:43" ht="15.8" customHeight="1" thickBot="1" x14ac:dyDescent="0.3">
      <c r="A16" s="919" t="s">
        <v>860</v>
      </c>
      <c r="B16" s="915"/>
      <c r="C16" s="1040" t="s">
        <v>34</v>
      </c>
      <c r="D16" s="1041"/>
      <c r="E16" s="1041"/>
      <c r="F16" s="897"/>
      <c r="G16" s="917" t="s">
        <v>850</v>
      </c>
      <c r="H16" s="916"/>
      <c r="I16" s="897" t="s">
        <v>30</v>
      </c>
      <c r="J16" s="897"/>
      <c r="K16" s="897"/>
      <c r="L16" s="1040" t="s">
        <v>754</v>
      </c>
      <c r="M16" s="1040"/>
      <c r="N16" s="1040"/>
      <c r="O16" s="898"/>
      <c r="P16" s="898"/>
      <c r="R16" s="81" t="s">
        <v>35</v>
      </c>
      <c r="S16" s="635">
        <v>2</v>
      </c>
      <c r="T16" s="636">
        <v>3</v>
      </c>
      <c r="U16" s="638">
        <v>2</v>
      </c>
      <c r="V16" s="637"/>
      <c r="W16" s="639">
        <f t="shared" si="6"/>
        <v>7</v>
      </c>
      <c r="X16" s="640"/>
      <c r="Y16" s="641"/>
      <c r="Z16" s="642">
        <v>1</v>
      </c>
      <c r="AA16" s="643">
        <v>4</v>
      </c>
      <c r="AB16" s="644">
        <f t="shared" si="7"/>
        <v>5</v>
      </c>
      <c r="AC16" s="311">
        <f t="shared" si="8"/>
        <v>12</v>
      </c>
      <c r="AE16" s="31" t="s">
        <v>39</v>
      </c>
      <c r="AF16" s="635"/>
      <c r="AG16" s="636"/>
      <c r="AH16" s="638"/>
      <c r="AI16" s="637"/>
      <c r="AJ16" s="639">
        <f t="shared" si="9"/>
        <v>0</v>
      </c>
      <c r="AK16" s="640">
        <v>1</v>
      </c>
      <c r="AL16" s="641"/>
      <c r="AM16" s="642"/>
      <c r="AN16" s="642"/>
      <c r="AO16" s="643">
        <v>1</v>
      </c>
      <c r="AP16" s="644">
        <f t="shared" si="10"/>
        <v>2</v>
      </c>
      <c r="AQ16" s="644">
        <f t="shared" si="11"/>
        <v>1</v>
      </c>
    </row>
    <row r="17" spans="1:43" ht="14.95" thickBot="1" x14ac:dyDescent="0.3">
      <c r="R17" s="8" t="s">
        <v>32</v>
      </c>
      <c r="S17" s="635">
        <v>3</v>
      </c>
      <c r="T17" s="636">
        <v>4</v>
      </c>
      <c r="U17" s="638">
        <v>1</v>
      </c>
      <c r="V17" s="637">
        <v>3</v>
      </c>
      <c r="W17" s="639">
        <f t="shared" si="6"/>
        <v>11</v>
      </c>
      <c r="X17" s="640">
        <v>4</v>
      </c>
      <c r="Y17" s="641">
        <v>3</v>
      </c>
      <c r="Z17" s="642">
        <v>3</v>
      </c>
      <c r="AA17" s="643">
        <v>2</v>
      </c>
      <c r="AB17" s="669">
        <f t="shared" si="7"/>
        <v>12</v>
      </c>
      <c r="AC17" s="509">
        <f t="shared" si="8"/>
        <v>23</v>
      </c>
      <c r="AE17" s="1016" t="s">
        <v>33</v>
      </c>
      <c r="AF17" s="635"/>
      <c r="AG17" s="636"/>
      <c r="AH17" s="638"/>
      <c r="AI17" s="637"/>
      <c r="AJ17" s="639">
        <f t="shared" si="9"/>
        <v>0</v>
      </c>
      <c r="AK17" s="640"/>
      <c r="AL17" s="641"/>
      <c r="AM17" s="642"/>
      <c r="AN17" s="642">
        <v>1</v>
      </c>
      <c r="AO17" s="643">
        <v>2</v>
      </c>
      <c r="AP17" s="644">
        <f t="shared" si="10"/>
        <v>3</v>
      </c>
      <c r="AQ17" s="644">
        <f t="shared" si="11"/>
        <v>1</v>
      </c>
    </row>
    <row r="18" spans="1:43" ht="14.95" customHeight="1" thickBot="1" x14ac:dyDescent="0.3">
      <c r="A18" s="154" t="s">
        <v>47</v>
      </c>
      <c r="B18" s="155" t="s">
        <v>48</v>
      </c>
      <c r="C18" s="113"/>
      <c r="D18" s="113" t="s">
        <v>0</v>
      </c>
      <c r="E18" s="114" t="s">
        <v>1</v>
      </c>
      <c r="F18" s="113" t="s">
        <v>2</v>
      </c>
      <c r="G18" s="113" t="s">
        <v>3</v>
      </c>
      <c r="H18" s="113" t="s">
        <v>4</v>
      </c>
      <c r="I18" s="113" t="s">
        <v>5</v>
      </c>
      <c r="J18" s="114" t="s">
        <v>49</v>
      </c>
      <c r="K18" s="113" t="s">
        <v>21</v>
      </c>
      <c r="L18" s="113" t="s">
        <v>22</v>
      </c>
      <c r="M18" s="113" t="s">
        <v>64</v>
      </c>
      <c r="N18" s="113" t="s">
        <v>52</v>
      </c>
      <c r="O18" s="113" t="s">
        <v>53</v>
      </c>
      <c r="P18" s="114" t="s">
        <v>50</v>
      </c>
      <c r="R18" s="650"/>
      <c r="AC18" s="239">
        <f>SUM(AC12:AC17)</f>
        <v>82</v>
      </c>
      <c r="AE18" s="81" t="s">
        <v>35</v>
      </c>
      <c r="AF18" s="635"/>
      <c r="AG18" s="636"/>
      <c r="AH18" s="638"/>
      <c r="AI18" s="637"/>
      <c r="AJ18" s="639">
        <f t="shared" si="9"/>
        <v>0</v>
      </c>
      <c r="AK18" s="640"/>
      <c r="AL18" s="641"/>
      <c r="AM18" s="642"/>
      <c r="AN18" s="642">
        <v>1</v>
      </c>
      <c r="AO18" s="643">
        <v>1</v>
      </c>
      <c r="AP18" s="644">
        <f t="shared" si="10"/>
        <v>2</v>
      </c>
      <c r="AQ18" s="644">
        <f t="shared" si="11"/>
        <v>1</v>
      </c>
    </row>
    <row r="19" spans="1:43" ht="14.95" thickBot="1" x14ac:dyDescent="0.3">
      <c r="A19" s="156">
        <v>1</v>
      </c>
      <c r="B19" s="198" t="s">
        <v>51</v>
      </c>
      <c r="C19" s="123" t="s">
        <v>34</v>
      </c>
      <c r="D19" s="118">
        <f>Franceplayed</f>
        <v>4</v>
      </c>
      <c r="E19" s="117">
        <f>Francewon</f>
        <v>3</v>
      </c>
      <c r="F19" s="118">
        <f>Francedrawn</f>
        <v>0</v>
      </c>
      <c r="G19" s="118">
        <f>Francelost</f>
        <v>1</v>
      </c>
      <c r="H19" s="118">
        <f>Franceptsscored</f>
        <v>163</v>
      </c>
      <c r="I19" s="118">
        <f>Franceptsagainst</f>
        <v>84</v>
      </c>
      <c r="J19" s="117">
        <f>SUM(H19-I19)</f>
        <v>79</v>
      </c>
      <c r="K19" s="118">
        <f>Francetrybonus</f>
        <v>4</v>
      </c>
      <c r="L19" s="118">
        <f>Francelosingbonus</f>
        <v>0</v>
      </c>
      <c r="M19" s="118">
        <v>0</v>
      </c>
      <c r="N19" s="118">
        <f>Francetriesscored</f>
        <v>24</v>
      </c>
      <c r="O19" s="118">
        <f>Francetriesagainst</f>
        <v>12</v>
      </c>
      <c r="P19" s="117">
        <f>SUM(E19*4)+(F19*2)+K19+L19+M19</f>
        <v>16</v>
      </c>
      <c r="R19" s="897" t="s">
        <v>308</v>
      </c>
      <c r="S19" s="898"/>
      <c r="T19" s="898"/>
      <c r="U19" s="898"/>
      <c r="V19" s="898"/>
      <c r="W19" s="898"/>
      <c r="X19" s="898"/>
      <c r="Y19" s="898"/>
      <c r="Z19" s="897"/>
      <c r="AA19" s="898"/>
      <c r="AB19" s="898"/>
      <c r="AC19" s="14"/>
      <c r="AE19" s="8" t="s">
        <v>32</v>
      </c>
      <c r="AF19" s="635"/>
      <c r="AG19" s="636"/>
      <c r="AH19" s="638"/>
      <c r="AI19" s="637">
        <v>2</v>
      </c>
      <c r="AJ19" s="639">
        <f t="shared" si="9"/>
        <v>2</v>
      </c>
      <c r="AK19" s="640"/>
      <c r="AL19" s="641"/>
      <c r="AM19" s="642">
        <v>1</v>
      </c>
      <c r="AN19" s="642">
        <v>1</v>
      </c>
      <c r="AO19" s="643"/>
      <c r="AP19" s="644">
        <f t="shared" si="10"/>
        <v>2</v>
      </c>
      <c r="AQ19" s="644">
        <f t="shared" si="11"/>
        <v>4</v>
      </c>
    </row>
    <row r="20" spans="1:43" ht="14.95" customHeight="1" thickBot="1" x14ac:dyDescent="0.3">
      <c r="A20" s="156">
        <v>2</v>
      </c>
      <c r="B20" s="198" t="s">
        <v>51</v>
      </c>
      <c r="C20" s="123" t="s">
        <v>35</v>
      </c>
      <c r="D20" s="118">
        <f>Scotlandplayed</f>
        <v>4</v>
      </c>
      <c r="E20" s="117">
        <f>Scotlandwon</f>
        <v>3</v>
      </c>
      <c r="F20" s="118">
        <f>Scotlanddrawn</f>
        <v>0</v>
      </c>
      <c r="G20" s="118">
        <f>Scotlandlost</f>
        <v>1</v>
      </c>
      <c r="H20" s="118">
        <f>Scotlandptsscored</f>
        <v>122</v>
      </c>
      <c r="I20" s="118">
        <f>Scotlandptsagainst</f>
        <v>101</v>
      </c>
      <c r="J20" s="117">
        <f>SUM(H20-I20)</f>
        <v>21</v>
      </c>
      <c r="K20" s="118">
        <f>Scotlandtrybonus</f>
        <v>3</v>
      </c>
      <c r="L20" s="118">
        <f>Scotlandlosingbonus</f>
        <v>1</v>
      </c>
      <c r="M20" s="118">
        <v>0</v>
      </c>
      <c r="N20" s="118">
        <f>Scotlandtriesscored</f>
        <v>17</v>
      </c>
      <c r="O20" s="118">
        <f>Scotlandtriesagainst</f>
        <v>12</v>
      </c>
      <c r="P20" s="117">
        <f>SUM(E20*4)+(F20*2)+K20+L20+M20</f>
        <v>16</v>
      </c>
      <c r="R20" s="626"/>
      <c r="S20" s="651" t="s">
        <v>297</v>
      </c>
      <c r="T20" s="651" t="s">
        <v>298</v>
      </c>
      <c r="U20" s="652" t="s">
        <v>299</v>
      </c>
      <c r="V20" s="652" t="s">
        <v>300</v>
      </c>
      <c r="W20" s="347" t="s">
        <v>309</v>
      </c>
      <c r="X20" s="653"/>
      <c r="Y20" s="405"/>
      <c r="AE20" s="650"/>
      <c r="AO20">
        <f>SUM(AO14:AO19)</f>
        <v>4</v>
      </c>
      <c r="AQ20" s="239">
        <f>SUM(AQ14:AQ19)</f>
        <v>10</v>
      </c>
    </row>
    <row r="21" spans="1:43" ht="14.95" thickBot="1" x14ac:dyDescent="0.3">
      <c r="A21" s="156">
        <v>3</v>
      </c>
      <c r="B21" s="198" t="s">
        <v>51</v>
      </c>
      <c r="C21" s="124" t="s">
        <v>39</v>
      </c>
      <c r="D21" s="118">
        <f>Irelandplayed</f>
        <v>4</v>
      </c>
      <c r="E21" s="117">
        <f>Irelandwon</f>
        <v>3</v>
      </c>
      <c r="F21" s="118">
        <f>Irelanddrawn</f>
        <v>0</v>
      </c>
      <c r="G21" s="118">
        <f>Irelandlost</f>
        <v>1</v>
      </c>
      <c r="H21" s="118">
        <f>Irelandptsscored</f>
        <v>103</v>
      </c>
      <c r="I21" s="118">
        <f>Irelandptsagainst</f>
        <v>87</v>
      </c>
      <c r="J21" s="117">
        <f>SUM(H21-I21)</f>
        <v>16</v>
      </c>
      <c r="K21" s="118">
        <f>Irelandtrybonus</f>
        <v>2</v>
      </c>
      <c r="L21" s="118">
        <f>Irelandlosingbonus</f>
        <v>0</v>
      </c>
      <c r="M21" s="118">
        <v>0</v>
      </c>
      <c r="N21" s="118">
        <f>Irelandtriesscored</f>
        <v>14</v>
      </c>
      <c r="O21" s="118">
        <f>Irelandtriesagainst</f>
        <v>11</v>
      </c>
      <c r="P21" s="117">
        <f>SUM(E21*4)+(F21*2)+K21+L21+M21</f>
        <v>14</v>
      </c>
      <c r="R21" s="153" t="s">
        <v>30</v>
      </c>
      <c r="S21" s="635"/>
      <c r="T21" s="636"/>
      <c r="U21" s="638"/>
      <c r="V21" s="637">
        <v>1</v>
      </c>
      <c r="W21" s="654">
        <f>SUM(S21:V21)</f>
        <v>1</v>
      </c>
      <c r="X21" s="120"/>
      <c r="Y21" s="655"/>
      <c r="AE21" s="897" t="s">
        <v>863</v>
      </c>
      <c r="AF21" s="898"/>
      <c r="AG21" s="898"/>
      <c r="AH21" s="898"/>
      <c r="AI21" s="14"/>
      <c r="AJ21" s="14"/>
      <c r="AK21" s="897" t="s">
        <v>862</v>
      </c>
      <c r="AL21" s="898"/>
      <c r="AM21" s="898"/>
      <c r="AN21" s="898"/>
      <c r="AO21" s="14"/>
      <c r="AP21" s="14"/>
    </row>
    <row r="22" spans="1:43" ht="14.95" thickBot="1" x14ac:dyDescent="0.3">
      <c r="A22" s="156">
        <v>4</v>
      </c>
      <c r="B22" s="521" t="s">
        <v>954</v>
      </c>
      <c r="C22" s="1027" t="s">
        <v>33</v>
      </c>
      <c r="D22" s="118">
        <f>Italyplayed</f>
        <v>4</v>
      </c>
      <c r="E22" s="117">
        <f>Italywon</f>
        <v>2</v>
      </c>
      <c r="F22" s="118">
        <f>Italydrawn</f>
        <v>0</v>
      </c>
      <c r="G22" s="118">
        <f>Italylost</f>
        <v>2</v>
      </c>
      <c r="H22" s="118">
        <f>Italyptsscored</f>
        <v>62</v>
      </c>
      <c r="I22" s="118">
        <f>Italyptsagainst</f>
        <v>86</v>
      </c>
      <c r="J22" s="117">
        <f>SUM(H22-I22)</f>
        <v>-24</v>
      </c>
      <c r="K22" s="118">
        <f>Italytrybonus</f>
        <v>0</v>
      </c>
      <c r="L22" s="118">
        <f>Italylosingbonus</f>
        <v>1</v>
      </c>
      <c r="M22" s="118">
        <v>0</v>
      </c>
      <c r="N22" s="118">
        <f>Italytriesscored</f>
        <v>6</v>
      </c>
      <c r="O22" s="118">
        <f>Italytriesagainst</f>
        <v>12</v>
      </c>
      <c r="P22" s="117">
        <f>SUM(E22*4)+(F22*2)+K22+L22+M22</f>
        <v>9</v>
      </c>
      <c r="R22" s="81" t="s">
        <v>34</v>
      </c>
      <c r="S22" s="635"/>
      <c r="T22" s="636"/>
      <c r="U22" s="638"/>
      <c r="V22" s="637"/>
      <c r="W22" s="654">
        <f t="shared" ref="W22:W26" si="12">SUM(S22:V22)</f>
        <v>0</v>
      </c>
      <c r="X22" s="120"/>
      <c r="Y22" s="655"/>
      <c r="AE22" s="157" t="s">
        <v>30</v>
      </c>
      <c r="AF22" s="656"/>
      <c r="AK22" s="670" t="s">
        <v>923</v>
      </c>
      <c r="AL22" s="204" t="s">
        <v>924</v>
      </c>
      <c r="AM22" s="14" t="s">
        <v>959</v>
      </c>
      <c r="AN22" s="14" t="s">
        <v>888</v>
      </c>
      <c r="AO22" s="313"/>
      <c r="AP22" s="313"/>
    </row>
    <row r="23" spans="1:43" ht="14.95" thickBot="1" x14ac:dyDescent="0.3">
      <c r="A23" s="252">
        <v>5</v>
      </c>
      <c r="B23" s="521" t="s">
        <v>955</v>
      </c>
      <c r="C23" s="152" t="s">
        <v>30</v>
      </c>
      <c r="D23" s="115">
        <f>Englandplayed</f>
        <v>4</v>
      </c>
      <c r="E23" s="116">
        <f>Englandwon</f>
        <v>1</v>
      </c>
      <c r="F23" s="115">
        <f>Englanddrawn</f>
        <v>0</v>
      </c>
      <c r="G23" s="115">
        <f>Englandlost</f>
        <v>3</v>
      </c>
      <c r="H23" s="115">
        <f>Englandptsscored</f>
        <v>107</v>
      </c>
      <c r="I23" s="115">
        <f>Englandptsagainst</f>
        <v>103</v>
      </c>
      <c r="J23" s="117">
        <f>SUM(H23-I23)</f>
        <v>4</v>
      </c>
      <c r="K23" s="118">
        <f>Englandtrybonus</f>
        <v>1</v>
      </c>
      <c r="L23" s="118">
        <f>Englandlosingbonus</f>
        <v>1</v>
      </c>
      <c r="M23" s="118">
        <v>0</v>
      </c>
      <c r="N23" s="115">
        <f>Englandtriesscored</f>
        <v>14</v>
      </c>
      <c r="O23" s="115">
        <f>Englandtriesagainst</f>
        <v>12</v>
      </c>
      <c r="P23" s="117">
        <f>SUM(E23*4)+(F23*2)+K23+L23+M23</f>
        <v>6</v>
      </c>
      <c r="R23" s="31" t="s">
        <v>39</v>
      </c>
      <c r="S23" s="635"/>
      <c r="T23" s="636"/>
      <c r="U23" s="638"/>
      <c r="V23" s="637"/>
      <c r="W23" s="654">
        <f t="shared" si="12"/>
        <v>0</v>
      </c>
      <c r="X23" s="120"/>
      <c r="Y23" s="655"/>
      <c r="AE23" s="81" t="s">
        <v>34</v>
      </c>
      <c r="AF23" s="657"/>
      <c r="AK23" s="670" t="s">
        <v>958</v>
      </c>
      <c r="AL23" s="204" t="s">
        <v>913</v>
      </c>
      <c r="AM23" s="14" t="s">
        <v>959</v>
      </c>
      <c r="AN23" s="14" t="s">
        <v>363</v>
      </c>
      <c r="AO23" s="313"/>
      <c r="AP23" s="313"/>
    </row>
    <row r="24" spans="1:43" ht="14.95" thickBot="1" x14ac:dyDescent="0.3">
      <c r="A24" s="156">
        <v>6</v>
      </c>
      <c r="B24" s="198" t="s">
        <v>51</v>
      </c>
      <c r="C24" s="122" t="s">
        <v>32</v>
      </c>
      <c r="D24" s="118">
        <f>Walesplayed</f>
        <v>4</v>
      </c>
      <c r="E24" s="117">
        <f>Waleswon</f>
        <v>0</v>
      </c>
      <c r="F24" s="118">
        <f>Walesdrawn</f>
        <v>0</v>
      </c>
      <c r="G24" s="118">
        <f>Waleslost</f>
        <v>4</v>
      </c>
      <c r="H24" s="118">
        <f>Walesptsscored</f>
        <v>59</v>
      </c>
      <c r="I24" s="118">
        <f>Walesptsagainst</f>
        <v>155</v>
      </c>
      <c r="J24" s="117">
        <f>SUM(H24-I24)</f>
        <v>-96</v>
      </c>
      <c r="K24" s="118">
        <f>Walestrybonus</f>
        <v>0</v>
      </c>
      <c r="L24" s="118">
        <f>Waleslosingbonus</f>
        <v>1</v>
      </c>
      <c r="M24" s="118">
        <v>0</v>
      </c>
      <c r="N24" s="118">
        <f>Walestriesscored</f>
        <v>7</v>
      </c>
      <c r="O24" s="118">
        <f>Walestriesagainst</f>
        <v>23</v>
      </c>
      <c r="P24" s="117">
        <f>SUM(E24*4)+(F24*2)+K24+L24+M24</f>
        <v>1</v>
      </c>
      <c r="R24" s="1016" t="s">
        <v>33</v>
      </c>
      <c r="S24" s="635">
        <v>1</v>
      </c>
      <c r="T24" s="636"/>
      <c r="U24" s="638"/>
      <c r="V24" s="637"/>
      <c r="W24" s="654">
        <f t="shared" si="12"/>
        <v>1</v>
      </c>
      <c r="X24" s="120"/>
      <c r="Y24" s="655"/>
      <c r="AE24" s="31" t="s">
        <v>39</v>
      </c>
      <c r="AF24" s="657"/>
      <c r="AK24" s="671"/>
      <c r="AL24" s="868" t="s">
        <v>861</v>
      </c>
      <c r="AM24" s="659"/>
      <c r="AN24" s="659"/>
      <c r="AO24" s="313"/>
      <c r="AP24" s="313"/>
    </row>
    <row r="25" spans="1:43" ht="14.95" thickBot="1" x14ac:dyDescent="0.3">
      <c r="A25" s="119"/>
      <c r="B25" s="120"/>
      <c r="C25" s="125"/>
      <c r="D25" s="121"/>
      <c r="E25" s="121"/>
      <c r="F25" s="121"/>
      <c r="G25" s="121"/>
      <c r="H25" s="121">
        <f>SUM(H19:H24)</f>
        <v>616</v>
      </c>
      <c r="I25" s="121">
        <f>SUM(I19:I24)</f>
        <v>616</v>
      </c>
      <c r="J25" s="121"/>
      <c r="K25" s="121">
        <f t="shared" ref="K25:L25" si="13">SUM(K19:K24)</f>
        <v>10</v>
      </c>
      <c r="L25" s="121">
        <f t="shared" si="13"/>
        <v>4</v>
      </c>
      <c r="M25" s="121"/>
      <c r="N25" s="121">
        <f t="shared" ref="N25:P25" si="14">SUM(N19:N24)</f>
        <v>82</v>
      </c>
      <c r="O25" s="121">
        <f t="shared" si="14"/>
        <v>82</v>
      </c>
      <c r="P25" s="121">
        <f t="shared" si="14"/>
        <v>62</v>
      </c>
      <c r="R25" s="81" t="s">
        <v>35</v>
      </c>
      <c r="S25" s="635"/>
      <c r="T25" s="636"/>
      <c r="U25" s="638"/>
      <c r="V25" s="637"/>
      <c r="W25" s="654">
        <f t="shared" si="12"/>
        <v>0</v>
      </c>
      <c r="X25" s="120"/>
      <c r="Y25" s="655"/>
      <c r="AE25" s="1016" t="s">
        <v>33</v>
      </c>
      <c r="AF25" s="657"/>
      <c r="AK25" s="704" t="s">
        <v>1029</v>
      </c>
      <c r="AL25" s="703" t="s">
        <v>997</v>
      </c>
      <c r="AM25" s="313" t="s">
        <v>949</v>
      </c>
      <c r="AN25" s="313" t="s">
        <v>884</v>
      </c>
      <c r="AO25" s="14"/>
      <c r="AP25" s="14"/>
    </row>
    <row r="26" spans="1:43" ht="14.95" thickBot="1" x14ac:dyDescent="0.3">
      <c r="A26" t="s">
        <v>65</v>
      </c>
      <c r="R26" s="8" t="s">
        <v>32</v>
      </c>
      <c r="S26" s="635"/>
      <c r="T26" s="636"/>
      <c r="U26" s="638"/>
      <c r="V26" s="637">
        <v>1</v>
      </c>
      <c r="W26" s="654">
        <f t="shared" si="12"/>
        <v>1</v>
      </c>
      <c r="X26" s="120"/>
      <c r="Y26" s="655"/>
      <c r="AE26" s="81" t="s">
        <v>35</v>
      </c>
      <c r="AF26" s="657"/>
      <c r="AK26" s="704" t="s">
        <v>1076</v>
      </c>
      <c r="AL26" s="703" t="s">
        <v>948</v>
      </c>
      <c r="AM26" s="313" t="s">
        <v>1077</v>
      </c>
      <c r="AN26" s="313" t="s">
        <v>870</v>
      </c>
      <c r="AO26" s="14"/>
      <c r="AP26" s="14"/>
    </row>
    <row r="27" spans="1:43" ht="14.95" thickBot="1" x14ac:dyDescent="0.3">
      <c r="A27" t="s">
        <v>944</v>
      </c>
      <c r="R27" s="650"/>
      <c r="AE27" s="8" t="s">
        <v>32</v>
      </c>
      <c r="AF27" s="657">
        <v>1</v>
      </c>
      <c r="AK27" s="704" t="s">
        <v>920</v>
      </c>
      <c r="AL27" s="703" t="s">
        <v>913</v>
      </c>
      <c r="AM27" s="313" t="s">
        <v>914</v>
      </c>
      <c r="AN27" s="313" t="s">
        <v>867</v>
      </c>
      <c r="AO27" s="14"/>
      <c r="AP27" s="14"/>
    </row>
    <row r="28" spans="1:43" ht="14.95" thickBot="1" x14ac:dyDescent="0.3">
      <c r="A28" s="772" t="s">
        <v>58</v>
      </c>
      <c r="B28" s="914"/>
      <c r="C28" s="1048" t="s">
        <v>906</v>
      </c>
      <c r="D28" s="1048"/>
      <c r="E28" s="1048"/>
      <c r="F28" s="1048"/>
      <c r="G28" s="1048"/>
      <c r="H28" s="1048"/>
      <c r="I28" s="920"/>
      <c r="J28" s="703"/>
      <c r="R28" s="897" t="s">
        <v>312</v>
      </c>
      <c r="S28" s="898"/>
      <c r="T28" s="898"/>
      <c r="U28" s="898"/>
      <c r="V28" s="898"/>
      <c r="W28" s="898"/>
      <c r="X28" s="898"/>
      <c r="Y28" s="376"/>
      <c r="Z28" s="376"/>
      <c r="AA28" s="376"/>
      <c r="AE28" s="650"/>
      <c r="AK28" s="670" t="s">
        <v>947</v>
      </c>
      <c r="AL28" s="204" t="s">
        <v>948</v>
      </c>
      <c r="AM28" s="14" t="s">
        <v>949</v>
      </c>
      <c r="AN28" s="14" t="s">
        <v>883</v>
      </c>
      <c r="AO28" s="14"/>
      <c r="AP28" s="14"/>
    </row>
    <row r="29" spans="1:43" ht="14.95" thickBot="1" x14ac:dyDescent="0.3">
      <c r="A29" s="913" t="s">
        <v>905</v>
      </c>
      <c r="B29" s="911" t="s">
        <v>904</v>
      </c>
      <c r="C29" s="911" t="s">
        <v>907</v>
      </c>
      <c r="D29" s="921" t="s">
        <v>908</v>
      </c>
      <c r="E29" s="911" t="s">
        <v>909</v>
      </c>
      <c r="F29" s="911" t="s">
        <v>910</v>
      </c>
      <c r="G29" s="911" t="s">
        <v>911</v>
      </c>
      <c r="H29" s="912" t="s">
        <v>912</v>
      </c>
      <c r="I29" s="912" t="s">
        <v>21</v>
      </c>
      <c r="J29" s="914" t="s">
        <v>197</v>
      </c>
      <c r="R29" s="626"/>
      <c r="S29" s="1053" t="s">
        <v>61</v>
      </c>
      <c r="T29" s="1054"/>
      <c r="U29" s="1037"/>
      <c r="V29" s="1055" t="s">
        <v>62</v>
      </c>
      <c r="W29" s="1054"/>
      <c r="X29" s="1037"/>
      <c r="Y29" s="1056" t="s">
        <v>57</v>
      </c>
      <c r="Z29" s="1057"/>
      <c r="AA29" s="1058"/>
      <c r="AE29" s="897" t="s">
        <v>926</v>
      </c>
      <c r="AF29" s="898"/>
      <c r="AG29" s="898"/>
      <c r="AH29" s="898"/>
      <c r="AI29" s="898"/>
      <c r="AK29" s="670" t="s">
        <v>1064</v>
      </c>
      <c r="AL29" s="204" t="s">
        <v>997</v>
      </c>
      <c r="AM29" s="14" t="s">
        <v>959</v>
      </c>
      <c r="AN29" s="14" t="s">
        <v>885</v>
      </c>
      <c r="AO29" s="14"/>
      <c r="AP29" s="14"/>
    </row>
    <row r="30" spans="1:43" ht="14.95" customHeight="1" thickBot="1" x14ac:dyDescent="0.3">
      <c r="A30" s="514">
        <v>1</v>
      </c>
      <c r="B30" s="1005">
        <f>SUM(E30+H30)</f>
        <v>19</v>
      </c>
      <c r="C30" s="907">
        <v>5</v>
      </c>
      <c r="D30" s="313">
        <v>5</v>
      </c>
      <c r="E30" s="1007">
        <f>SUM(C30+D30)</f>
        <v>10</v>
      </c>
      <c r="F30" s="1006">
        <v>4</v>
      </c>
      <c r="G30" s="907">
        <v>5</v>
      </c>
      <c r="H30" s="1007">
        <f>SUM(F30+G30)</f>
        <v>9</v>
      </c>
      <c r="I30" s="1006">
        <v>2</v>
      </c>
      <c r="J30" s="922">
        <v>0</v>
      </c>
      <c r="R30" s="645"/>
      <c r="S30" s="661" t="s">
        <v>314</v>
      </c>
      <c r="T30" s="661" t="s">
        <v>50</v>
      </c>
      <c r="U30" s="661" t="s">
        <v>315</v>
      </c>
      <c r="V30" s="662" t="s">
        <v>314</v>
      </c>
      <c r="W30" s="662" t="s">
        <v>50</v>
      </c>
      <c r="X30" s="662" t="s">
        <v>315</v>
      </c>
      <c r="Y30" s="663" t="s">
        <v>314</v>
      </c>
      <c r="Z30" s="663" t="s">
        <v>50</v>
      </c>
      <c r="AA30" s="383" t="s">
        <v>315</v>
      </c>
      <c r="AE30" s="703" t="s">
        <v>956</v>
      </c>
      <c r="AF30" s="313" t="s">
        <v>957</v>
      </c>
      <c r="AG30" s="313"/>
      <c r="AH30" s="313"/>
      <c r="AI30" s="313"/>
      <c r="AJ30" s="313"/>
      <c r="AK30" s="704" t="s">
        <v>1053</v>
      </c>
      <c r="AL30" s="703" t="s">
        <v>913</v>
      </c>
      <c r="AM30" s="313" t="s">
        <v>1054</v>
      </c>
      <c r="AN30" s="313" t="s">
        <v>286</v>
      </c>
      <c r="AO30" s="14"/>
      <c r="AP30" s="14"/>
    </row>
    <row r="31" spans="1:43" ht="14.95" thickBot="1" x14ac:dyDescent="0.3">
      <c r="A31" s="138">
        <v>2</v>
      </c>
      <c r="B31" s="912">
        <f>SUM(E31+H31)</f>
        <v>20</v>
      </c>
      <c r="C31" s="1001">
        <v>7</v>
      </c>
      <c r="D31" s="998">
        <v>4</v>
      </c>
      <c r="E31" s="1002">
        <f>SUM(C31+D31)</f>
        <v>11</v>
      </c>
      <c r="F31" s="1001">
        <v>6</v>
      </c>
      <c r="G31" s="1006">
        <v>3</v>
      </c>
      <c r="H31" s="1007">
        <f>SUM(F31+G31)</f>
        <v>9</v>
      </c>
      <c r="I31" s="1006">
        <v>2</v>
      </c>
      <c r="J31" s="922">
        <v>0</v>
      </c>
      <c r="R31" s="153" t="s">
        <v>30</v>
      </c>
      <c r="S31" s="635">
        <v>10</v>
      </c>
      <c r="T31" s="636">
        <v>69</v>
      </c>
      <c r="U31" s="636">
        <v>5</v>
      </c>
      <c r="V31" s="638">
        <v>4</v>
      </c>
      <c r="W31" s="637">
        <v>38</v>
      </c>
      <c r="X31" s="637">
        <v>1</v>
      </c>
      <c r="Y31" s="664">
        <f t="shared" ref="Y31:AA36" si="15">SUM(S31+V31)</f>
        <v>14</v>
      </c>
      <c r="Z31" s="639">
        <f t="shared" si="15"/>
        <v>107</v>
      </c>
      <c r="AA31" s="665">
        <f t="shared" si="15"/>
        <v>6</v>
      </c>
      <c r="AE31" s="703" t="s">
        <v>1051</v>
      </c>
      <c r="AF31" s="313" t="s">
        <v>1052</v>
      </c>
      <c r="AG31" s="313"/>
      <c r="AH31" s="313"/>
      <c r="AI31" s="313"/>
      <c r="AJ31" s="313"/>
      <c r="AK31" s="670" t="s">
        <v>1039</v>
      </c>
      <c r="AL31" s="204" t="s">
        <v>948</v>
      </c>
      <c r="AM31" s="14" t="s">
        <v>959</v>
      </c>
      <c r="AN31" s="14" t="s">
        <v>884</v>
      </c>
    </row>
    <row r="32" spans="1:43" ht="14.95" customHeight="1" thickBot="1" x14ac:dyDescent="0.3">
      <c r="A32" s="138">
        <v>3</v>
      </c>
      <c r="B32" s="911">
        <f>SUM(E32+H32)</f>
        <v>20</v>
      </c>
      <c r="C32" s="908">
        <v>6</v>
      </c>
      <c r="D32" s="313">
        <v>5</v>
      </c>
      <c r="E32" s="1003">
        <f>SUM(C32+D32)</f>
        <v>11</v>
      </c>
      <c r="F32" s="1008">
        <v>4</v>
      </c>
      <c r="G32" s="908">
        <v>5</v>
      </c>
      <c r="H32" s="1005">
        <f>SUM(F32+G32)</f>
        <v>9</v>
      </c>
      <c r="I32" s="1004">
        <v>3</v>
      </c>
      <c r="J32" s="922">
        <v>0</v>
      </c>
      <c r="R32" s="81" t="s">
        <v>34</v>
      </c>
      <c r="S32" s="635">
        <v>10</v>
      </c>
      <c r="T32" s="636">
        <v>69</v>
      </c>
      <c r="U32" s="636">
        <v>10</v>
      </c>
      <c r="V32" s="638">
        <v>14</v>
      </c>
      <c r="W32" s="637">
        <v>94</v>
      </c>
      <c r="X32" s="637">
        <v>6</v>
      </c>
      <c r="Y32" s="664">
        <f t="shared" si="15"/>
        <v>24</v>
      </c>
      <c r="Z32" s="639">
        <f t="shared" si="15"/>
        <v>163</v>
      </c>
      <c r="AA32" s="666">
        <f t="shared" si="15"/>
        <v>16</v>
      </c>
      <c r="AE32" s="703" t="s">
        <v>1074</v>
      </c>
      <c r="AF32" s="313" t="s">
        <v>1075</v>
      </c>
      <c r="AG32" s="313"/>
      <c r="AH32" s="313"/>
      <c r="AI32" s="313"/>
      <c r="AJ32" s="313"/>
      <c r="AK32" s="670" t="s">
        <v>1078</v>
      </c>
      <c r="AL32" s="204" t="s">
        <v>913</v>
      </c>
      <c r="AM32" s="14" t="s">
        <v>1079</v>
      </c>
      <c r="AN32" s="14" t="s">
        <v>870</v>
      </c>
    </row>
    <row r="33" spans="1:40" ht="14.95" thickBot="1" x14ac:dyDescent="0.3">
      <c r="A33" s="138">
        <v>4</v>
      </c>
      <c r="B33" s="1003">
        <f>SUM(E33+H33)</f>
        <v>23</v>
      </c>
      <c r="C33" s="1008">
        <v>3</v>
      </c>
      <c r="D33" s="999">
        <v>8</v>
      </c>
      <c r="E33" s="1003">
        <f>SUM(C33+D33)</f>
        <v>11</v>
      </c>
      <c r="F33" s="1008">
        <v>4</v>
      </c>
      <c r="G33" s="1004">
        <v>8</v>
      </c>
      <c r="H33" s="1002">
        <f>SUM(F33+G33)</f>
        <v>12</v>
      </c>
      <c r="I33" s="1004">
        <v>3</v>
      </c>
      <c r="J33" s="922">
        <v>0</v>
      </c>
      <c r="R33" s="31" t="s">
        <v>39</v>
      </c>
      <c r="S33" s="635">
        <v>7</v>
      </c>
      <c r="T33" s="636">
        <v>47</v>
      </c>
      <c r="U33" s="636">
        <v>9</v>
      </c>
      <c r="V33" s="638">
        <v>7</v>
      </c>
      <c r="W33" s="637">
        <v>56</v>
      </c>
      <c r="X33" s="637">
        <v>5</v>
      </c>
      <c r="Y33" s="664">
        <f t="shared" si="15"/>
        <v>14</v>
      </c>
      <c r="Z33" s="639">
        <f t="shared" si="15"/>
        <v>103</v>
      </c>
      <c r="AA33" s="666">
        <f t="shared" si="15"/>
        <v>14</v>
      </c>
      <c r="AE33" s="703" t="s">
        <v>1062</v>
      </c>
      <c r="AF33" s="313" t="s">
        <v>1063</v>
      </c>
      <c r="AG33" s="313"/>
      <c r="AH33" s="313"/>
      <c r="AI33" s="313"/>
      <c r="AJ33" s="313"/>
      <c r="AK33" s="670"/>
      <c r="AL33" s="204"/>
      <c r="AM33" s="14"/>
    </row>
    <row r="34" spans="1:40" ht="14.95" thickBot="1" x14ac:dyDescent="0.3">
      <c r="A34" s="138">
        <v>5</v>
      </c>
      <c r="B34" s="911"/>
      <c r="C34" s="908"/>
      <c r="D34" s="313"/>
      <c r="E34" s="911"/>
      <c r="F34" s="908"/>
      <c r="G34" s="908"/>
      <c r="H34" s="911"/>
      <c r="I34" s="908"/>
      <c r="J34" s="922"/>
      <c r="R34" s="1016" t="s">
        <v>33</v>
      </c>
      <c r="S34" s="635">
        <v>4</v>
      </c>
      <c r="T34" s="636">
        <v>41</v>
      </c>
      <c r="U34" s="636">
        <v>8</v>
      </c>
      <c r="V34" s="638">
        <v>2</v>
      </c>
      <c r="W34" s="637">
        <v>21</v>
      </c>
      <c r="X34" s="637">
        <v>1</v>
      </c>
      <c r="Y34" s="664">
        <f t="shared" si="15"/>
        <v>6</v>
      </c>
      <c r="Z34" s="639">
        <f t="shared" si="15"/>
        <v>62</v>
      </c>
      <c r="AA34" s="666">
        <f t="shared" si="15"/>
        <v>9</v>
      </c>
      <c r="AE34" s="204" t="s">
        <v>928</v>
      </c>
      <c r="AF34" s="14" t="s">
        <v>929</v>
      </c>
      <c r="AG34" s="14"/>
      <c r="AH34" s="14"/>
      <c r="AI34" s="14"/>
      <c r="AJ34" s="14"/>
      <c r="AK34" s="670"/>
      <c r="AL34" s="204"/>
      <c r="AM34" s="14"/>
      <c r="AN34" s="14"/>
    </row>
    <row r="35" spans="1:40" ht="14.95" thickBot="1" x14ac:dyDescent="0.3">
      <c r="A35" s="909" t="s">
        <v>58</v>
      </c>
      <c r="B35" s="910">
        <f t="shared" ref="B35:J35" si="16">SUM(B29:B34)</f>
        <v>82</v>
      </c>
      <c r="C35" s="910">
        <f t="shared" si="16"/>
        <v>21</v>
      </c>
      <c r="D35" s="910">
        <f t="shared" si="16"/>
        <v>22</v>
      </c>
      <c r="E35" s="910">
        <f t="shared" si="16"/>
        <v>43</v>
      </c>
      <c r="F35" s="910">
        <f t="shared" si="16"/>
        <v>18</v>
      </c>
      <c r="G35" s="910">
        <f t="shared" si="16"/>
        <v>21</v>
      </c>
      <c r="H35" s="910">
        <f t="shared" si="16"/>
        <v>39</v>
      </c>
      <c r="I35" s="910">
        <f t="shared" si="16"/>
        <v>10</v>
      </c>
      <c r="J35" s="910">
        <f t="shared" si="16"/>
        <v>0</v>
      </c>
      <c r="R35" s="81" t="s">
        <v>35</v>
      </c>
      <c r="S35" s="635">
        <v>11</v>
      </c>
      <c r="T35" s="636">
        <v>81</v>
      </c>
      <c r="U35" s="636">
        <v>10</v>
      </c>
      <c r="V35" s="638">
        <v>6</v>
      </c>
      <c r="W35" s="637">
        <v>41</v>
      </c>
      <c r="X35" s="637">
        <v>6</v>
      </c>
      <c r="Y35" s="664">
        <f t="shared" si="15"/>
        <v>17</v>
      </c>
      <c r="Z35" s="639">
        <f t="shared" si="15"/>
        <v>122</v>
      </c>
      <c r="AA35" s="666">
        <f t="shared" si="15"/>
        <v>16</v>
      </c>
      <c r="AE35" s="204" t="s">
        <v>925</v>
      </c>
      <c r="AF35" s="14" t="s">
        <v>927</v>
      </c>
      <c r="AG35" s="14"/>
      <c r="AH35" s="14"/>
      <c r="AI35" s="14"/>
      <c r="AK35" s="670"/>
      <c r="AL35" s="204"/>
      <c r="AM35" s="14"/>
    </row>
    <row r="36" spans="1:40" ht="14.95" thickBot="1" x14ac:dyDescent="0.3">
      <c r="A36" s="909"/>
      <c r="B36" s="906"/>
      <c r="C36" s="906"/>
      <c r="D36" s="906"/>
      <c r="E36" s="906"/>
      <c r="F36" s="906"/>
      <c r="G36" s="906"/>
      <c r="H36" s="906"/>
      <c r="I36" s="906"/>
      <c r="J36" s="910"/>
      <c r="R36" s="8" t="s">
        <v>32</v>
      </c>
      <c r="S36" s="635">
        <v>4</v>
      </c>
      <c r="T36" s="636">
        <v>35</v>
      </c>
      <c r="U36" s="636">
        <v>1</v>
      </c>
      <c r="V36" s="638">
        <v>3</v>
      </c>
      <c r="W36" s="637">
        <v>24</v>
      </c>
      <c r="X36" s="637">
        <v>0</v>
      </c>
      <c r="Y36" s="664">
        <f t="shared" si="15"/>
        <v>7</v>
      </c>
      <c r="Z36" s="639">
        <f t="shared" si="15"/>
        <v>59</v>
      </c>
      <c r="AA36" s="666">
        <f t="shared" si="15"/>
        <v>1</v>
      </c>
      <c r="AE36" s="138" t="s">
        <v>1037</v>
      </c>
      <c r="AF36" t="s">
        <v>1038</v>
      </c>
      <c r="AK36" s="670"/>
      <c r="AL36" s="204"/>
      <c r="AM36" s="14"/>
    </row>
    <row r="37" spans="1:40" x14ac:dyDescent="0.25">
      <c r="A37" s="918" t="s">
        <v>1061</v>
      </c>
      <c r="B37" s="936"/>
      <c r="C37" s="936"/>
      <c r="D37" s="936"/>
      <c r="E37" s="936"/>
      <c r="F37" s="936"/>
      <c r="G37" s="936"/>
      <c r="H37" s="936"/>
      <c r="I37" s="936"/>
      <c r="J37" s="995"/>
      <c r="R37" s="650" t="s">
        <v>58</v>
      </c>
      <c r="S37">
        <f t="shared" ref="S37:AA37" si="17">SUM(S31:S36)</f>
        <v>46</v>
      </c>
      <c r="T37">
        <f t="shared" si="17"/>
        <v>342</v>
      </c>
      <c r="U37">
        <f t="shared" si="17"/>
        <v>43</v>
      </c>
      <c r="V37">
        <f t="shared" si="17"/>
        <v>36</v>
      </c>
      <c r="W37">
        <f t="shared" si="17"/>
        <v>274</v>
      </c>
      <c r="X37">
        <f t="shared" si="17"/>
        <v>19</v>
      </c>
      <c r="Y37" s="138">
        <f t="shared" si="17"/>
        <v>82</v>
      </c>
      <c r="Z37" s="138">
        <f t="shared" si="17"/>
        <v>616</v>
      </c>
      <c r="AA37" s="138">
        <f t="shared" si="17"/>
        <v>62</v>
      </c>
      <c r="AE37" s="138" t="s">
        <v>945</v>
      </c>
      <c r="AF37" t="s">
        <v>946</v>
      </c>
      <c r="AK37" s="670"/>
      <c r="AL37" s="204"/>
      <c r="AM37" s="14"/>
    </row>
    <row r="38" spans="1:40" ht="14.95" thickBot="1" x14ac:dyDescent="0.3">
      <c r="A38" s="909"/>
      <c r="B38" s="906"/>
      <c r="C38" s="906"/>
      <c r="D38" s="906"/>
      <c r="E38" s="906"/>
      <c r="F38" s="906"/>
      <c r="G38" s="906"/>
      <c r="H38" s="906"/>
      <c r="I38" s="906"/>
      <c r="J38" s="910"/>
      <c r="R38" s="221" t="s">
        <v>320</v>
      </c>
      <c r="AE38" s="138"/>
      <c r="AK38" s="650"/>
    </row>
    <row r="39" spans="1:40" ht="14.95" customHeight="1" thickBot="1" x14ac:dyDescent="0.3">
      <c r="A39" s="517" t="s">
        <v>47</v>
      </c>
      <c r="B39" s="518" t="s">
        <v>48</v>
      </c>
      <c r="C39" s="518"/>
      <c r="D39" s="518" t="s">
        <v>0</v>
      </c>
      <c r="E39" s="519" t="s">
        <v>1</v>
      </c>
      <c r="F39" s="518" t="s">
        <v>2</v>
      </c>
      <c r="G39" s="518" t="s">
        <v>3</v>
      </c>
      <c r="H39" s="518" t="s">
        <v>4</v>
      </c>
      <c r="I39" s="518" t="s">
        <v>5</v>
      </c>
      <c r="J39" s="519" t="s">
        <v>49</v>
      </c>
      <c r="K39" s="518" t="s">
        <v>21</v>
      </c>
      <c r="L39" s="518" t="s">
        <v>22</v>
      </c>
      <c r="M39" s="518" t="s">
        <v>64</v>
      </c>
      <c r="N39" s="518" t="s">
        <v>52</v>
      </c>
      <c r="O39" s="518" t="s">
        <v>53</v>
      </c>
      <c r="P39" s="519" t="s">
        <v>50</v>
      </c>
      <c r="R39" s="1046" t="s">
        <v>1060</v>
      </c>
      <c r="S39" s="1047"/>
      <c r="T39" s="1047"/>
      <c r="U39" s="1047"/>
      <c r="V39" s="1047"/>
      <c r="W39" s="1047"/>
      <c r="X39" s="1047"/>
      <c r="Y39" s="1047"/>
      <c r="Z39" s="1047"/>
      <c r="AA39" s="1047"/>
      <c r="AE39" s="650"/>
    </row>
    <row r="40" spans="1:40" ht="14.95" thickBot="1" x14ac:dyDescent="0.3">
      <c r="A40" s="520">
        <v>1</v>
      </c>
      <c r="B40" s="521" t="s">
        <v>51</v>
      </c>
      <c r="C40" s="928" t="s">
        <v>34</v>
      </c>
      <c r="D40" s="522">
        <v>4</v>
      </c>
      <c r="E40" s="523">
        <v>3</v>
      </c>
      <c r="F40" s="522">
        <v>0</v>
      </c>
      <c r="G40" s="522">
        <v>1</v>
      </c>
      <c r="H40" s="522">
        <v>163</v>
      </c>
      <c r="I40" s="522">
        <v>84</v>
      </c>
      <c r="J40" s="523">
        <v>79</v>
      </c>
      <c r="K40" s="522">
        <v>4</v>
      </c>
      <c r="L40" s="522">
        <v>0</v>
      </c>
      <c r="M40" s="522">
        <v>0</v>
      </c>
      <c r="N40" s="522">
        <v>24</v>
      </c>
      <c r="O40" s="522">
        <v>12</v>
      </c>
      <c r="P40" s="523">
        <v>16</v>
      </c>
      <c r="R40" s="772"/>
      <c r="S40" s="267"/>
      <c r="T40" s="267"/>
      <c r="U40" s="267"/>
      <c r="V40" s="267"/>
      <c r="W40" s="267"/>
      <c r="X40" s="267"/>
      <c r="Y40" s="267"/>
      <c r="Z40" s="267"/>
      <c r="AA40" s="267"/>
    </row>
    <row r="41" spans="1:40" ht="14.95" thickBot="1" x14ac:dyDescent="0.3">
      <c r="A41" s="520">
        <v>2</v>
      </c>
      <c r="B41" s="521" t="s">
        <v>51</v>
      </c>
      <c r="C41" s="928" t="s">
        <v>35</v>
      </c>
      <c r="D41" s="522">
        <v>4</v>
      </c>
      <c r="E41" s="523">
        <v>3</v>
      </c>
      <c r="F41" s="522">
        <v>0</v>
      </c>
      <c r="G41" s="522">
        <v>1</v>
      </c>
      <c r="H41" s="522">
        <v>122</v>
      </c>
      <c r="I41" s="522">
        <v>101</v>
      </c>
      <c r="J41" s="523">
        <v>21</v>
      </c>
      <c r="K41" s="522">
        <v>3</v>
      </c>
      <c r="L41" s="522">
        <v>1</v>
      </c>
      <c r="M41" s="522">
        <v>0</v>
      </c>
      <c r="N41" s="522">
        <v>17</v>
      </c>
      <c r="O41" s="522">
        <v>12</v>
      </c>
      <c r="P41" s="523">
        <v>16</v>
      </c>
      <c r="R41" s="772"/>
      <c r="S41" s="267"/>
      <c r="T41" s="267"/>
      <c r="U41" s="267"/>
      <c r="V41" s="267"/>
      <c r="W41" s="267"/>
      <c r="X41" s="267"/>
      <c r="Y41" s="267"/>
      <c r="Z41" s="267"/>
      <c r="AA41" s="267"/>
      <c r="AG41" s="650" t="s">
        <v>58</v>
      </c>
    </row>
    <row r="42" spans="1:40" ht="14.95" thickBot="1" x14ac:dyDescent="0.3">
      <c r="A42" s="520">
        <v>3</v>
      </c>
      <c r="B42" s="521" t="s">
        <v>51</v>
      </c>
      <c r="C42" s="929" t="s">
        <v>39</v>
      </c>
      <c r="D42" s="522">
        <v>4</v>
      </c>
      <c r="E42" s="523">
        <v>3</v>
      </c>
      <c r="F42" s="522">
        <v>0</v>
      </c>
      <c r="G42" s="522">
        <v>1</v>
      </c>
      <c r="H42" s="522">
        <v>103</v>
      </c>
      <c r="I42" s="522">
        <v>87</v>
      </c>
      <c r="J42" s="523">
        <v>16</v>
      </c>
      <c r="K42" s="522">
        <v>2</v>
      </c>
      <c r="L42" s="522">
        <v>0</v>
      </c>
      <c r="M42" s="522">
        <v>0</v>
      </c>
      <c r="N42" s="522">
        <v>14</v>
      </c>
      <c r="O42" s="522">
        <v>11</v>
      </c>
      <c r="P42" s="523">
        <v>14</v>
      </c>
      <c r="R42" s="772"/>
      <c r="S42" s="267"/>
      <c r="T42" s="267"/>
      <c r="U42" s="267"/>
      <c r="V42" s="267"/>
      <c r="W42" s="267"/>
      <c r="X42" s="267"/>
      <c r="Y42" s="267"/>
      <c r="Z42" s="267"/>
      <c r="AA42" s="267"/>
    </row>
    <row r="43" spans="1:40" ht="14.95" thickBot="1" x14ac:dyDescent="0.3">
      <c r="A43" s="520">
        <v>4</v>
      </c>
      <c r="B43" s="521" t="s">
        <v>954</v>
      </c>
      <c r="C43" s="1359" t="s">
        <v>33</v>
      </c>
      <c r="D43" s="522">
        <v>4</v>
      </c>
      <c r="E43" s="523">
        <v>2</v>
      </c>
      <c r="F43" s="522">
        <v>0</v>
      </c>
      <c r="G43" s="522">
        <v>2</v>
      </c>
      <c r="H43" s="522">
        <v>62</v>
      </c>
      <c r="I43" s="522">
        <v>86</v>
      </c>
      <c r="J43" s="523">
        <v>-24</v>
      </c>
      <c r="K43" s="522">
        <v>0</v>
      </c>
      <c r="L43" s="522">
        <v>1</v>
      </c>
      <c r="M43" s="522">
        <v>0</v>
      </c>
      <c r="N43" s="522">
        <v>6</v>
      </c>
      <c r="O43" s="522">
        <v>12</v>
      </c>
      <c r="P43" s="523">
        <v>9</v>
      </c>
      <c r="R43" s="772"/>
      <c r="S43" s="267"/>
      <c r="T43" s="267"/>
      <c r="U43" s="267"/>
      <c r="V43" s="267"/>
      <c r="W43" s="267"/>
      <c r="X43" s="267"/>
      <c r="Y43" s="267"/>
      <c r="Z43" s="267"/>
      <c r="AA43" s="267"/>
    </row>
    <row r="44" spans="1:40" ht="14.95" thickBot="1" x14ac:dyDescent="0.3">
      <c r="A44" s="520">
        <v>5</v>
      </c>
      <c r="B44" s="521" t="s">
        <v>955</v>
      </c>
      <c r="C44" s="927" t="s">
        <v>30</v>
      </c>
      <c r="D44" s="522">
        <v>4</v>
      </c>
      <c r="E44" s="523">
        <v>1</v>
      </c>
      <c r="F44" s="522">
        <v>0</v>
      </c>
      <c r="G44" s="522">
        <v>3</v>
      </c>
      <c r="H44" s="522">
        <v>107</v>
      </c>
      <c r="I44" s="522">
        <v>103</v>
      </c>
      <c r="J44" s="523">
        <v>4</v>
      </c>
      <c r="K44" s="522">
        <v>1</v>
      </c>
      <c r="L44" s="522">
        <v>1</v>
      </c>
      <c r="M44" s="522">
        <v>0</v>
      </c>
      <c r="N44" s="522">
        <v>14</v>
      </c>
      <c r="O44" s="522">
        <v>12</v>
      </c>
      <c r="P44" s="523">
        <v>6</v>
      </c>
      <c r="R44" s="772"/>
      <c r="S44" s="267"/>
      <c r="T44" s="267"/>
      <c r="U44" s="267"/>
      <c r="V44" s="267"/>
      <c r="W44" s="267"/>
      <c r="X44" s="267"/>
      <c r="Y44" s="267"/>
      <c r="Z44" s="267"/>
      <c r="AA44" s="267"/>
    </row>
    <row r="45" spans="1:40" ht="14.95" thickBot="1" x14ac:dyDescent="0.3">
      <c r="A45" s="520">
        <v>6</v>
      </c>
      <c r="B45" s="521" t="s">
        <v>51</v>
      </c>
      <c r="C45" s="930" t="s">
        <v>32</v>
      </c>
      <c r="D45" s="522">
        <v>4</v>
      </c>
      <c r="E45" s="523">
        <v>0</v>
      </c>
      <c r="F45" s="522">
        <v>0</v>
      </c>
      <c r="G45" s="522">
        <v>4</v>
      </c>
      <c r="H45" s="522">
        <v>59</v>
      </c>
      <c r="I45" s="522">
        <v>155</v>
      </c>
      <c r="J45" s="523">
        <v>-96</v>
      </c>
      <c r="K45" s="522">
        <v>0</v>
      </c>
      <c r="L45" s="522">
        <v>1</v>
      </c>
      <c r="M45" s="522">
        <v>0</v>
      </c>
      <c r="N45" s="522">
        <v>7</v>
      </c>
      <c r="O45" s="522">
        <v>23</v>
      </c>
      <c r="P45" s="523">
        <v>1</v>
      </c>
      <c r="R45" s="772"/>
      <c r="S45" s="267"/>
      <c r="T45" s="267"/>
      <c r="U45" s="267"/>
      <c r="V45" s="267"/>
      <c r="W45" s="267"/>
      <c r="X45" s="267"/>
      <c r="Y45" s="267"/>
      <c r="Z45" s="267"/>
      <c r="AA45" s="267"/>
    </row>
    <row r="46" spans="1:40" x14ac:dyDescent="0.25">
      <c r="A46" s="909"/>
      <c r="B46" s="906"/>
      <c r="C46" s="906"/>
      <c r="D46" s="906"/>
      <c r="E46" s="906"/>
      <c r="F46" s="906"/>
      <c r="G46" s="906"/>
      <c r="H46" s="906"/>
      <c r="I46" s="906"/>
      <c r="J46" s="910"/>
      <c r="R46" s="772"/>
      <c r="S46" s="267"/>
      <c r="T46" s="267"/>
      <c r="U46" s="267"/>
      <c r="V46" s="267"/>
      <c r="W46" s="267"/>
      <c r="X46" s="267"/>
      <c r="Y46" s="267"/>
      <c r="Z46" s="267"/>
      <c r="AA46" s="267"/>
    </row>
    <row r="47" spans="1:40" x14ac:dyDescent="0.25">
      <c r="A47" s="918" t="s">
        <v>1028</v>
      </c>
      <c r="B47" s="936"/>
      <c r="C47" s="936"/>
      <c r="D47" s="936"/>
      <c r="E47" s="936"/>
      <c r="F47" s="936"/>
      <c r="G47" s="936"/>
      <c r="H47" s="936"/>
      <c r="I47" s="936"/>
      <c r="J47" s="995"/>
      <c r="R47" s="772"/>
      <c r="S47" s="267"/>
      <c r="T47" s="267"/>
      <c r="U47" s="267"/>
      <c r="V47" s="267"/>
      <c r="W47" s="267"/>
      <c r="X47" s="267"/>
      <c r="Y47" s="267"/>
      <c r="Z47" s="267"/>
      <c r="AA47" s="267"/>
    </row>
    <row r="48" spans="1:40" ht="14.95" thickBot="1" x14ac:dyDescent="0.3">
      <c r="A48" s="909"/>
      <c r="B48" s="906"/>
      <c r="C48" s="906"/>
      <c r="D48" s="906"/>
      <c r="E48" s="906"/>
      <c r="F48" s="906"/>
      <c r="G48" s="906"/>
      <c r="H48" s="906"/>
      <c r="I48" s="906"/>
      <c r="J48" s="910"/>
      <c r="R48" s="772"/>
      <c r="S48" s="267"/>
      <c r="T48" s="267"/>
      <c r="U48" s="267"/>
      <c r="V48" s="267"/>
      <c r="W48" s="267"/>
      <c r="X48" s="267"/>
      <c r="Y48" s="267"/>
      <c r="Z48" s="267"/>
      <c r="AA48" s="267"/>
    </row>
    <row r="49" spans="1:27" ht="14.95" customHeight="1" thickBot="1" x14ac:dyDescent="0.3">
      <c r="A49" s="517" t="s">
        <v>47</v>
      </c>
      <c r="B49" s="518" t="s">
        <v>48</v>
      </c>
      <c r="C49" s="518"/>
      <c r="D49" s="518" t="s">
        <v>0</v>
      </c>
      <c r="E49" s="519" t="s">
        <v>1</v>
      </c>
      <c r="F49" s="518" t="s">
        <v>2</v>
      </c>
      <c r="G49" s="518" t="s">
        <v>3</v>
      </c>
      <c r="H49" s="518" t="s">
        <v>4</v>
      </c>
      <c r="I49" s="518" t="s">
        <v>5</v>
      </c>
      <c r="J49" s="519" t="s">
        <v>49</v>
      </c>
      <c r="K49" s="518" t="s">
        <v>21</v>
      </c>
      <c r="L49" s="518" t="s">
        <v>22</v>
      </c>
      <c r="M49" s="518" t="s">
        <v>64</v>
      </c>
      <c r="N49" s="518" t="s">
        <v>52</v>
      </c>
      <c r="O49" s="518" t="s">
        <v>53</v>
      </c>
      <c r="P49" s="519" t="s">
        <v>50</v>
      </c>
      <c r="R49" s="772"/>
      <c r="S49" s="267"/>
      <c r="T49" s="267"/>
      <c r="U49" s="267"/>
      <c r="V49" s="267"/>
      <c r="W49" s="267"/>
      <c r="X49" s="267"/>
      <c r="Y49" s="267"/>
      <c r="Z49" s="267"/>
      <c r="AA49" s="267"/>
    </row>
    <row r="50" spans="1:27" ht="14.95" thickBot="1" x14ac:dyDescent="0.3">
      <c r="A50" s="520">
        <v>1</v>
      </c>
      <c r="B50" s="521" t="s">
        <v>51</v>
      </c>
      <c r="C50" s="928" t="s">
        <v>34</v>
      </c>
      <c r="D50" s="522">
        <v>3</v>
      </c>
      <c r="E50" s="523">
        <v>3</v>
      </c>
      <c r="F50" s="522">
        <v>0</v>
      </c>
      <c r="G50" s="522">
        <v>0</v>
      </c>
      <c r="H50" s="522">
        <v>123</v>
      </c>
      <c r="I50" s="522">
        <v>34</v>
      </c>
      <c r="J50" s="523">
        <v>89</v>
      </c>
      <c r="K50" s="522">
        <v>3</v>
      </c>
      <c r="L50" s="522">
        <v>0</v>
      </c>
      <c r="M50" s="522">
        <v>0</v>
      </c>
      <c r="N50" s="522">
        <v>18</v>
      </c>
      <c r="O50" s="522">
        <v>5</v>
      </c>
      <c r="P50" s="523">
        <v>15</v>
      </c>
    </row>
    <row r="51" spans="1:27" ht="14.95" thickBot="1" x14ac:dyDescent="0.3">
      <c r="A51" s="520">
        <v>2</v>
      </c>
      <c r="B51" s="521" t="s">
        <v>51</v>
      </c>
      <c r="C51" s="928" t="s">
        <v>35</v>
      </c>
      <c r="D51" s="522">
        <v>3</v>
      </c>
      <c r="E51" s="523">
        <v>2</v>
      </c>
      <c r="F51" s="522">
        <v>0</v>
      </c>
      <c r="G51" s="522">
        <v>1</v>
      </c>
      <c r="H51" s="522">
        <v>72</v>
      </c>
      <c r="I51" s="522">
        <v>61</v>
      </c>
      <c r="J51" s="523">
        <v>11</v>
      </c>
      <c r="K51" s="522">
        <v>2</v>
      </c>
      <c r="L51" s="522">
        <v>1</v>
      </c>
      <c r="M51" s="522">
        <v>0</v>
      </c>
      <c r="N51" s="522">
        <v>10</v>
      </c>
      <c r="O51" s="522">
        <v>6</v>
      </c>
      <c r="P51" s="523">
        <v>11</v>
      </c>
    </row>
    <row r="52" spans="1:27" ht="14.95" thickBot="1" x14ac:dyDescent="0.3">
      <c r="A52" s="520">
        <v>3</v>
      </c>
      <c r="B52" s="521" t="s">
        <v>954</v>
      </c>
      <c r="C52" s="929" t="s">
        <v>39</v>
      </c>
      <c r="D52" s="522">
        <v>3</v>
      </c>
      <c r="E52" s="523">
        <v>2</v>
      </c>
      <c r="F52" s="522">
        <v>0</v>
      </c>
      <c r="G52" s="522">
        <v>1</v>
      </c>
      <c r="H52" s="522">
        <v>76</v>
      </c>
      <c r="I52" s="522">
        <v>70</v>
      </c>
      <c r="J52" s="523">
        <v>6</v>
      </c>
      <c r="K52" s="522">
        <v>1</v>
      </c>
      <c r="L52" s="522">
        <v>0</v>
      </c>
      <c r="M52" s="522">
        <v>0</v>
      </c>
      <c r="N52" s="522">
        <v>10</v>
      </c>
      <c r="O52" s="522">
        <v>9</v>
      </c>
      <c r="P52" s="523">
        <v>9</v>
      </c>
    </row>
    <row r="53" spans="1:27" ht="14.95" thickBot="1" x14ac:dyDescent="0.3">
      <c r="A53" s="520">
        <v>4</v>
      </c>
      <c r="B53" s="521" t="s">
        <v>955</v>
      </c>
      <c r="C53" s="927" t="s">
        <v>30</v>
      </c>
      <c r="D53" s="522">
        <v>3</v>
      </c>
      <c r="E53" s="523">
        <v>1</v>
      </c>
      <c r="F53" s="522">
        <v>0</v>
      </c>
      <c r="G53" s="522">
        <v>2</v>
      </c>
      <c r="H53" s="522">
        <v>89</v>
      </c>
      <c r="I53" s="522">
        <v>80</v>
      </c>
      <c r="J53" s="523">
        <v>9</v>
      </c>
      <c r="K53" s="522">
        <v>1</v>
      </c>
      <c r="L53" s="522">
        <v>0</v>
      </c>
      <c r="M53" s="522">
        <v>0</v>
      </c>
      <c r="N53" s="522">
        <v>12</v>
      </c>
      <c r="O53" s="522">
        <v>10</v>
      </c>
      <c r="P53" s="523">
        <v>5</v>
      </c>
    </row>
    <row r="54" spans="1:27" ht="14.95" thickBot="1" x14ac:dyDescent="0.3">
      <c r="A54" s="520">
        <v>5</v>
      </c>
      <c r="B54" s="521" t="s">
        <v>955</v>
      </c>
      <c r="C54" s="1028" t="s">
        <v>33</v>
      </c>
      <c r="D54" s="522">
        <v>3</v>
      </c>
      <c r="E54" s="523">
        <v>1</v>
      </c>
      <c r="F54" s="522">
        <v>0</v>
      </c>
      <c r="G54" s="522">
        <v>2</v>
      </c>
      <c r="H54" s="522">
        <v>39</v>
      </c>
      <c r="I54" s="522">
        <v>68</v>
      </c>
      <c r="J54" s="523">
        <v>-29</v>
      </c>
      <c r="K54" s="522">
        <v>0</v>
      </c>
      <c r="L54" s="522">
        <v>1</v>
      </c>
      <c r="M54" s="522">
        <v>0</v>
      </c>
      <c r="N54" s="522">
        <v>4</v>
      </c>
      <c r="O54" s="522">
        <v>10</v>
      </c>
      <c r="P54" s="523">
        <v>5</v>
      </c>
    </row>
    <row r="55" spans="1:27" ht="14.95" thickBot="1" x14ac:dyDescent="0.3">
      <c r="A55" s="520">
        <v>6</v>
      </c>
      <c r="B55" s="521" t="s">
        <v>51</v>
      </c>
      <c r="C55" s="930" t="s">
        <v>32</v>
      </c>
      <c r="D55" s="522">
        <v>3</v>
      </c>
      <c r="E55" s="523">
        <v>0</v>
      </c>
      <c r="F55" s="522">
        <v>0</v>
      </c>
      <c r="G55" s="522">
        <v>3</v>
      </c>
      <c r="H55" s="522">
        <v>42</v>
      </c>
      <c r="I55" s="522">
        <v>128</v>
      </c>
      <c r="J55" s="523">
        <v>-86</v>
      </c>
      <c r="K55" s="522">
        <v>0</v>
      </c>
      <c r="L55" s="522">
        <v>1</v>
      </c>
      <c r="M55" s="522">
        <v>0</v>
      </c>
      <c r="N55" s="522">
        <v>5</v>
      </c>
      <c r="O55" s="522">
        <v>19</v>
      </c>
      <c r="P55" s="523">
        <v>1</v>
      </c>
    </row>
    <row r="56" spans="1:27" x14ac:dyDescent="0.25">
      <c r="A56" s="909"/>
      <c r="B56" s="906"/>
      <c r="C56" s="906"/>
      <c r="D56" s="906"/>
      <c r="E56" s="906"/>
      <c r="F56" s="906"/>
      <c r="G56" s="906"/>
      <c r="H56" s="906"/>
      <c r="I56" s="906"/>
      <c r="J56" s="910"/>
    </row>
    <row r="57" spans="1:27" x14ac:dyDescent="0.25">
      <c r="A57" s="918" t="s">
        <v>936</v>
      </c>
      <c r="B57" s="936"/>
      <c r="C57" s="936"/>
      <c r="D57" s="936"/>
      <c r="E57" s="936"/>
      <c r="F57" s="936"/>
      <c r="G57" s="936"/>
      <c r="H57" s="936"/>
      <c r="I57" s="936"/>
      <c r="J57" s="995"/>
    </row>
    <row r="58" spans="1:27" ht="14.95" thickBot="1" x14ac:dyDescent="0.3">
      <c r="A58" s="909"/>
      <c r="B58" s="906"/>
      <c r="C58" s="906"/>
      <c r="D58" s="906"/>
      <c r="E58" s="906"/>
      <c r="F58" s="906"/>
      <c r="G58" s="906"/>
      <c r="H58" s="906"/>
      <c r="I58" s="906"/>
      <c r="J58" s="910"/>
    </row>
    <row r="59" spans="1:27" ht="29.25" thickBot="1" x14ac:dyDescent="0.3">
      <c r="A59" s="517" t="s">
        <v>47</v>
      </c>
      <c r="B59" s="518" t="s">
        <v>48</v>
      </c>
      <c r="C59" s="518"/>
      <c r="D59" s="518" t="s">
        <v>0</v>
      </c>
      <c r="E59" s="519" t="s">
        <v>1</v>
      </c>
      <c r="F59" s="518" t="s">
        <v>2</v>
      </c>
      <c r="G59" s="518" t="s">
        <v>3</v>
      </c>
      <c r="H59" s="518" t="s">
        <v>4</v>
      </c>
      <c r="I59" s="518" t="s">
        <v>5</v>
      </c>
      <c r="J59" s="519" t="s">
        <v>49</v>
      </c>
      <c r="K59" s="518" t="s">
        <v>21</v>
      </c>
      <c r="L59" s="518" t="s">
        <v>22</v>
      </c>
      <c r="M59" s="518" t="s">
        <v>64</v>
      </c>
      <c r="N59" s="518" t="s">
        <v>52</v>
      </c>
      <c r="O59" s="518" t="s">
        <v>53</v>
      </c>
      <c r="P59" s="519" t="s">
        <v>50</v>
      </c>
    </row>
    <row r="60" spans="1:27" ht="14.95" thickBot="1" x14ac:dyDescent="0.3">
      <c r="A60" s="520">
        <v>1</v>
      </c>
      <c r="B60" s="521" t="s">
        <v>639</v>
      </c>
      <c r="C60" s="928" t="s">
        <v>34</v>
      </c>
      <c r="D60" s="522">
        <v>2</v>
      </c>
      <c r="E60" s="523">
        <v>2</v>
      </c>
      <c r="F60" s="522">
        <v>0</v>
      </c>
      <c r="G60" s="522">
        <v>0</v>
      </c>
      <c r="H60" s="522">
        <v>90</v>
      </c>
      <c r="I60" s="522">
        <v>26</v>
      </c>
      <c r="J60" s="523">
        <v>64</v>
      </c>
      <c r="K60" s="522">
        <v>2</v>
      </c>
      <c r="L60" s="522">
        <v>0</v>
      </c>
      <c r="M60" s="522">
        <v>0</v>
      </c>
      <c r="N60" s="522">
        <v>13</v>
      </c>
      <c r="O60" s="522">
        <v>4</v>
      </c>
      <c r="P60" s="523">
        <v>10</v>
      </c>
    </row>
    <row r="61" spans="1:27" ht="14.95" thickBot="1" x14ac:dyDescent="0.3">
      <c r="A61" s="520">
        <v>2</v>
      </c>
      <c r="B61" s="521" t="s">
        <v>954</v>
      </c>
      <c r="C61" s="928" t="s">
        <v>35</v>
      </c>
      <c r="D61" s="522">
        <v>2</v>
      </c>
      <c r="E61" s="523">
        <v>1</v>
      </c>
      <c r="F61" s="522">
        <v>0</v>
      </c>
      <c r="G61" s="522">
        <v>1</v>
      </c>
      <c r="H61" s="522">
        <v>46</v>
      </c>
      <c r="I61" s="522">
        <v>38</v>
      </c>
      <c r="J61" s="523">
        <v>8</v>
      </c>
      <c r="K61" s="522">
        <v>1</v>
      </c>
      <c r="L61" s="522">
        <v>1</v>
      </c>
      <c r="M61" s="522">
        <v>0</v>
      </c>
      <c r="N61" s="522">
        <v>6</v>
      </c>
      <c r="O61" s="522">
        <v>4</v>
      </c>
      <c r="P61" s="523">
        <v>6</v>
      </c>
    </row>
    <row r="62" spans="1:27" ht="14.95" thickBot="1" x14ac:dyDescent="0.3">
      <c r="A62" s="520">
        <v>3</v>
      </c>
      <c r="B62" s="521" t="s">
        <v>640</v>
      </c>
      <c r="C62" s="927" t="s">
        <v>30</v>
      </c>
      <c r="D62" s="522">
        <v>2</v>
      </c>
      <c r="E62" s="523">
        <v>1</v>
      </c>
      <c r="F62" s="522">
        <v>0</v>
      </c>
      <c r="G62" s="522">
        <v>1</v>
      </c>
      <c r="H62" s="522">
        <v>68</v>
      </c>
      <c r="I62" s="522">
        <v>38</v>
      </c>
      <c r="J62" s="523">
        <v>30</v>
      </c>
      <c r="K62" s="522">
        <v>1</v>
      </c>
      <c r="L62" s="522">
        <v>0</v>
      </c>
      <c r="M62" s="522">
        <v>0</v>
      </c>
      <c r="N62" s="522">
        <v>9</v>
      </c>
      <c r="O62" s="522">
        <v>5</v>
      </c>
      <c r="P62" s="523">
        <v>5</v>
      </c>
    </row>
    <row r="63" spans="1:27" ht="14.95" thickBot="1" x14ac:dyDescent="0.3">
      <c r="A63" s="520">
        <v>4</v>
      </c>
      <c r="B63" s="521" t="s">
        <v>955</v>
      </c>
      <c r="C63" s="1028" t="s">
        <v>33</v>
      </c>
      <c r="D63" s="522">
        <v>2</v>
      </c>
      <c r="E63" s="523">
        <v>1</v>
      </c>
      <c r="F63" s="522">
        <v>0</v>
      </c>
      <c r="G63" s="522">
        <v>1</v>
      </c>
      <c r="H63" s="522">
        <v>31</v>
      </c>
      <c r="I63" s="522">
        <v>35</v>
      </c>
      <c r="J63" s="523">
        <v>-4</v>
      </c>
      <c r="K63" s="522">
        <v>0</v>
      </c>
      <c r="L63" s="522">
        <v>1</v>
      </c>
      <c r="M63" s="522">
        <v>0</v>
      </c>
      <c r="N63" s="522">
        <v>3</v>
      </c>
      <c r="O63" s="522">
        <v>5</v>
      </c>
      <c r="P63" s="523">
        <v>5</v>
      </c>
    </row>
    <row r="64" spans="1:27" ht="14.95" thickBot="1" x14ac:dyDescent="0.3">
      <c r="A64" s="520">
        <v>5</v>
      </c>
      <c r="B64" s="521" t="s">
        <v>51</v>
      </c>
      <c r="C64" s="929" t="s">
        <v>39</v>
      </c>
      <c r="D64" s="522">
        <v>2</v>
      </c>
      <c r="E64" s="523">
        <v>1</v>
      </c>
      <c r="F64" s="522">
        <v>0</v>
      </c>
      <c r="G64" s="522">
        <v>1</v>
      </c>
      <c r="H64" s="522">
        <v>34</v>
      </c>
      <c r="I64" s="522">
        <v>49</v>
      </c>
      <c r="J64" s="523">
        <v>-15</v>
      </c>
      <c r="K64" s="522">
        <v>0</v>
      </c>
      <c r="L64" s="522">
        <v>0</v>
      </c>
      <c r="M64" s="522">
        <v>0</v>
      </c>
      <c r="N64" s="522">
        <v>5</v>
      </c>
      <c r="O64" s="522">
        <v>6</v>
      </c>
      <c r="P64" s="523">
        <v>4</v>
      </c>
    </row>
    <row r="65" spans="1:16" ht="14.95" thickBot="1" x14ac:dyDescent="0.3">
      <c r="A65" s="520">
        <v>6</v>
      </c>
      <c r="B65" s="521" t="s">
        <v>51</v>
      </c>
      <c r="C65" s="930" t="s">
        <v>32</v>
      </c>
      <c r="D65" s="522">
        <v>2</v>
      </c>
      <c r="E65" s="523">
        <v>0</v>
      </c>
      <c r="F65" s="522">
        <v>0</v>
      </c>
      <c r="G65" s="522">
        <v>2</v>
      </c>
      <c r="H65" s="522">
        <v>19</v>
      </c>
      <c r="I65" s="522">
        <v>102</v>
      </c>
      <c r="J65" s="523">
        <v>-83</v>
      </c>
      <c r="K65" s="522">
        <v>0</v>
      </c>
      <c r="L65" s="522">
        <v>0</v>
      </c>
      <c r="M65" s="522">
        <v>0</v>
      </c>
      <c r="N65" s="522">
        <v>3</v>
      </c>
      <c r="O65" s="522">
        <v>15</v>
      </c>
      <c r="P65" s="523">
        <v>0</v>
      </c>
    </row>
    <row r="66" spans="1:16" ht="16.3" x14ac:dyDescent="0.3">
      <c r="A66" s="792"/>
    </row>
    <row r="67" spans="1:16" x14ac:dyDescent="0.25">
      <c r="A67" s="918" t="s">
        <v>930</v>
      </c>
      <c r="B67" s="898"/>
      <c r="C67" s="898"/>
      <c r="D67" s="898"/>
      <c r="E67" s="898"/>
      <c r="F67" s="898"/>
      <c r="G67" s="898"/>
      <c r="H67" s="898"/>
      <c r="I67" s="898"/>
      <c r="J67" s="376"/>
    </row>
    <row r="68" spans="1:16" ht="14.95" thickBot="1" x14ac:dyDescent="0.3"/>
    <row r="69" spans="1:16" ht="29.25" thickBot="1" x14ac:dyDescent="0.3">
      <c r="A69" s="517" t="s">
        <v>47</v>
      </c>
      <c r="B69" s="518" t="s">
        <v>48</v>
      </c>
      <c r="C69" s="518"/>
      <c r="D69" s="518" t="s">
        <v>0</v>
      </c>
      <c r="E69" s="519" t="s">
        <v>1</v>
      </c>
      <c r="F69" s="518" t="s">
        <v>2</v>
      </c>
      <c r="G69" s="518" t="s">
        <v>3</v>
      </c>
      <c r="H69" s="518" t="s">
        <v>4</v>
      </c>
      <c r="I69" s="518" t="s">
        <v>5</v>
      </c>
      <c r="J69" s="519" t="s">
        <v>49</v>
      </c>
      <c r="K69" s="518" t="s">
        <v>21</v>
      </c>
      <c r="L69" s="518" t="s">
        <v>22</v>
      </c>
      <c r="M69" s="518" t="s">
        <v>64</v>
      </c>
      <c r="N69" s="518" t="s">
        <v>52</v>
      </c>
      <c r="O69" s="518" t="s">
        <v>53</v>
      </c>
      <c r="P69" s="519" t="s">
        <v>50</v>
      </c>
    </row>
    <row r="70" spans="1:16" ht="14.95" thickBot="1" x14ac:dyDescent="0.3">
      <c r="A70" s="520">
        <v>1</v>
      </c>
      <c r="B70" s="521" t="s">
        <v>51</v>
      </c>
      <c r="C70" s="927" t="s">
        <v>30</v>
      </c>
      <c r="D70" s="522">
        <v>1</v>
      </c>
      <c r="E70" s="523">
        <v>1</v>
      </c>
      <c r="F70" s="522">
        <v>0</v>
      </c>
      <c r="G70" s="522">
        <v>0</v>
      </c>
      <c r="H70" s="522">
        <v>48</v>
      </c>
      <c r="I70" s="522">
        <v>7</v>
      </c>
      <c r="J70" s="523">
        <v>41</v>
      </c>
      <c r="K70" s="522">
        <v>1</v>
      </c>
      <c r="L70" s="522">
        <v>0</v>
      </c>
      <c r="M70" s="522">
        <v>0</v>
      </c>
      <c r="N70" s="522">
        <v>7</v>
      </c>
      <c r="O70" s="522">
        <v>1</v>
      </c>
      <c r="P70" s="523">
        <v>5</v>
      </c>
    </row>
    <row r="71" spans="1:16" ht="14.95" thickBot="1" x14ac:dyDescent="0.3">
      <c r="A71" s="520">
        <v>2</v>
      </c>
      <c r="B71" s="521" t="s">
        <v>51</v>
      </c>
      <c r="C71" s="928" t="s">
        <v>34</v>
      </c>
      <c r="D71" s="522">
        <v>1</v>
      </c>
      <c r="E71" s="523">
        <v>1</v>
      </c>
      <c r="F71" s="522">
        <v>0</v>
      </c>
      <c r="G71" s="522">
        <v>0</v>
      </c>
      <c r="H71" s="522">
        <v>36</v>
      </c>
      <c r="I71" s="522">
        <v>14</v>
      </c>
      <c r="J71" s="523">
        <v>22</v>
      </c>
      <c r="K71" s="522">
        <v>1</v>
      </c>
      <c r="L71" s="522">
        <v>0</v>
      </c>
      <c r="M71" s="522">
        <v>0</v>
      </c>
      <c r="N71" s="522">
        <v>5</v>
      </c>
      <c r="O71" s="522">
        <v>2</v>
      </c>
      <c r="P71" s="523">
        <v>5</v>
      </c>
    </row>
    <row r="72" spans="1:16" ht="14.95" thickBot="1" x14ac:dyDescent="0.3">
      <c r="A72" s="520">
        <v>3</v>
      </c>
      <c r="B72" s="521" t="s">
        <v>51</v>
      </c>
      <c r="C72" s="1028" t="s">
        <v>33</v>
      </c>
      <c r="D72" s="522">
        <v>1</v>
      </c>
      <c r="E72" s="523">
        <v>1</v>
      </c>
      <c r="F72" s="522">
        <v>0</v>
      </c>
      <c r="G72" s="522">
        <v>0</v>
      </c>
      <c r="H72" s="522">
        <v>18</v>
      </c>
      <c r="I72" s="522">
        <v>15</v>
      </c>
      <c r="J72" s="523">
        <v>3</v>
      </c>
      <c r="K72" s="522">
        <v>0</v>
      </c>
      <c r="L72" s="522">
        <v>0</v>
      </c>
      <c r="M72" s="522">
        <v>0</v>
      </c>
      <c r="N72" s="522">
        <v>2</v>
      </c>
      <c r="O72" s="522">
        <v>2</v>
      </c>
      <c r="P72" s="523">
        <v>4</v>
      </c>
    </row>
    <row r="73" spans="1:16" ht="14.95" thickBot="1" x14ac:dyDescent="0.3">
      <c r="A73" s="520">
        <v>4</v>
      </c>
      <c r="B73" s="521" t="s">
        <v>51</v>
      </c>
      <c r="C73" s="928" t="s">
        <v>35</v>
      </c>
      <c r="D73" s="522">
        <v>1</v>
      </c>
      <c r="E73" s="523">
        <v>0</v>
      </c>
      <c r="F73" s="522">
        <v>0</v>
      </c>
      <c r="G73" s="522">
        <v>1</v>
      </c>
      <c r="H73" s="522">
        <v>15</v>
      </c>
      <c r="I73" s="522">
        <v>18</v>
      </c>
      <c r="J73" s="523">
        <v>-3</v>
      </c>
      <c r="K73" s="522">
        <v>0</v>
      </c>
      <c r="L73" s="522">
        <v>1</v>
      </c>
      <c r="M73" s="522">
        <v>0</v>
      </c>
      <c r="N73" s="522">
        <v>2</v>
      </c>
      <c r="O73" s="522">
        <v>2</v>
      </c>
      <c r="P73" s="523">
        <v>1</v>
      </c>
    </row>
    <row r="74" spans="1:16" ht="14.95" thickBot="1" x14ac:dyDescent="0.3">
      <c r="A74" s="520">
        <v>5</v>
      </c>
      <c r="B74" s="521" t="s">
        <v>51</v>
      </c>
      <c r="C74" s="929" t="s">
        <v>39</v>
      </c>
      <c r="D74" s="522">
        <v>1</v>
      </c>
      <c r="E74" s="523">
        <v>0</v>
      </c>
      <c r="F74" s="522">
        <v>0</v>
      </c>
      <c r="G74" s="522">
        <v>1</v>
      </c>
      <c r="H74" s="522">
        <v>14</v>
      </c>
      <c r="I74" s="522">
        <v>36</v>
      </c>
      <c r="J74" s="523">
        <v>-22</v>
      </c>
      <c r="K74" s="522">
        <v>0</v>
      </c>
      <c r="L74" s="522">
        <v>0</v>
      </c>
      <c r="M74" s="522">
        <v>0</v>
      </c>
      <c r="N74" s="522">
        <v>2</v>
      </c>
      <c r="O74" s="522">
        <v>5</v>
      </c>
      <c r="P74" s="523">
        <v>0</v>
      </c>
    </row>
    <row r="75" spans="1:16" ht="14.95" thickBot="1" x14ac:dyDescent="0.3">
      <c r="A75" s="520">
        <v>6</v>
      </c>
      <c r="B75" s="521" t="s">
        <v>51</v>
      </c>
      <c r="C75" s="930" t="s">
        <v>32</v>
      </c>
      <c r="D75" s="522">
        <v>1</v>
      </c>
      <c r="E75" s="523">
        <v>0</v>
      </c>
      <c r="F75" s="522">
        <v>0</v>
      </c>
      <c r="G75" s="522">
        <v>1</v>
      </c>
      <c r="H75" s="522">
        <v>7</v>
      </c>
      <c r="I75" s="522">
        <v>48</v>
      </c>
      <c r="J75" s="523">
        <v>-41</v>
      </c>
      <c r="K75" s="522">
        <v>0</v>
      </c>
      <c r="L75" s="522">
        <v>0</v>
      </c>
      <c r="M75" s="522">
        <v>0</v>
      </c>
      <c r="N75" s="522">
        <v>1</v>
      </c>
      <c r="O75" s="522">
        <v>7</v>
      </c>
      <c r="P75" s="523">
        <v>0</v>
      </c>
    </row>
    <row r="76" spans="1:16" ht="16.3" x14ac:dyDescent="0.3">
      <c r="A76" s="792" t="s">
        <v>28</v>
      </c>
    </row>
  </sheetData>
  <sortState xmlns:xlrd2="http://schemas.microsoft.com/office/spreadsheetml/2017/richdata2" ref="A19:P24">
    <sortCondition descending="1" ref="P19:P24"/>
    <sortCondition descending="1" ref="J19:J24"/>
    <sortCondition descending="1" ref="N19:N24"/>
    <sortCondition ref="C19:C24"/>
  </sortState>
  <mergeCells count="41">
    <mergeCell ref="O1:P1"/>
    <mergeCell ref="AN2:AO2"/>
    <mergeCell ref="AN12:AO12"/>
    <mergeCell ref="S29:U29"/>
    <mergeCell ref="V29:X29"/>
    <mergeCell ref="Y29:AA29"/>
    <mergeCell ref="C16:E16"/>
    <mergeCell ref="L16:N16"/>
    <mergeCell ref="C15:E15"/>
    <mergeCell ref="L15:N15"/>
    <mergeCell ref="R39:AA39"/>
    <mergeCell ref="C28:H28"/>
    <mergeCell ref="C4:E4"/>
    <mergeCell ref="I4:K4"/>
    <mergeCell ref="L4:N4"/>
    <mergeCell ref="C5:E5"/>
    <mergeCell ref="L5:N5"/>
    <mergeCell ref="F1:G1"/>
    <mergeCell ref="C2:E2"/>
    <mergeCell ref="I2:K2"/>
    <mergeCell ref="L2:N2"/>
    <mergeCell ref="C3:E3"/>
    <mergeCell ref="L3:N3"/>
    <mergeCell ref="L6:N6"/>
    <mergeCell ref="C7:E7"/>
    <mergeCell ref="L7:N7"/>
    <mergeCell ref="C8:E8"/>
    <mergeCell ref="L8:N8"/>
    <mergeCell ref="C6:E6"/>
    <mergeCell ref="C9:E9"/>
    <mergeCell ref="L9:N9"/>
    <mergeCell ref="C10:E10"/>
    <mergeCell ref="L10:N10"/>
    <mergeCell ref="C11:E11"/>
    <mergeCell ref="L11:N11"/>
    <mergeCell ref="C12:E12"/>
    <mergeCell ref="L12:N12"/>
    <mergeCell ref="C13:E13"/>
    <mergeCell ref="L13:N13"/>
    <mergeCell ref="C14:E14"/>
    <mergeCell ref="L14:N14"/>
  </mergeCells>
  <pageMargins left="0.7" right="0.7" top="0.75" bottom="0.75" header="0.3" footer="0.3"/>
  <pageSetup paperSize="9" orientation="portrait" r:id="rId1"/>
  <ignoredErrors>
    <ignoredError sqref="T2 T11" twoDigitTextYear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U29"/>
  <sheetViews>
    <sheetView zoomScale="90" zoomScaleNormal="90" workbookViewId="0">
      <selection activeCell="W24" sqref="W24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1.375" customWidth="1"/>
    <col min="4" max="4" width="4.375" bestFit="1" customWidth="1"/>
    <col min="5" max="5" width="3.625" customWidth="1"/>
    <col min="6" max="7" width="4" customWidth="1"/>
    <col min="8" max="18" width="3.625" customWidth="1"/>
    <col min="19" max="20" width="6.375" customWidth="1"/>
    <col min="21" max="21" width="19.25" bestFit="1" customWidth="1"/>
    <col min="22" max="22" width="19.875" bestFit="1" customWidth="1"/>
    <col min="23" max="23" width="18.75" bestFit="1" customWidth="1"/>
    <col min="24" max="24" width="21.5" bestFit="1" customWidth="1"/>
    <col min="25" max="25" width="21.25" bestFit="1" customWidth="1"/>
    <col min="26" max="41" width="3.625" customWidth="1"/>
    <col min="42" max="42" width="1.625" customWidth="1"/>
    <col min="43" max="43" width="13.125" bestFit="1" customWidth="1"/>
    <col min="45" max="45" width="2.625" customWidth="1"/>
    <col min="46" max="46" width="13.125" bestFit="1" customWidth="1"/>
  </cols>
  <sheetData>
    <row r="1" spans="1:47" ht="14.95" customHeight="1" thickBot="1" x14ac:dyDescent="0.3">
      <c r="A1" s="1120" t="s">
        <v>892</v>
      </c>
      <c r="B1" s="1121"/>
      <c r="C1" s="1121"/>
      <c r="D1" s="105"/>
      <c r="E1" s="1122" t="s">
        <v>24</v>
      </c>
      <c r="F1" s="1123"/>
      <c r="G1" s="1124"/>
      <c r="H1" s="1122" t="s">
        <v>23</v>
      </c>
      <c r="I1" s="1124"/>
      <c r="J1" s="1117" t="s">
        <v>6</v>
      </c>
      <c r="K1" s="1118"/>
      <c r="L1" s="1118"/>
      <c r="M1" s="1119"/>
      <c r="N1" s="1117" t="s">
        <v>7</v>
      </c>
      <c r="O1" s="1119"/>
      <c r="P1" s="1117" t="s">
        <v>25</v>
      </c>
      <c r="Q1" s="1118"/>
      <c r="R1" s="1119"/>
      <c r="S1" s="236" t="s">
        <v>8</v>
      </c>
      <c r="T1" s="236" t="s">
        <v>9</v>
      </c>
      <c r="U1" s="1" t="s">
        <v>10</v>
      </c>
      <c r="V1" s="6" t="s">
        <v>11</v>
      </c>
      <c r="W1" s="1" t="s">
        <v>211</v>
      </c>
      <c r="X1" s="25" t="s">
        <v>26</v>
      </c>
      <c r="Y1" s="106" t="s">
        <v>27</v>
      </c>
      <c r="Z1" s="1114" t="s">
        <v>20</v>
      </c>
      <c r="AA1" s="1177"/>
      <c r="AB1" s="1177"/>
      <c r="AC1" s="1178"/>
      <c r="AD1" s="1114" t="s">
        <v>61</v>
      </c>
      <c r="AE1" s="1177"/>
      <c r="AF1" s="1177"/>
      <c r="AG1" s="1178"/>
      <c r="AH1" s="1114" t="s">
        <v>62</v>
      </c>
      <c r="AI1" s="1177"/>
      <c r="AJ1" s="1177"/>
      <c r="AK1" s="1178"/>
      <c r="AL1" s="1114" t="s">
        <v>63</v>
      </c>
      <c r="AM1" s="1177"/>
      <c r="AN1" s="1177"/>
      <c r="AO1" s="1178"/>
      <c r="AQ1" s="227" t="s">
        <v>131</v>
      </c>
      <c r="AR1" s="218"/>
      <c r="AS1" s="218"/>
      <c r="AT1" s="227" t="s">
        <v>131</v>
      </c>
    </row>
    <row r="2" spans="1:47" ht="14.95" customHeight="1" thickBot="1" x14ac:dyDescent="0.3">
      <c r="A2" s="7" t="s">
        <v>19</v>
      </c>
      <c r="B2" s="8" t="s">
        <v>18</v>
      </c>
      <c r="C2" s="9" t="s">
        <v>201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4"/>
      <c r="X2" s="26"/>
      <c r="Y2" s="5"/>
      <c r="Z2" s="195" t="s">
        <v>0</v>
      </c>
      <c r="AA2" s="195" t="s">
        <v>1</v>
      </c>
      <c r="AB2" s="195" t="s">
        <v>2</v>
      </c>
      <c r="AC2" s="195" t="s">
        <v>3</v>
      </c>
      <c r="AD2" s="195" t="s">
        <v>0</v>
      </c>
      <c r="AE2" s="195" t="s">
        <v>1</v>
      </c>
      <c r="AF2" s="195" t="s">
        <v>2</v>
      </c>
      <c r="AG2" s="195" t="s">
        <v>3</v>
      </c>
      <c r="AH2" s="195" t="s">
        <v>0</v>
      </c>
      <c r="AI2" s="195" t="s">
        <v>1</v>
      </c>
      <c r="AJ2" s="195" t="s">
        <v>2</v>
      </c>
      <c r="AK2" s="195" t="s">
        <v>3</v>
      </c>
      <c r="AL2" s="195" t="s">
        <v>0</v>
      </c>
      <c r="AM2" s="195" t="s">
        <v>1</v>
      </c>
      <c r="AN2" s="195" t="s">
        <v>2</v>
      </c>
      <c r="AO2" s="195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">
      <c r="A3" s="268" t="s">
        <v>888</v>
      </c>
      <c r="B3" s="270" t="s">
        <v>46</v>
      </c>
      <c r="C3" s="270" t="s">
        <v>30</v>
      </c>
      <c r="D3" s="270" t="s">
        <v>88</v>
      </c>
      <c r="E3" s="271" t="s">
        <v>3</v>
      </c>
      <c r="F3" s="271">
        <v>7</v>
      </c>
      <c r="G3" s="271">
        <v>48</v>
      </c>
      <c r="H3" s="691">
        <v>0</v>
      </c>
      <c r="I3" s="691">
        <v>0</v>
      </c>
      <c r="J3" s="691">
        <v>1</v>
      </c>
      <c r="K3" s="691">
        <v>1</v>
      </c>
      <c r="L3" s="691">
        <v>0</v>
      </c>
      <c r="M3" s="691">
        <v>0</v>
      </c>
      <c r="N3" s="691">
        <v>4</v>
      </c>
      <c r="O3" s="691">
        <v>0</v>
      </c>
      <c r="P3" s="691">
        <v>1</v>
      </c>
      <c r="Q3" s="691">
        <v>0</v>
      </c>
      <c r="R3" s="691">
        <v>7</v>
      </c>
      <c r="S3" s="277">
        <v>81953</v>
      </c>
      <c r="T3" s="281" t="s">
        <v>383</v>
      </c>
      <c r="U3" s="279" t="s">
        <v>190</v>
      </c>
      <c r="V3" s="277" t="s">
        <v>256</v>
      </c>
      <c r="W3" s="277" t="s">
        <v>188</v>
      </c>
      <c r="X3" s="273" t="s">
        <v>169</v>
      </c>
      <c r="Y3" s="280" t="s">
        <v>216</v>
      </c>
      <c r="Z3" s="273">
        <v>1</v>
      </c>
      <c r="AA3" s="273">
        <v>0</v>
      </c>
      <c r="AB3" s="273">
        <v>0</v>
      </c>
      <c r="AC3" s="287">
        <v>1</v>
      </c>
      <c r="AD3" s="273">
        <v>0</v>
      </c>
      <c r="AE3" s="273">
        <v>0</v>
      </c>
      <c r="AF3" s="273">
        <v>0</v>
      </c>
      <c r="AG3" s="287">
        <v>0</v>
      </c>
      <c r="AH3" s="273">
        <v>1</v>
      </c>
      <c r="AI3" s="273">
        <v>0</v>
      </c>
      <c r="AJ3" s="273">
        <v>0</v>
      </c>
      <c r="AK3" s="287">
        <v>1</v>
      </c>
      <c r="AL3" s="273">
        <v>0</v>
      </c>
      <c r="AM3" s="273">
        <v>0</v>
      </c>
      <c r="AN3" s="273">
        <v>0</v>
      </c>
      <c r="AO3" s="287">
        <v>0</v>
      </c>
      <c r="AQ3" s="214" t="s">
        <v>101</v>
      </c>
      <c r="AR3" s="215">
        <f>Walesalltestshistplayed</f>
        <v>806</v>
      </c>
      <c r="AT3" s="214" t="s">
        <v>101</v>
      </c>
      <c r="AU3" s="215">
        <f>WalesRWChistplayed</f>
        <v>49</v>
      </c>
    </row>
    <row r="4" spans="1:47" ht="14.95" customHeight="1" thickBot="1" x14ac:dyDescent="0.3">
      <c r="A4" s="289" t="s">
        <v>363</v>
      </c>
      <c r="B4" s="290" t="s">
        <v>46</v>
      </c>
      <c r="C4" s="290" t="s">
        <v>34</v>
      </c>
      <c r="D4" s="290" t="s">
        <v>84</v>
      </c>
      <c r="E4" s="291" t="s">
        <v>3</v>
      </c>
      <c r="F4" s="291">
        <v>12</v>
      </c>
      <c r="G4" s="291">
        <v>54</v>
      </c>
      <c r="H4" s="692">
        <v>0</v>
      </c>
      <c r="I4" s="692">
        <v>0</v>
      </c>
      <c r="J4" s="692">
        <v>2</v>
      </c>
      <c r="K4" s="692">
        <v>1</v>
      </c>
      <c r="L4" s="692">
        <v>0</v>
      </c>
      <c r="M4" s="692">
        <v>0</v>
      </c>
      <c r="N4" s="692">
        <v>0</v>
      </c>
      <c r="O4" s="692">
        <v>0</v>
      </c>
      <c r="P4" s="692">
        <v>1</v>
      </c>
      <c r="Q4" s="692">
        <v>0</v>
      </c>
      <c r="R4" s="692">
        <v>8</v>
      </c>
      <c r="S4" s="292">
        <v>57744</v>
      </c>
      <c r="T4" s="293" t="s">
        <v>952</v>
      </c>
      <c r="U4" s="294" t="s">
        <v>166</v>
      </c>
      <c r="V4" s="292" t="s">
        <v>240</v>
      </c>
      <c r="W4" s="292" t="s">
        <v>235</v>
      </c>
      <c r="X4" s="295" t="s">
        <v>189</v>
      </c>
      <c r="Y4" s="296" t="s">
        <v>254</v>
      </c>
      <c r="Z4" s="295">
        <v>1</v>
      </c>
      <c r="AA4" s="295">
        <v>0</v>
      </c>
      <c r="AB4" s="295">
        <v>0</v>
      </c>
      <c r="AC4" s="307">
        <v>1</v>
      </c>
      <c r="AD4" s="295">
        <v>1</v>
      </c>
      <c r="AE4" s="295">
        <v>0</v>
      </c>
      <c r="AF4" s="295">
        <v>0</v>
      </c>
      <c r="AG4" s="307">
        <v>1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Walesalltestshistwon</f>
        <v>406</v>
      </c>
      <c r="AT4" s="216" t="s">
        <v>102</v>
      </c>
      <c r="AU4" s="217">
        <f>WalesRWChistwon</f>
        <v>30</v>
      </c>
    </row>
    <row r="5" spans="1:47" ht="14.95" customHeight="1" thickBot="1" x14ac:dyDescent="0.35">
      <c r="A5" s="289" t="s">
        <v>884</v>
      </c>
      <c r="B5" s="290" t="s">
        <v>46</v>
      </c>
      <c r="C5" s="290" t="s">
        <v>35</v>
      </c>
      <c r="D5" s="290" t="s">
        <v>84</v>
      </c>
      <c r="E5" s="291" t="s">
        <v>3</v>
      </c>
      <c r="F5" s="291">
        <v>23</v>
      </c>
      <c r="G5" s="291">
        <v>26</v>
      </c>
      <c r="H5" s="692">
        <v>0</v>
      </c>
      <c r="I5" s="692">
        <v>1</v>
      </c>
      <c r="J5" s="692">
        <v>2</v>
      </c>
      <c r="K5" s="692">
        <v>2</v>
      </c>
      <c r="L5" s="692">
        <v>0</v>
      </c>
      <c r="M5" s="692">
        <v>3</v>
      </c>
      <c r="N5" s="692">
        <v>1</v>
      </c>
      <c r="O5" s="692">
        <v>0</v>
      </c>
      <c r="P5" s="692">
        <v>1</v>
      </c>
      <c r="Q5" s="692">
        <v>0</v>
      </c>
      <c r="R5" s="692">
        <v>4</v>
      </c>
      <c r="S5" s="292">
        <v>70649</v>
      </c>
      <c r="T5" s="710" t="s">
        <v>1036</v>
      </c>
      <c r="U5" s="294" t="s">
        <v>167</v>
      </c>
      <c r="V5" s="292" t="s">
        <v>196</v>
      </c>
      <c r="W5" s="292" t="s">
        <v>181</v>
      </c>
      <c r="X5" s="295" t="s">
        <v>161</v>
      </c>
      <c r="Y5" s="296" t="s">
        <v>421</v>
      </c>
      <c r="Z5" s="295">
        <v>1</v>
      </c>
      <c r="AA5" s="295">
        <v>0</v>
      </c>
      <c r="AB5" s="295">
        <v>0</v>
      </c>
      <c r="AC5" s="307">
        <v>1</v>
      </c>
      <c r="AD5" s="295">
        <v>1</v>
      </c>
      <c r="AE5" s="295">
        <v>0</v>
      </c>
      <c r="AF5" s="295">
        <v>0</v>
      </c>
      <c r="AG5" s="307">
        <v>1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Walesalltestshistdrawn</f>
        <v>30</v>
      </c>
      <c r="AT5" s="216" t="s">
        <v>107</v>
      </c>
      <c r="AU5" s="217">
        <f>WalesRWChistdrawn</f>
        <v>0</v>
      </c>
    </row>
    <row r="6" spans="1:47" ht="14.95" customHeight="1" thickBot="1" x14ac:dyDescent="0.3">
      <c r="A6" s="268" t="s">
        <v>885</v>
      </c>
      <c r="B6" s="270" t="s">
        <v>46</v>
      </c>
      <c r="C6" s="270" t="s">
        <v>39</v>
      </c>
      <c r="D6" s="270" t="s">
        <v>87</v>
      </c>
      <c r="E6" s="271" t="s">
        <v>3</v>
      </c>
      <c r="F6" s="271">
        <v>17</v>
      </c>
      <c r="G6" s="271">
        <v>27</v>
      </c>
      <c r="H6" s="691">
        <v>0</v>
      </c>
      <c r="I6" s="691">
        <v>0</v>
      </c>
      <c r="J6" s="691">
        <v>2</v>
      </c>
      <c r="K6" s="691">
        <v>2</v>
      </c>
      <c r="L6" s="691">
        <v>0</v>
      </c>
      <c r="M6" s="691">
        <v>1</v>
      </c>
      <c r="N6" s="691">
        <v>1</v>
      </c>
      <c r="O6" s="691">
        <v>0</v>
      </c>
      <c r="P6" s="691">
        <v>1</v>
      </c>
      <c r="Q6" s="691">
        <v>0</v>
      </c>
      <c r="R6" s="691">
        <v>4</v>
      </c>
      <c r="S6" s="277">
        <v>51700</v>
      </c>
      <c r="T6" s="281" t="s">
        <v>1058</v>
      </c>
      <c r="U6" s="279" t="s">
        <v>161</v>
      </c>
      <c r="V6" s="277" t="s">
        <v>228</v>
      </c>
      <c r="W6" s="277" t="s">
        <v>256</v>
      </c>
      <c r="X6" s="273" t="s">
        <v>184</v>
      </c>
      <c r="Y6" s="280" t="s">
        <v>241</v>
      </c>
      <c r="Z6" s="273">
        <v>1</v>
      </c>
      <c r="AA6" s="273">
        <v>0</v>
      </c>
      <c r="AB6" s="273">
        <v>0</v>
      </c>
      <c r="AC6" s="287">
        <v>1</v>
      </c>
      <c r="AD6" s="273">
        <v>0</v>
      </c>
      <c r="AE6" s="273">
        <v>0</v>
      </c>
      <c r="AF6" s="273">
        <v>0</v>
      </c>
      <c r="AG6" s="287">
        <v>0</v>
      </c>
      <c r="AH6" s="273">
        <v>1</v>
      </c>
      <c r="AI6" s="273">
        <v>0</v>
      </c>
      <c r="AJ6" s="273">
        <v>0</v>
      </c>
      <c r="AK6" s="287">
        <v>1</v>
      </c>
      <c r="AL6" s="273">
        <v>0</v>
      </c>
      <c r="AM6" s="273">
        <v>0</v>
      </c>
      <c r="AN6" s="273">
        <v>0</v>
      </c>
      <c r="AO6" s="287">
        <v>0</v>
      </c>
      <c r="AQ6" s="216" t="s">
        <v>103</v>
      </c>
      <c r="AR6" s="217">
        <f>Walesalltestshistlost</f>
        <v>369</v>
      </c>
      <c r="AT6" s="216" t="s">
        <v>103</v>
      </c>
      <c r="AU6" s="217">
        <f>WalesRWChistlost</f>
        <v>19</v>
      </c>
    </row>
    <row r="7" spans="1:47" ht="14.95" customHeight="1" thickBot="1" x14ac:dyDescent="0.3">
      <c r="A7" s="289" t="s">
        <v>872</v>
      </c>
      <c r="B7" s="290" t="s">
        <v>46</v>
      </c>
      <c r="C7" s="290" t="s">
        <v>33</v>
      </c>
      <c r="D7" s="290" t="s">
        <v>84</v>
      </c>
      <c r="E7" s="291"/>
      <c r="F7" s="291"/>
      <c r="G7" s="291"/>
      <c r="H7" s="692"/>
      <c r="I7" s="692"/>
      <c r="J7" s="692"/>
      <c r="K7" s="692"/>
      <c r="L7" s="692"/>
      <c r="M7" s="692"/>
      <c r="N7" s="692"/>
      <c r="O7" s="692"/>
      <c r="P7" s="692"/>
      <c r="Q7" s="692"/>
      <c r="R7" s="692"/>
      <c r="S7" s="295"/>
      <c r="T7" s="297"/>
      <c r="U7" s="295"/>
      <c r="V7" s="292"/>
      <c r="W7" s="292"/>
      <c r="X7" s="295"/>
      <c r="Y7" s="296"/>
      <c r="Z7" s="295"/>
      <c r="AA7" s="295"/>
      <c r="AB7" s="295"/>
      <c r="AC7" s="307"/>
      <c r="AD7" s="295"/>
      <c r="AE7" s="295"/>
      <c r="AF7" s="295"/>
      <c r="AG7" s="307"/>
      <c r="AH7" s="295"/>
      <c r="AI7" s="295"/>
      <c r="AJ7" s="295"/>
      <c r="AK7" s="307"/>
      <c r="AL7" s="295"/>
      <c r="AM7" s="295"/>
      <c r="AN7" s="295"/>
      <c r="AO7" s="307"/>
      <c r="AQ7" s="216" t="s">
        <v>108</v>
      </c>
      <c r="AR7" s="217">
        <f>Walesalltestshistptsscored</f>
        <v>14229</v>
      </c>
      <c r="AT7" s="216" t="s">
        <v>108</v>
      </c>
      <c r="AU7" s="217">
        <f>WalesRWChistptsscored</f>
        <v>1398</v>
      </c>
    </row>
    <row r="8" spans="1:47" ht="14.95" customHeight="1" thickBot="1" x14ac:dyDescent="0.35">
      <c r="A8" s="289" t="s">
        <v>873</v>
      </c>
      <c r="B8" s="305" t="s">
        <v>876</v>
      </c>
      <c r="C8" s="290" t="s">
        <v>31</v>
      </c>
      <c r="D8" s="508" t="s">
        <v>1031</v>
      </c>
      <c r="E8" s="306"/>
      <c r="F8" s="291"/>
      <c r="G8" s="291"/>
      <c r="H8" s="692"/>
      <c r="I8" s="692"/>
      <c r="J8" s="692"/>
      <c r="K8" s="692"/>
      <c r="L8" s="692"/>
      <c r="M8" s="692"/>
      <c r="N8" s="692"/>
      <c r="O8" s="692"/>
      <c r="P8" s="692"/>
      <c r="Q8" s="692"/>
      <c r="R8" s="692"/>
      <c r="S8" s="295"/>
      <c r="T8" s="473"/>
      <c r="U8" s="295"/>
      <c r="V8" s="295"/>
      <c r="W8" s="295"/>
      <c r="X8" s="295"/>
      <c r="Y8" s="296"/>
      <c r="Z8" s="295"/>
      <c r="AA8" s="295"/>
      <c r="AB8" s="295"/>
      <c r="AC8" s="307"/>
      <c r="AD8" s="295"/>
      <c r="AE8" s="295"/>
      <c r="AF8" s="295"/>
      <c r="AG8" s="307"/>
      <c r="AH8" s="295"/>
      <c r="AI8" s="295"/>
      <c r="AJ8" s="295"/>
      <c r="AK8" s="307"/>
      <c r="AL8" s="295"/>
      <c r="AM8" s="295"/>
      <c r="AN8" s="295"/>
      <c r="AO8" s="307"/>
      <c r="AQ8" s="216" t="s">
        <v>109</v>
      </c>
      <c r="AR8" s="217">
        <f>Walesalltestshistptscon</f>
        <v>13168</v>
      </c>
      <c r="AT8" s="216" t="s">
        <v>109</v>
      </c>
      <c r="AU8" s="217">
        <f>WalesRWChistptscon</f>
        <v>953</v>
      </c>
    </row>
    <row r="9" spans="1:47" ht="14.95" customHeight="1" thickBot="1" x14ac:dyDescent="0.35">
      <c r="A9" s="268" t="s">
        <v>875</v>
      </c>
      <c r="B9" s="283" t="s">
        <v>876</v>
      </c>
      <c r="C9" s="270" t="s">
        <v>37</v>
      </c>
      <c r="D9" s="312" t="s">
        <v>288</v>
      </c>
      <c r="E9" s="285"/>
      <c r="F9" s="271"/>
      <c r="G9" s="27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273"/>
      <c r="T9" s="316"/>
      <c r="U9" s="273"/>
      <c r="V9" s="273"/>
      <c r="W9" s="273"/>
      <c r="X9" s="273"/>
      <c r="Y9" s="273"/>
      <c r="Z9" s="273"/>
      <c r="AA9" s="273"/>
      <c r="AB9" s="273"/>
      <c r="AC9" s="287"/>
      <c r="AD9" s="273"/>
      <c r="AE9" s="273"/>
      <c r="AF9" s="273"/>
      <c r="AG9" s="287"/>
      <c r="AH9" s="273"/>
      <c r="AI9" s="273"/>
      <c r="AJ9" s="273"/>
      <c r="AK9" s="287"/>
      <c r="AL9" s="273"/>
      <c r="AM9" s="273"/>
      <c r="AN9" s="273"/>
      <c r="AO9" s="287"/>
      <c r="AQ9" s="216" t="s">
        <v>100</v>
      </c>
      <c r="AR9" s="217">
        <f>Walesalltestshisttriesscored</f>
        <v>1779</v>
      </c>
      <c r="AT9" s="216" t="s">
        <v>100</v>
      </c>
      <c r="AU9" s="217">
        <f>WalesRWChisttriesscored</f>
        <v>168</v>
      </c>
    </row>
    <row r="10" spans="1:47" ht="14.95" customHeight="1" thickBot="1" x14ac:dyDescent="0.3">
      <c r="A10" s="284" t="s">
        <v>498</v>
      </c>
      <c r="B10" s="283" t="s">
        <v>876</v>
      </c>
      <c r="C10" s="283" t="s">
        <v>138</v>
      </c>
      <c r="D10" s="312" t="s">
        <v>696</v>
      </c>
      <c r="E10" s="285"/>
      <c r="F10" s="271"/>
      <c r="G10" s="27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273"/>
      <c r="T10" s="286"/>
      <c r="U10" s="273"/>
      <c r="V10" s="273"/>
      <c r="W10" s="273"/>
      <c r="X10" s="273"/>
      <c r="Y10" s="590"/>
      <c r="Z10" s="273"/>
      <c r="AA10" s="591"/>
      <c r="AB10" s="591"/>
      <c r="AC10" s="722"/>
      <c r="AD10" s="591"/>
      <c r="AE10" s="591"/>
      <c r="AF10" s="591"/>
      <c r="AG10" s="722"/>
      <c r="AH10" s="591"/>
      <c r="AI10" s="591"/>
      <c r="AJ10" s="591"/>
      <c r="AK10" s="722"/>
      <c r="AL10" s="591"/>
      <c r="AM10" s="591"/>
      <c r="AN10" s="591"/>
      <c r="AO10" s="722"/>
    </row>
    <row r="11" spans="1:47" ht="14.95" customHeight="1" thickBot="1" x14ac:dyDescent="0.3">
      <c r="A11" s="304" t="s">
        <v>1068</v>
      </c>
      <c r="B11" s="305" t="s">
        <v>876</v>
      </c>
      <c r="C11" s="305" t="s">
        <v>36</v>
      </c>
      <c r="D11" s="305" t="s">
        <v>84</v>
      </c>
      <c r="E11" s="306"/>
      <c r="F11" s="291"/>
      <c r="G11" s="291"/>
      <c r="H11" s="692"/>
      <c r="I11" s="692"/>
      <c r="J11" s="692"/>
      <c r="K11" s="692"/>
      <c r="L11" s="692"/>
      <c r="M11" s="692"/>
      <c r="N11" s="692"/>
      <c r="O11" s="860"/>
      <c r="P11" s="692"/>
      <c r="Q11" s="692"/>
      <c r="R11" s="692"/>
      <c r="S11" s="295"/>
      <c r="T11" s="730"/>
      <c r="U11" s="295"/>
      <c r="V11" s="295"/>
      <c r="W11" s="295"/>
      <c r="X11" s="295"/>
      <c r="Y11" s="295"/>
      <c r="Z11" s="295"/>
      <c r="AA11" s="295"/>
      <c r="AB11" s="295"/>
      <c r="AC11" s="307"/>
      <c r="AD11" s="295"/>
      <c r="AE11" s="295"/>
      <c r="AF11" s="295"/>
      <c r="AG11" s="307"/>
      <c r="AH11" s="295"/>
      <c r="AI11" s="295"/>
      <c r="AJ11" s="295"/>
      <c r="AK11" s="307"/>
      <c r="AL11" s="295"/>
      <c r="AM11" s="295"/>
      <c r="AN11" s="295"/>
      <c r="AO11" s="307"/>
    </row>
    <row r="12" spans="1:47" ht="14.95" customHeight="1" thickBot="1" x14ac:dyDescent="0.3">
      <c r="A12" s="304" t="s">
        <v>1067</v>
      </c>
      <c r="B12" s="305" t="s">
        <v>876</v>
      </c>
      <c r="C12" s="305" t="s">
        <v>90</v>
      </c>
      <c r="D12" s="305" t="s">
        <v>84</v>
      </c>
      <c r="E12" s="291"/>
      <c r="F12" s="291"/>
      <c r="G12" s="291"/>
      <c r="H12" s="692"/>
      <c r="I12" s="692"/>
      <c r="J12" s="692"/>
      <c r="K12" s="692"/>
      <c r="L12" s="692"/>
      <c r="M12" s="692"/>
      <c r="N12" s="692"/>
      <c r="O12" s="692"/>
      <c r="P12" s="692"/>
      <c r="Q12" s="692"/>
      <c r="R12" s="692"/>
      <c r="S12" s="295"/>
      <c r="T12" s="297"/>
      <c r="U12" s="295"/>
      <c r="V12" s="295"/>
      <c r="W12" s="295"/>
      <c r="X12" s="295"/>
      <c r="Y12" s="295"/>
      <c r="Z12" s="295"/>
      <c r="AA12" s="295"/>
      <c r="AB12" s="295"/>
      <c r="AC12" s="307"/>
      <c r="AD12" s="295"/>
      <c r="AE12" s="295"/>
      <c r="AF12" s="295"/>
      <c r="AG12" s="307"/>
      <c r="AH12" s="295"/>
      <c r="AI12" s="295"/>
      <c r="AJ12" s="295"/>
      <c r="AK12" s="307"/>
      <c r="AL12" s="295"/>
      <c r="AM12" s="295"/>
      <c r="AN12" s="295"/>
      <c r="AO12" s="307"/>
    </row>
    <row r="13" spans="1:47" ht="14.95" customHeight="1" thickBot="1" x14ac:dyDescent="0.3">
      <c r="A13" s="304" t="s">
        <v>881</v>
      </c>
      <c r="B13" s="305" t="s">
        <v>876</v>
      </c>
      <c r="C13" s="305" t="s">
        <v>29</v>
      </c>
      <c r="D13" s="305" t="s">
        <v>84</v>
      </c>
      <c r="E13" s="291"/>
      <c r="F13" s="291"/>
      <c r="G13" s="291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295"/>
      <c r="T13" s="297"/>
      <c r="U13" s="295"/>
      <c r="V13" s="295"/>
      <c r="W13" s="295"/>
      <c r="X13" s="295"/>
      <c r="Y13" s="295"/>
      <c r="Z13" s="295"/>
      <c r="AA13" s="295"/>
      <c r="AB13" s="295"/>
      <c r="AC13" s="307"/>
      <c r="AD13" s="295"/>
      <c r="AE13" s="295"/>
      <c r="AF13" s="295"/>
      <c r="AG13" s="307"/>
      <c r="AH13" s="295"/>
      <c r="AI13" s="295"/>
      <c r="AJ13" s="295"/>
      <c r="AK13" s="307"/>
      <c r="AL13" s="295"/>
      <c r="AM13" s="295"/>
      <c r="AN13" s="295"/>
      <c r="AO13" s="307"/>
    </row>
    <row r="14" spans="1:47" ht="14.95" customHeight="1" thickBot="1" x14ac:dyDescent="0.3">
      <c r="A14" s="888" t="s">
        <v>874</v>
      </c>
      <c r="B14" s="887" t="s">
        <v>879</v>
      </c>
      <c r="C14" s="887" t="s">
        <v>874</v>
      </c>
      <c r="D14" s="887" t="s">
        <v>88</v>
      </c>
      <c r="E14" s="878"/>
      <c r="F14" s="878"/>
      <c r="G14" s="878"/>
      <c r="H14" s="879"/>
      <c r="I14" s="879"/>
      <c r="J14" s="879"/>
      <c r="K14" s="879"/>
      <c r="L14" s="879"/>
      <c r="M14" s="879"/>
      <c r="N14" s="879"/>
      <c r="O14" s="879"/>
      <c r="P14" s="879"/>
      <c r="Q14" s="879"/>
      <c r="R14" s="879"/>
      <c r="S14" s="880"/>
      <c r="T14" s="885"/>
      <c r="U14" s="880"/>
      <c r="V14" s="880"/>
      <c r="W14" s="880"/>
      <c r="X14" s="880"/>
      <c r="Y14" s="880"/>
      <c r="Z14" s="880"/>
      <c r="AA14" s="880"/>
      <c r="AB14" s="880"/>
      <c r="AC14" s="881"/>
      <c r="AD14" s="880"/>
      <c r="AE14" s="880"/>
      <c r="AF14" s="880"/>
      <c r="AG14" s="881"/>
      <c r="AH14" s="880"/>
      <c r="AI14" s="880"/>
      <c r="AJ14" s="880"/>
      <c r="AK14" s="881"/>
      <c r="AL14" s="880"/>
      <c r="AM14" s="880"/>
      <c r="AN14" s="880"/>
      <c r="AO14" s="881"/>
    </row>
    <row r="15" spans="1:47" ht="14.95" customHeight="1" thickBot="1" x14ac:dyDescent="0.3">
      <c r="A15" s="179"/>
      <c r="B15" s="180"/>
      <c r="C15" s="1151" t="s">
        <v>82</v>
      </c>
      <c r="D15" s="1152"/>
      <c r="E15" s="1153"/>
      <c r="F15" s="869">
        <f>SUM(F3:F7)</f>
        <v>59</v>
      </c>
      <c r="G15" s="869">
        <f t="shared" ref="G15:R15" si="0">SUM(G3:G7)</f>
        <v>155</v>
      </c>
      <c r="H15" s="869">
        <f t="shared" si="0"/>
        <v>0</v>
      </c>
      <c r="I15" s="869">
        <f t="shared" si="0"/>
        <v>1</v>
      </c>
      <c r="J15" s="869">
        <f t="shared" si="0"/>
        <v>7</v>
      </c>
      <c r="K15" s="869">
        <f t="shared" si="0"/>
        <v>6</v>
      </c>
      <c r="L15" s="869">
        <f t="shared" si="0"/>
        <v>0</v>
      </c>
      <c r="M15" s="869">
        <f t="shared" si="0"/>
        <v>4</v>
      </c>
      <c r="N15" s="869">
        <f t="shared" si="0"/>
        <v>6</v>
      </c>
      <c r="O15" s="869">
        <f t="shared" si="0"/>
        <v>0</v>
      </c>
      <c r="P15" s="869">
        <f t="shared" si="0"/>
        <v>4</v>
      </c>
      <c r="Q15" s="869">
        <f t="shared" si="0"/>
        <v>0</v>
      </c>
      <c r="R15" s="869">
        <f t="shared" si="0"/>
        <v>23</v>
      </c>
      <c r="S15" s="870"/>
      <c r="T15" s="870"/>
      <c r="U15" s="870"/>
      <c r="V15" s="870"/>
      <c r="W15" s="870"/>
      <c r="X15" s="871"/>
      <c r="Y15" s="872" t="s">
        <v>82</v>
      </c>
      <c r="Z15" s="869">
        <f t="shared" ref="Z15:AO15" si="1">SUM(Z3:Z7)</f>
        <v>4</v>
      </c>
      <c r="AA15" s="869">
        <f t="shared" si="1"/>
        <v>0</v>
      </c>
      <c r="AB15" s="869">
        <f t="shared" si="1"/>
        <v>0</v>
      </c>
      <c r="AC15" s="869">
        <f t="shared" si="1"/>
        <v>4</v>
      </c>
      <c r="AD15" s="873">
        <f t="shared" si="1"/>
        <v>2</v>
      </c>
      <c r="AE15" s="873">
        <f t="shared" si="1"/>
        <v>0</v>
      </c>
      <c r="AF15" s="873">
        <f t="shared" si="1"/>
        <v>0</v>
      </c>
      <c r="AG15" s="873">
        <f t="shared" si="1"/>
        <v>2</v>
      </c>
      <c r="AH15" s="874">
        <f t="shared" si="1"/>
        <v>2</v>
      </c>
      <c r="AI15" s="874">
        <f t="shared" si="1"/>
        <v>0</v>
      </c>
      <c r="AJ15" s="874">
        <f t="shared" si="1"/>
        <v>0</v>
      </c>
      <c r="AK15" s="874">
        <f t="shared" si="1"/>
        <v>2</v>
      </c>
      <c r="AL15" s="869">
        <f t="shared" si="1"/>
        <v>0</v>
      </c>
      <c r="AM15" s="869">
        <f t="shared" si="1"/>
        <v>0</v>
      </c>
      <c r="AN15" s="869">
        <f t="shared" si="1"/>
        <v>0</v>
      </c>
      <c r="AO15" s="869">
        <f t="shared" si="1"/>
        <v>0</v>
      </c>
    </row>
    <row r="16" spans="1:47" ht="14.95" customHeight="1" thickBot="1" x14ac:dyDescent="0.3">
      <c r="A16" s="179"/>
      <c r="B16" s="180"/>
      <c r="C16" s="1128" t="s">
        <v>878</v>
      </c>
      <c r="D16" s="1129"/>
      <c r="E16" s="1130"/>
      <c r="F16" s="547">
        <f>SUM(F10:F14)</f>
        <v>0</v>
      </c>
      <c r="G16" s="547">
        <f>SUM(G10:G14)</f>
        <v>0</v>
      </c>
      <c r="H16" s="547">
        <v>0</v>
      </c>
      <c r="I16" s="547">
        <f t="shared" ref="I16:O16" si="2">SUM(I10:I14)</f>
        <v>0</v>
      </c>
      <c r="J16" s="547">
        <f t="shared" si="2"/>
        <v>0</v>
      </c>
      <c r="K16" s="547">
        <f t="shared" si="2"/>
        <v>0</v>
      </c>
      <c r="L16" s="547">
        <f t="shared" si="2"/>
        <v>0</v>
      </c>
      <c r="M16" s="547">
        <f t="shared" si="2"/>
        <v>0</v>
      </c>
      <c r="N16" s="547">
        <f t="shared" si="2"/>
        <v>0</v>
      </c>
      <c r="O16" s="547">
        <f t="shared" si="2"/>
        <v>0</v>
      </c>
      <c r="P16" s="547">
        <v>0</v>
      </c>
      <c r="Q16" s="547">
        <v>0</v>
      </c>
      <c r="R16" s="547">
        <f>SUM(R10:R14)</f>
        <v>0</v>
      </c>
      <c r="S16" s="564"/>
      <c r="T16" s="564"/>
      <c r="U16" s="564"/>
      <c r="V16" s="564"/>
      <c r="W16" s="564"/>
      <c r="X16" s="175"/>
      <c r="Y16" s="249" t="s">
        <v>878</v>
      </c>
      <c r="Z16" s="547">
        <f t="shared" ref="Z16:AO16" si="3">SUM(Z10:Z14)</f>
        <v>0</v>
      </c>
      <c r="AA16" s="547">
        <f t="shared" si="3"/>
        <v>0</v>
      </c>
      <c r="AB16" s="547">
        <f t="shared" si="3"/>
        <v>0</v>
      </c>
      <c r="AC16" s="547">
        <f t="shared" si="3"/>
        <v>0</v>
      </c>
      <c r="AD16" s="549">
        <f t="shared" si="3"/>
        <v>0</v>
      </c>
      <c r="AE16" s="549">
        <f t="shared" si="3"/>
        <v>0</v>
      </c>
      <c r="AF16" s="549">
        <f t="shared" si="3"/>
        <v>0</v>
      </c>
      <c r="AG16" s="549">
        <f t="shared" si="3"/>
        <v>0</v>
      </c>
      <c r="AH16" s="550">
        <f t="shared" si="3"/>
        <v>0</v>
      </c>
      <c r="AI16" s="550">
        <f t="shared" si="3"/>
        <v>0</v>
      </c>
      <c r="AJ16" s="550">
        <f t="shared" si="3"/>
        <v>0</v>
      </c>
      <c r="AK16" s="550">
        <f t="shared" si="3"/>
        <v>0</v>
      </c>
      <c r="AL16" s="547">
        <f t="shared" si="3"/>
        <v>0</v>
      </c>
      <c r="AM16" s="547">
        <f t="shared" si="3"/>
        <v>0</v>
      </c>
      <c r="AN16" s="547">
        <f t="shared" si="3"/>
        <v>0</v>
      </c>
      <c r="AO16" s="547">
        <f t="shared" si="3"/>
        <v>0</v>
      </c>
    </row>
    <row r="17" spans="1:41" ht="14.95" customHeight="1" thickBot="1" x14ac:dyDescent="0.3">
      <c r="A17" s="179" t="s">
        <v>58</v>
      </c>
      <c r="B17" s="138"/>
      <c r="C17" s="1087" t="s">
        <v>81</v>
      </c>
      <c r="D17" s="1088"/>
      <c r="E17" s="1089"/>
      <c r="F17" s="231">
        <f t="shared" ref="F17:R17" si="4">SUM(F3:F14)</f>
        <v>59</v>
      </c>
      <c r="G17" s="231">
        <f t="shared" si="4"/>
        <v>155</v>
      </c>
      <c r="H17" s="231">
        <f t="shared" si="4"/>
        <v>0</v>
      </c>
      <c r="I17" s="231">
        <f t="shared" si="4"/>
        <v>1</v>
      </c>
      <c r="J17" s="231">
        <f t="shared" si="4"/>
        <v>7</v>
      </c>
      <c r="K17" s="231">
        <f t="shared" si="4"/>
        <v>6</v>
      </c>
      <c r="L17" s="231">
        <f t="shared" si="4"/>
        <v>0</v>
      </c>
      <c r="M17" s="231">
        <f t="shared" si="4"/>
        <v>4</v>
      </c>
      <c r="N17" s="231">
        <f t="shared" si="4"/>
        <v>6</v>
      </c>
      <c r="O17" s="231">
        <f t="shared" si="4"/>
        <v>0</v>
      </c>
      <c r="P17" s="231">
        <f t="shared" si="4"/>
        <v>4</v>
      </c>
      <c r="Q17" s="231">
        <f t="shared" si="4"/>
        <v>0</v>
      </c>
      <c r="R17" s="231">
        <f t="shared" si="4"/>
        <v>23</v>
      </c>
      <c r="S17" s="228"/>
      <c r="T17" s="228"/>
      <c r="U17" s="228"/>
      <c r="V17" s="228"/>
      <c r="W17" s="228"/>
      <c r="X17" s="13"/>
      <c r="Y17" s="246" t="s">
        <v>81</v>
      </c>
      <c r="Z17" s="231">
        <f t="shared" ref="Z17:AO17" si="5">SUM(Z3:Z14)</f>
        <v>4</v>
      </c>
      <c r="AA17" s="231">
        <f t="shared" si="5"/>
        <v>0</v>
      </c>
      <c r="AB17" s="231">
        <f t="shared" si="5"/>
        <v>0</v>
      </c>
      <c r="AC17" s="231">
        <f t="shared" si="5"/>
        <v>4</v>
      </c>
      <c r="AD17" s="229">
        <f t="shared" si="5"/>
        <v>2</v>
      </c>
      <c r="AE17" s="229">
        <f t="shared" si="5"/>
        <v>0</v>
      </c>
      <c r="AF17" s="229">
        <f t="shared" si="5"/>
        <v>0</v>
      </c>
      <c r="AG17" s="229">
        <f t="shared" si="5"/>
        <v>2</v>
      </c>
      <c r="AH17" s="230">
        <f t="shared" si="5"/>
        <v>2</v>
      </c>
      <c r="AI17" s="230">
        <f t="shared" si="5"/>
        <v>0</v>
      </c>
      <c r="AJ17" s="230">
        <f t="shared" si="5"/>
        <v>0</v>
      </c>
      <c r="AK17" s="230">
        <f t="shared" si="5"/>
        <v>2</v>
      </c>
      <c r="AL17" s="231">
        <f t="shared" si="5"/>
        <v>0</v>
      </c>
      <c r="AM17" s="231">
        <f t="shared" si="5"/>
        <v>0</v>
      </c>
      <c r="AN17" s="231">
        <f t="shared" si="5"/>
        <v>0</v>
      </c>
      <c r="AO17" s="231">
        <f t="shared" si="5"/>
        <v>0</v>
      </c>
    </row>
    <row r="18" spans="1:41" ht="14.95" customHeight="1" x14ac:dyDescent="0.25">
      <c r="A18" s="1108" t="s">
        <v>951</v>
      </c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  <c r="Z18" s="1063"/>
      <c r="AA18" s="1063"/>
      <c r="AB18" s="1063"/>
      <c r="AC18" s="1063"/>
      <c r="AD18" s="1063"/>
      <c r="AE18" s="1063"/>
      <c r="AF18" s="1063"/>
      <c r="AG18" s="1063"/>
      <c r="AH18" s="1063"/>
      <c r="AI18" s="1063"/>
      <c r="AJ18" s="1063"/>
      <c r="AK18" s="1063"/>
      <c r="AL18" s="1063"/>
      <c r="AM18" s="1063"/>
      <c r="AN18" s="1063"/>
      <c r="AO18" s="1063"/>
    </row>
    <row r="19" spans="1:41" ht="14.95" customHeight="1" x14ac:dyDescent="0.25">
      <c r="A19" s="1108" t="s">
        <v>1033</v>
      </c>
      <c r="B19" s="1063"/>
      <c r="C19" s="1063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  <c r="S19" s="1063"/>
      <c r="T19" s="1063"/>
      <c r="U19" s="1063"/>
      <c r="V19" s="1063"/>
      <c r="W19" s="1063"/>
      <c r="X19" s="1063"/>
      <c r="Y19" s="1063"/>
      <c r="Z19" s="1063"/>
      <c r="AA19" s="1063"/>
      <c r="AB19" s="1063"/>
      <c r="AC19" s="1063"/>
      <c r="AD19" s="1063"/>
      <c r="AE19" s="1063"/>
      <c r="AF19" s="1063"/>
      <c r="AG19" s="1063"/>
      <c r="AH19" s="1063"/>
      <c r="AI19" s="1063"/>
      <c r="AJ19" s="1063"/>
      <c r="AK19" s="1063"/>
      <c r="AL19" s="1063"/>
      <c r="AM19" s="1063"/>
      <c r="AN19" s="1063"/>
      <c r="AO19" s="1063"/>
    </row>
    <row r="20" spans="1:41" ht="14.95" customHeight="1" x14ac:dyDescent="0.25">
      <c r="A20" s="889" t="s">
        <v>723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</row>
    <row r="21" spans="1:41" ht="14.95" customHeight="1" x14ac:dyDescent="0.25">
      <c r="A21" s="996" t="s">
        <v>1032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1" ht="14.95" customHeight="1" x14ac:dyDescent="0.25">
      <c r="A22" s="996" t="s">
        <v>1034</v>
      </c>
      <c r="F22" s="14"/>
    </row>
    <row r="23" spans="1:41" ht="14.95" customHeight="1" x14ac:dyDescent="0.25">
      <c r="A23" s="1108" t="s">
        <v>877</v>
      </c>
      <c r="B23" s="1063"/>
      <c r="C23" s="1063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  <c r="Q23" s="1063"/>
      <c r="R23" s="1063"/>
    </row>
    <row r="24" spans="1:41" ht="14.95" customHeight="1" x14ac:dyDescent="0.25">
      <c r="A24" s="889" t="s">
        <v>880</v>
      </c>
    </row>
    <row r="25" spans="1:41" ht="14.95" customHeight="1" x14ac:dyDescent="0.25">
      <c r="A25" s="889" t="s">
        <v>893</v>
      </c>
    </row>
    <row r="26" spans="1:41" ht="14.95" customHeight="1" x14ac:dyDescent="0.25">
      <c r="A26" s="376"/>
      <c r="B26" t="s">
        <v>44</v>
      </c>
    </row>
    <row r="27" spans="1:41" ht="14.95" customHeight="1" x14ac:dyDescent="0.25">
      <c r="A27" s="377"/>
      <c r="B27" t="s">
        <v>42</v>
      </c>
    </row>
    <row r="28" spans="1:41" ht="14.95" customHeight="1" x14ac:dyDescent="0.25">
      <c r="A28" s="378"/>
      <c r="B28" t="s">
        <v>43</v>
      </c>
    </row>
    <row r="29" spans="1:41" ht="14.95" customHeight="1" x14ac:dyDescent="0.3">
      <c r="A29" s="792" t="s">
        <v>28</v>
      </c>
    </row>
  </sheetData>
  <mergeCells count="16">
    <mergeCell ref="A23:R23"/>
    <mergeCell ref="Z1:AC1"/>
    <mergeCell ref="AD1:AG1"/>
    <mergeCell ref="AH1:AK1"/>
    <mergeCell ref="AL1:AO1"/>
    <mergeCell ref="C15:E15"/>
    <mergeCell ref="C17:E17"/>
    <mergeCell ref="P1:R1"/>
    <mergeCell ref="A1:C1"/>
    <mergeCell ref="E1:G1"/>
    <mergeCell ref="H1:I1"/>
    <mergeCell ref="J1:M1"/>
    <mergeCell ref="N1:O1"/>
    <mergeCell ref="C16:E16"/>
    <mergeCell ref="A18:AO18"/>
    <mergeCell ref="A19:AO19"/>
  </mergeCells>
  <pageMargins left="0.7" right="0.7" top="0.75" bottom="0.75" header="0.3" footer="0.3"/>
  <pageSetup paperSize="9" orientation="portrait" r:id="rId1"/>
  <ignoredErrors>
    <ignoredError sqref="F16:G16 I16:O16 R16:X16 S15:Y15 F15:R15 Z15:AO15 Z16:AO16" formulaRange="1"/>
    <ignoredError sqref="T4" twoDigitTextYea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9AAF-1309-4A8B-AAD8-731C8CD18048}">
  <dimension ref="A1:S29"/>
  <sheetViews>
    <sheetView workbookViewId="0">
      <selection activeCell="C12" sqref="C12"/>
    </sheetView>
  </sheetViews>
  <sheetFormatPr defaultRowHeight="14.3" x14ac:dyDescent="0.25"/>
  <cols>
    <col min="1" max="1" width="9.875" bestFit="1" customWidth="1"/>
    <col min="3" max="3" width="39.375" bestFit="1" customWidth="1"/>
    <col min="7" max="7" width="1.625" customWidth="1"/>
    <col min="8" max="8" width="9.875" bestFit="1" customWidth="1"/>
  </cols>
  <sheetData>
    <row r="1" spans="1:19" ht="14.95" customHeight="1" thickBot="1" x14ac:dyDescent="0.3">
      <c r="A1" s="110"/>
      <c r="B1" s="1036" t="s">
        <v>54</v>
      </c>
      <c r="C1" s="1037"/>
      <c r="D1" s="1029" t="s">
        <v>55</v>
      </c>
      <c r="E1" s="1030"/>
      <c r="F1" s="126" t="s">
        <v>56</v>
      </c>
      <c r="H1" s="1031" t="s">
        <v>58</v>
      </c>
      <c r="I1" s="1033" t="s">
        <v>66</v>
      </c>
      <c r="J1" s="1034"/>
      <c r="K1" s="1033" t="s">
        <v>67</v>
      </c>
      <c r="L1" s="1035"/>
      <c r="M1" s="1035"/>
      <c r="N1" s="1035"/>
      <c r="O1" s="1034"/>
      <c r="P1" s="139" t="s">
        <v>68</v>
      </c>
      <c r="Q1" s="1033" t="s">
        <v>69</v>
      </c>
      <c r="R1" s="1034"/>
    </row>
    <row r="2" spans="1:19" ht="14.95" customHeight="1" thickBot="1" x14ac:dyDescent="0.3">
      <c r="A2" s="53" t="s">
        <v>37</v>
      </c>
      <c r="B2" s="582">
        <f>argyc</f>
        <v>4</v>
      </c>
      <c r="C2" s="583" t="s">
        <v>710</v>
      </c>
      <c r="D2" s="127">
        <f>argrc</f>
        <v>0</v>
      </c>
      <c r="E2" s="128"/>
      <c r="F2" s="129">
        <f>SUM(B2+D2*2)</f>
        <v>4</v>
      </c>
      <c r="H2" s="1032"/>
      <c r="I2" s="140" t="s">
        <v>4</v>
      </c>
      <c r="J2" s="140" t="s">
        <v>5</v>
      </c>
      <c r="K2" s="141" t="s">
        <v>70</v>
      </c>
      <c r="L2" s="142" t="s">
        <v>71</v>
      </c>
      <c r="M2" s="142" t="s">
        <v>72</v>
      </c>
      <c r="N2" s="143" t="s">
        <v>73</v>
      </c>
      <c r="O2" s="144" t="s">
        <v>74</v>
      </c>
      <c r="P2" s="145" t="s">
        <v>75</v>
      </c>
      <c r="Q2" s="141" t="s">
        <v>4</v>
      </c>
      <c r="R2" s="144" t="s">
        <v>5</v>
      </c>
    </row>
    <row r="3" spans="1:19" ht="14.95" customHeight="1" thickBot="1" x14ac:dyDescent="0.3">
      <c r="A3" s="849" t="s">
        <v>29</v>
      </c>
      <c r="B3" s="130">
        <f>ausyc</f>
        <v>4</v>
      </c>
      <c r="C3" s="197" t="s">
        <v>706</v>
      </c>
      <c r="D3" s="127">
        <f>ausrc</f>
        <v>0</v>
      </c>
      <c r="E3" s="128"/>
      <c r="F3" s="129">
        <f>SUM(B3+D3*2)</f>
        <v>4</v>
      </c>
      <c r="H3" s="53" t="s">
        <v>37</v>
      </c>
      <c r="I3" s="146">
        <v>0</v>
      </c>
      <c r="J3" s="146">
        <v>38</v>
      </c>
      <c r="K3" s="146">
        <v>40</v>
      </c>
      <c r="L3" s="146">
        <v>0</v>
      </c>
      <c r="M3" s="146">
        <v>0</v>
      </c>
      <c r="N3" s="146">
        <v>0</v>
      </c>
      <c r="O3" s="147">
        <f t="shared" ref="O3:O6" si="0">SUM(K3:N3)</f>
        <v>40</v>
      </c>
      <c r="P3" s="146">
        <v>0</v>
      </c>
      <c r="Q3" s="786">
        <f t="shared" ref="Q3" si="1">SUM(I3/O3)*10</f>
        <v>0</v>
      </c>
      <c r="R3" s="787">
        <f t="shared" ref="R3" si="2">SUM(J3/O3)*10</f>
        <v>9.5</v>
      </c>
      <c r="S3" s="138" t="s">
        <v>58</v>
      </c>
    </row>
    <row r="4" spans="1:19" ht="14.95" customHeight="1" thickBot="1" x14ac:dyDescent="0.3">
      <c r="A4" s="44" t="s">
        <v>138</v>
      </c>
      <c r="B4" s="131">
        <f>rsayc</f>
        <v>4</v>
      </c>
      <c r="C4" s="361" t="s">
        <v>708</v>
      </c>
      <c r="D4" s="127">
        <f>rsarc</f>
        <v>0</v>
      </c>
      <c r="E4" s="128"/>
      <c r="F4" s="129">
        <f>SUM(B4+D4*2)</f>
        <v>4</v>
      </c>
      <c r="H4" s="849" t="s">
        <v>29</v>
      </c>
      <c r="I4" s="146">
        <v>3</v>
      </c>
      <c r="J4" s="146">
        <v>10</v>
      </c>
      <c r="K4" s="146">
        <v>37</v>
      </c>
      <c r="L4" s="146">
        <v>0</v>
      </c>
      <c r="M4" s="146">
        <v>0</v>
      </c>
      <c r="N4" s="146">
        <v>0</v>
      </c>
      <c r="O4" s="147">
        <f t="shared" si="0"/>
        <v>37</v>
      </c>
      <c r="P4" s="146">
        <v>0</v>
      </c>
      <c r="Q4" s="381">
        <f t="shared" ref="Q4" si="3">SUM(I4/O4)*10</f>
        <v>0.81081081081081086</v>
      </c>
      <c r="R4" s="382">
        <f t="shared" ref="R4" si="4">SUM(J4/O4)*10</f>
        <v>2.7027027027027026</v>
      </c>
    </row>
    <row r="5" spans="1:19" ht="14.95" customHeight="1" thickBot="1" x14ac:dyDescent="0.3">
      <c r="A5" s="368" t="s">
        <v>90</v>
      </c>
      <c r="B5" s="131">
        <f>nzlyc</f>
        <v>5</v>
      </c>
      <c r="C5" s="132" t="s">
        <v>560</v>
      </c>
      <c r="D5" s="127">
        <f>nzlrc</f>
        <v>0</v>
      </c>
      <c r="E5" s="128"/>
      <c r="F5" s="129">
        <f>SUM(B5+D5*2)</f>
        <v>5</v>
      </c>
      <c r="H5" s="368" t="s">
        <v>90</v>
      </c>
      <c r="I5" s="146">
        <v>8</v>
      </c>
      <c r="J5" s="146">
        <v>17</v>
      </c>
      <c r="K5" s="146">
        <v>28</v>
      </c>
      <c r="L5" s="146">
        <v>7</v>
      </c>
      <c r="M5" s="146">
        <v>0</v>
      </c>
      <c r="N5" s="146">
        <v>0</v>
      </c>
      <c r="O5" s="147">
        <f t="shared" si="0"/>
        <v>35</v>
      </c>
      <c r="P5" s="146">
        <v>0</v>
      </c>
      <c r="Q5" s="381">
        <f t="shared" ref="Q5" si="5">SUM(I5/O5)*10</f>
        <v>2.2857142857142856</v>
      </c>
      <c r="R5" s="382">
        <f t="shared" ref="R5" si="6">SUM(J5/O5)*10</f>
        <v>4.8571428571428568</v>
      </c>
    </row>
    <row r="6" spans="1:19" ht="14.95" customHeight="1" thickBot="1" x14ac:dyDescent="0.3">
      <c r="A6" s="158" t="s">
        <v>57</v>
      </c>
      <c r="B6" s="130">
        <f>SUM(B2:B5)</f>
        <v>17</v>
      </c>
      <c r="C6" s="133"/>
      <c r="D6" s="134">
        <f>SUM(D2:D5)</f>
        <v>0</v>
      </c>
      <c r="E6" s="135"/>
      <c r="F6" s="126" t="s">
        <v>58</v>
      </c>
      <c r="H6" s="44" t="s">
        <v>138</v>
      </c>
      <c r="I6" s="146">
        <v>24</v>
      </c>
      <c r="J6" s="146">
        <v>14</v>
      </c>
      <c r="K6" s="146">
        <v>31</v>
      </c>
      <c r="L6" s="146">
        <v>0</v>
      </c>
      <c r="M6" s="146">
        <v>0</v>
      </c>
      <c r="N6" s="146">
        <v>0</v>
      </c>
      <c r="O6" s="147">
        <f t="shared" si="0"/>
        <v>31</v>
      </c>
      <c r="P6" s="146">
        <v>0</v>
      </c>
      <c r="Q6" s="786">
        <f t="shared" ref="Q6" si="7">SUM(I6/O6)*10</f>
        <v>7.741935483870968</v>
      </c>
      <c r="R6" s="787">
        <f t="shared" ref="R6" si="8">SUM(J6/O6)*10</f>
        <v>4.5161290322580641</v>
      </c>
    </row>
    <row r="7" spans="1:19" ht="14.95" customHeight="1" thickBot="1" x14ac:dyDescent="0.3">
      <c r="A7" s="267" t="s">
        <v>261</v>
      </c>
      <c r="D7" s="136"/>
      <c r="E7" s="137"/>
      <c r="H7" s="151" t="s">
        <v>57</v>
      </c>
      <c r="I7" s="148">
        <f t="shared" ref="I7:P7" si="9">SUM(I3:I6)</f>
        <v>35</v>
      </c>
      <c r="J7" s="148">
        <f t="shared" si="9"/>
        <v>79</v>
      </c>
      <c r="K7" s="148">
        <f t="shared" si="9"/>
        <v>136</v>
      </c>
      <c r="L7" s="148">
        <f t="shared" si="9"/>
        <v>7</v>
      </c>
      <c r="M7" s="148">
        <f t="shared" si="9"/>
        <v>0</v>
      </c>
      <c r="N7" s="148">
        <f t="shared" si="9"/>
        <v>0</v>
      </c>
      <c r="O7" s="148">
        <f t="shared" si="9"/>
        <v>143</v>
      </c>
      <c r="P7" s="148">
        <f t="shared" si="9"/>
        <v>0</v>
      </c>
      <c r="Q7" s="705">
        <f t="shared" ref="Q7" si="10">SUM(I7/O7)*10</f>
        <v>2.4475524475524475</v>
      </c>
      <c r="R7" s="706">
        <f t="shared" ref="R7" si="11">SUM(J7/O7)*10</f>
        <v>5.5244755244755241</v>
      </c>
    </row>
    <row r="8" spans="1:19" ht="14.95" customHeight="1" x14ac:dyDescent="0.25">
      <c r="A8" s="138" t="s">
        <v>59</v>
      </c>
      <c r="B8" s="138"/>
    </row>
    <row r="9" spans="1:19" ht="14.95" customHeight="1" x14ac:dyDescent="0.25">
      <c r="A9" s="1350"/>
      <c r="B9" s="1350"/>
      <c r="C9" s="1063"/>
      <c r="D9" s="1063"/>
      <c r="H9" s="138" t="s">
        <v>146</v>
      </c>
    </row>
    <row r="10" spans="1:19" ht="14.95" customHeight="1" thickBot="1" x14ac:dyDescent="0.35">
      <c r="A10" s="792" t="s">
        <v>28</v>
      </c>
      <c r="E10" t="s">
        <v>58</v>
      </c>
      <c r="I10" s="138"/>
    </row>
    <row r="11" spans="1:19" ht="14.95" customHeight="1" thickBot="1" x14ac:dyDescent="0.3">
      <c r="H11" s="1031" t="s">
        <v>58</v>
      </c>
      <c r="I11" s="1033" t="s">
        <v>66</v>
      </c>
      <c r="J11" s="1034"/>
      <c r="K11" s="1033" t="s">
        <v>58</v>
      </c>
      <c r="L11" s="1035"/>
      <c r="M11" s="1035"/>
      <c r="N11" s="1035"/>
      <c r="O11" s="1034"/>
      <c r="P11" s="1033" t="s">
        <v>69</v>
      </c>
      <c r="Q11" s="1034"/>
    </row>
    <row r="12" spans="1:19" ht="14.95" customHeight="1" thickBot="1" x14ac:dyDescent="0.3">
      <c r="H12" s="1032"/>
      <c r="I12" s="140" t="s">
        <v>4</v>
      </c>
      <c r="J12" s="140" t="s">
        <v>5</v>
      </c>
      <c r="K12" s="141" t="s">
        <v>76</v>
      </c>
      <c r="L12" s="142" t="s">
        <v>77</v>
      </c>
      <c r="M12" s="142" t="s">
        <v>148</v>
      </c>
      <c r="N12" s="143" t="s">
        <v>151</v>
      </c>
      <c r="O12" s="144" t="s">
        <v>74</v>
      </c>
      <c r="P12" s="141" t="s">
        <v>4</v>
      </c>
      <c r="Q12" s="144" t="s">
        <v>5</v>
      </c>
    </row>
    <row r="13" spans="1:19" ht="14.95" customHeight="1" thickBot="1" x14ac:dyDescent="0.3">
      <c r="H13" s="53" t="s">
        <v>37</v>
      </c>
      <c r="I13" s="146">
        <v>27</v>
      </c>
      <c r="J13" s="146">
        <v>25</v>
      </c>
      <c r="K13" s="146">
        <v>58</v>
      </c>
      <c r="L13" s="146">
        <v>7</v>
      </c>
      <c r="M13" s="146">
        <v>0</v>
      </c>
      <c r="N13" s="146">
        <v>0</v>
      </c>
      <c r="O13" s="147">
        <f t="shared" ref="O13:O16" si="12">SUM(K13:N13)</f>
        <v>65</v>
      </c>
      <c r="P13" s="786">
        <f t="shared" ref="P13:P14" si="13">SUM(I13/O13)*10</f>
        <v>4.1538461538461542</v>
      </c>
      <c r="Q13" s="787">
        <f t="shared" ref="Q13:Q14" si="14">SUM(J13/O13)*10</f>
        <v>3.8461538461538463</v>
      </c>
    </row>
    <row r="14" spans="1:19" ht="14.95" customHeight="1" thickBot="1" x14ac:dyDescent="0.3">
      <c r="H14" s="849" t="s">
        <v>29</v>
      </c>
      <c r="I14" s="146">
        <v>19</v>
      </c>
      <c r="J14" s="146">
        <v>0</v>
      </c>
      <c r="K14" s="146">
        <v>21</v>
      </c>
      <c r="L14" s="146">
        <v>0</v>
      </c>
      <c r="M14" s="146">
        <v>0</v>
      </c>
      <c r="N14" s="146">
        <v>0</v>
      </c>
      <c r="O14" s="147">
        <f t="shared" si="12"/>
        <v>21</v>
      </c>
      <c r="P14" s="381">
        <f t="shared" si="13"/>
        <v>9.0476190476190474</v>
      </c>
      <c r="Q14" s="382">
        <f t="shared" si="14"/>
        <v>0</v>
      </c>
    </row>
    <row r="15" spans="1:19" ht="14.95" customHeight="1" thickBot="1" x14ac:dyDescent="0.3">
      <c r="H15" s="368" t="s">
        <v>90</v>
      </c>
      <c r="I15" s="146">
        <v>21</v>
      </c>
      <c r="J15" s="146">
        <v>10</v>
      </c>
      <c r="K15" s="146">
        <v>37</v>
      </c>
      <c r="L15" s="146">
        <v>0</v>
      </c>
      <c r="M15" s="146">
        <v>0</v>
      </c>
      <c r="N15" s="146">
        <v>0</v>
      </c>
      <c r="O15" s="147">
        <f t="shared" si="12"/>
        <v>37</v>
      </c>
      <c r="P15" s="786">
        <f t="shared" ref="P15" si="15">SUM(I15/O15)*10</f>
        <v>5.6756756756756754</v>
      </c>
      <c r="Q15" s="787">
        <f t="shared" ref="Q15" si="16">SUM(J15/O15)*10</f>
        <v>2.7027027027027026</v>
      </c>
      <c r="R15" s="138"/>
    </row>
    <row r="16" spans="1:19" ht="14.95" customHeight="1" thickBot="1" x14ac:dyDescent="0.3">
      <c r="H16" s="44" t="s">
        <v>138</v>
      </c>
      <c r="I16" s="146">
        <v>12</v>
      </c>
      <c r="J16" s="146">
        <v>0</v>
      </c>
      <c r="K16" s="146">
        <v>10</v>
      </c>
      <c r="L16" s="146">
        <v>0</v>
      </c>
      <c r="M16" s="146">
        <v>0</v>
      </c>
      <c r="N16" s="146">
        <v>0</v>
      </c>
      <c r="O16" s="147">
        <f t="shared" si="12"/>
        <v>10</v>
      </c>
      <c r="P16" s="381">
        <f t="shared" ref="P16" si="17">SUM(I16/O16)*10</f>
        <v>12</v>
      </c>
      <c r="Q16" s="382">
        <f t="shared" ref="Q16" si="18">SUM(J16/O16)*10</f>
        <v>0</v>
      </c>
      <c r="R16" t="s">
        <v>58</v>
      </c>
    </row>
    <row r="17" spans="1:17" ht="14.95" customHeight="1" thickBot="1" x14ac:dyDescent="0.3">
      <c r="H17" s="151" t="s">
        <v>57</v>
      </c>
      <c r="I17" s="148">
        <f t="shared" ref="I17:O17" si="19">SUM(I13:I16)</f>
        <v>79</v>
      </c>
      <c r="J17" s="149">
        <f t="shared" si="19"/>
        <v>35</v>
      </c>
      <c r="K17" s="148">
        <f t="shared" si="19"/>
        <v>126</v>
      </c>
      <c r="L17" s="150">
        <f t="shared" si="19"/>
        <v>7</v>
      </c>
      <c r="M17" s="150">
        <f t="shared" si="19"/>
        <v>0</v>
      </c>
      <c r="N17" s="150">
        <f t="shared" si="19"/>
        <v>0</v>
      </c>
      <c r="O17" s="149">
        <f t="shared" si="19"/>
        <v>133</v>
      </c>
      <c r="P17" s="705">
        <f t="shared" ref="P17" si="20">SUM(I17/O17)*10</f>
        <v>5.9398496240601508</v>
      </c>
      <c r="Q17" s="706">
        <f t="shared" ref="Q17" si="21">SUM(J17/O17)*10</f>
        <v>2.6315789473684208</v>
      </c>
    </row>
    <row r="18" spans="1:17" ht="14.95" customHeight="1" x14ac:dyDescent="0.25">
      <c r="H18" t="s">
        <v>58</v>
      </c>
    </row>
    <row r="19" spans="1:17" ht="14.95" customHeight="1" x14ac:dyDescent="0.25">
      <c r="H19" s="138" t="s">
        <v>149</v>
      </c>
      <c r="I19" s="138"/>
      <c r="J19" s="138"/>
      <c r="K19" s="138"/>
    </row>
    <row r="20" spans="1:17" ht="14.95" customHeight="1" x14ac:dyDescent="0.25">
      <c r="H20" s="138" t="s">
        <v>709</v>
      </c>
      <c r="I20" s="138"/>
      <c r="J20" s="138"/>
      <c r="K20" s="138"/>
    </row>
    <row r="21" spans="1:17" ht="14.95" customHeight="1" x14ac:dyDescent="0.25">
      <c r="H21" s="138"/>
      <c r="I21" s="138"/>
      <c r="J21" s="138"/>
      <c r="K21" s="138"/>
    </row>
    <row r="22" spans="1:17" ht="14.95" customHeight="1" x14ac:dyDescent="0.25">
      <c r="H22" s="138" t="s">
        <v>145</v>
      </c>
      <c r="J22" s="138"/>
      <c r="K22" s="138"/>
      <c r="L22" s="138"/>
    </row>
    <row r="23" spans="1:17" ht="14.95" customHeight="1" x14ac:dyDescent="0.25">
      <c r="H23" s="138" t="s">
        <v>700</v>
      </c>
      <c r="J23" s="138"/>
      <c r="K23" s="138"/>
      <c r="L23" s="138"/>
    </row>
    <row r="24" spans="1:17" ht="14.95" customHeight="1" x14ac:dyDescent="0.25"/>
    <row r="25" spans="1:17" ht="14.95" customHeight="1" x14ac:dyDescent="0.25"/>
    <row r="26" spans="1:17" ht="14.95" customHeight="1" x14ac:dyDescent="0.25"/>
    <row r="27" spans="1:17" ht="14.95" customHeight="1" x14ac:dyDescent="0.25">
      <c r="A27" s="251"/>
    </row>
    <row r="28" spans="1:17" ht="14.95" customHeight="1" x14ac:dyDescent="0.25"/>
    <row r="29" spans="1:17" ht="14.95" customHeight="1" x14ac:dyDescent="0.25"/>
  </sheetData>
  <sortState xmlns:xlrd2="http://schemas.microsoft.com/office/spreadsheetml/2017/richdata2" ref="A2:F5">
    <sortCondition ref="F2:F5"/>
    <sortCondition ref="B2:B5"/>
    <sortCondition ref="D2:D5"/>
    <sortCondition ref="A2:A5"/>
  </sortState>
  <mergeCells count="11">
    <mergeCell ref="A9:D9"/>
    <mergeCell ref="H11:H12"/>
    <mergeCell ref="I11:J11"/>
    <mergeCell ref="K11:O11"/>
    <mergeCell ref="P11:Q11"/>
    <mergeCell ref="Q1:R1"/>
    <mergeCell ref="B1:C1"/>
    <mergeCell ref="D1:E1"/>
    <mergeCell ref="H1:H2"/>
    <mergeCell ref="I1:J1"/>
    <mergeCell ref="K1:O1"/>
  </mergeCells>
  <pageMargins left="0.7" right="0.7" top="0.75" bottom="0.75" header="0.3" footer="0.3"/>
  <pageSetup paperSize="9" orientation="portrait" horizontalDpi="0" verticalDpi="0" r:id="rId1"/>
  <ignoredErrors>
    <ignoredError sqref="Q5 P15:Q15" evalError="1"/>
    <ignoredError sqref="O3 K7:O12 O6 O16 O15 O5 O4 O14 O13" formulaRange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F76D-B493-4F5E-A3D0-AC748658C0CE}">
  <dimension ref="A1:Q40"/>
  <sheetViews>
    <sheetView workbookViewId="0">
      <selection activeCell="A13" sqref="A13"/>
    </sheetView>
  </sheetViews>
  <sheetFormatPr defaultRowHeight="14.3" x14ac:dyDescent="0.25"/>
  <cols>
    <col min="3" max="3" width="39.375" customWidth="1"/>
    <col min="7" max="7" width="1.625" customWidth="1"/>
  </cols>
  <sheetData>
    <row r="1" spans="1:17" ht="14.95" customHeight="1" thickBot="1" x14ac:dyDescent="0.3">
      <c r="A1" s="110"/>
      <c r="B1" s="1036" t="s">
        <v>54</v>
      </c>
      <c r="C1" s="1037"/>
      <c r="D1" s="1029" t="s">
        <v>55</v>
      </c>
      <c r="E1" s="1030"/>
      <c r="F1" s="126" t="s">
        <v>56</v>
      </c>
      <c r="H1" s="1031" t="s">
        <v>58</v>
      </c>
      <c r="I1" s="1033" t="s">
        <v>66</v>
      </c>
      <c r="J1" s="1034"/>
      <c r="K1" s="1033" t="s">
        <v>67</v>
      </c>
      <c r="L1" s="1035"/>
      <c r="M1" s="1035"/>
      <c r="N1" s="1035"/>
      <c r="O1" s="1034"/>
      <c r="P1" s="1033" t="s">
        <v>69</v>
      </c>
      <c r="Q1" s="1034"/>
    </row>
    <row r="2" spans="1:17" ht="14.95" customHeight="1" thickBot="1" x14ac:dyDescent="0.3">
      <c r="A2" s="8" t="s">
        <v>563</v>
      </c>
      <c r="B2" s="582">
        <v>1</v>
      </c>
      <c r="C2" s="583" t="s">
        <v>673</v>
      </c>
      <c r="D2" s="127">
        <v>0</v>
      </c>
      <c r="E2" s="128"/>
      <c r="F2" s="129">
        <f t="shared" ref="F2:F7" si="0">SUM(B2+D2*2)</f>
        <v>1</v>
      </c>
      <c r="H2" s="1032"/>
      <c r="I2" s="140" t="s">
        <v>4</v>
      </c>
      <c r="J2" s="140" t="s">
        <v>5</v>
      </c>
      <c r="K2" s="141" t="s">
        <v>70</v>
      </c>
      <c r="L2" s="142" t="s">
        <v>71</v>
      </c>
      <c r="M2" s="142" t="s">
        <v>72</v>
      </c>
      <c r="N2" s="143" t="s">
        <v>73</v>
      </c>
      <c r="O2" s="144" t="s">
        <v>74</v>
      </c>
      <c r="P2" s="141" t="s">
        <v>4</v>
      </c>
      <c r="Q2" s="144" t="s">
        <v>5</v>
      </c>
    </row>
    <row r="3" spans="1:17" ht="14.95" customHeight="1" thickBot="1" x14ac:dyDescent="0.3">
      <c r="A3" s="604" t="s">
        <v>565</v>
      </c>
      <c r="B3" s="582">
        <v>1</v>
      </c>
      <c r="C3" s="583" t="s">
        <v>618</v>
      </c>
      <c r="D3" s="127">
        <f>ausrc</f>
        <v>0</v>
      </c>
      <c r="E3" s="128"/>
      <c r="F3" s="129">
        <f t="shared" si="0"/>
        <v>1</v>
      </c>
      <c r="H3" s="8" t="s">
        <v>563</v>
      </c>
      <c r="I3" s="600">
        <v>0</v>
      </c>
      <c r="J3" s="600">
        <v>7</v>
      </c>
      <c r="K3" s="601">
        <v>10</v>
      </c>
      <c r="L3" s="601">
        <v>0</v>
      </c>
      <c r="M3" s="601">
        <v>0</v>
      </c>
      <c r="N3" s="601">
        <v>0</v>
      </c>
      <c r="O3" s="602">
        <f t="shared" ref="O3:O8" si="1">SUM(K3:N3)</f>
        <v>10</v>
      </c>
      <c r="P3" s="381">
        <f t="shared" ref="P3" si="2">SUM(I3/O3)*10</f>
        <v>0</v>
      </c>
      <c r="Q3" s="778">
        <f t="shared" ref="Q3" si="3">SUM(J3/O3)*10</f>
        <v>7</v>
      </c>
    </row>
    <row r="4" spans="1:17" ht="14.95" customHeight="1" thickBot="1" x14ac:dyDescent="0.3">
      <c r="A4" s="736" t="s">
        <v>60</v>
      </c>
      <c r="B4" s="582">
        <v>3</v>
      </c>
      <c r="C4" s="583" t="s">
        <v>647</v>
      </c>
      <c r="D4" s="127">
        <v>0</v>
      </c>
      <c r="E4" s="128"/>
      <c r="F4" s="129">
        <f t="shared" si="0"/>
        <v>3</v>
      </c>
      <c r="H4" s="592" t="s">
        <v>564</v>
      </c>
      <c r="I4" s="146">
        <v>25</v>
      </c>
      <c r="J4" s="146">
        <v>19</v>
      </c>
      <c r="K4" s="598">
        <v>53</v>
      </c>
      <c r="L4" s="598">
        <v>11</v>
      </c>
      <c r="M4" s="598">
        <v>0</v>
      </c>
      <c r="N4" s="598">
        <v>0</v>
      </c>
      <c r="O4" s="147">
        <f t="shared" ref="O4" si="4">SUM(K4:N4)</f>
        <v>64</v>
      </c>
      <c r="P4" s="381">
        <f t="shared" ref="P4" si="5">SUM(I4/O4)*10</f>
        <v>3.90625</v>
      </c>
      <c r="Q4" s="775">
        <f t="shared" ref="Q4" si="6">SUM(J4/O4)*10</f>
        <v>2.96875</v>
      </c>
    </row>
    <row r="5" spans="1:17" ht="14.95" customHeight="1" thickBot="1" x14ac:dyDescent="0.3">
      <c r="A5" s="256" t="s">
        <v>566</v>
      </c>
      <c r="B5" s="582">
        <v>2</v>
      </c>
      <c r="C5" s="197" t="s">
        <v>648</v>
      </c>
      <c r="D5" s="127">
        <v>1</v>
      </c>
      <c r="E5" s="128" t="s">
        <v>613</v>
      </c>
      <c r="F5" s="129">
        <f t="shared" si="0"/>
        <v>4</v>
      </c>
      <c r="H5" s="604" t="s">
        <v>565</v>
      </c>
      <c r="I5" s="146">
        <v>7</v>
      </c>
      <c r="J5" s="146">
        <v>0</v>
      </c>
      <c r="K5" s="598">
        <v>10</v>
      </c>
      <c r="L5" s="598">
        <v>0</v>
      </c>
      <c r="M5" s="598">
        <v>0</v>
      </c>
      <c r="N5" s="598">
        <v>0</v>
      </c>
      <c r="O5" s="147">
        <f t="shared" si="1"/>
        <v>10</v>
      </c>
      <c r="P5" s="381">
        <f t="shared" ref="P5:P9" si="7">SUM(I5/O5)*10</f>
        <v>7</v>
      </c>
      <c r="Q5" s="775">
        <f t="shared" ref="Q5:Q9" si="8">SUM(J5/O5)*10</f>
        <v>0</v>
      </c>
    </row>
    <row r="6" spans="1:17" ht="14.95" customHeight="1" thickBot="1" x14ac:dyDescent="0.3">
      <c r="A6" s="592" t="s">
        <v>564</v>
      </c>
      <c r="B6" s="582">
        <v>3</v>
      </c>
      <c r="C6" s="197" t="s">
        <v>679</v>
      </c>
      <c r="D6" s="127">
        <v>1</v>
      </c>
      <c r="E6" s="128" t="s">
        <v>664</v>
      </c>
      <c r="F6" s="129">
        <f t="shared" si="0"/>
        <v>5</v>
      </c>
      <c r="H6" s="256" t="s">
        <v>566</v>
      </c>
      <c r="I6" s="146">
        <v>0</v>
      </c>
      <c r="J6" s="146">
        <v>7</v>
      </c>
      <c r="K6" s="598">
        <v>12</v>
      </c>
      <c r="L6" s="598">
        <v>0</v>
      </c>
      <c r="M6" s="598">
        <v>0</v>
      </c>
      <c r="N6" s="598">
        <v>0</v>
      </c>
      <c r="O6" s="147">
        <f t="shared" si="1"/>
        <v>12</v>
      </c>
      <c r="P6" s="381">
        <f t="shared" si="7"/>
        <v>0</v>
      </c>
      <c r="Q6" s="775">
        <f t="shared" si="8"/>
        <v>5.8333333333333339</v>
      </c>
    </row>
    <row r="7" spans="1:17" ht="14.95" customHeight="1" thickBot="1" x14ac:dyDescent="0.3">
      <c r="A7" s="8" t="s">
        <v>567</v>
      </c>
      <c r="B7" s="582">
        <v>3</v>
      </c>
      <c r="C7" s="197" t="s">
        <v>674</v>
      </c>
      <c r="D7" s="127">
        <v>1</v>
      </c>
      <c r="E7" s="128" t="s">
        <v>617</v>
      </c>
      <c r="F7" s="129">
        <f t="shared" si="0"/>
        <v>5</v>
      </c>
      <c r="H7" s="8" t="s">
        <v>567</v>
      </c>
      <c r="I7" s="146">
        <v>12</v>
      </c>
      <c r="J7" s="146">
        <v>22</v>
      </c>
      <c r="K7" s="598">
        <v>36</v>
      </c>
      <c r="L7" s="598">
        <v>0</v>
      </c>
      <c r="M7" s="598">
        <v>0</v>
      </c>
      <c r="N7" s="598">
        <v>0</v>
      </c>
      <c r="O7" s="147">
        <f t="shared" ref="O7" si="9">SUM(K7:N7)</f>
        <v>36</v>
      </c>
      <c r="P7" s="381">
        <f t="shared" si="7"/>
        <v>3.333333333333333</v>
      </c>
      <c r="Q7" s="775">
        <f t="shared" si="8"/>
        <v>6.1111111111111116</v>
      </c>
    </row>
    <row r="8" spans="1:17" ht="14.95" customHeight="1" thickBot="1" x14ac:dyDescent="0.3">
      <c r="A8" s="158" t="s">
        <v>57</v>
      </c>
      <c r="B8" s="130">
        <f>SUM(B2:B7)</f>
        <v>13</v>
      </c>
      <c r="C8" s="133"/>
      <c r="D8" s="134">
        <f>SUM(D2:D7)</f>
        <v>3</v>
      </c>
      <c r="E8" s="135"/>
      <c r="F8" s="126" t="s">
        <v>58</v>
      </c>
      <c r="H8" s="736" t="s">
        <v>60</v>
      </c>
      <c r="I8" s="146">
        <v>0</v>
      </c>
      <c r="J8" s="146">
        <v>12</v>
      </c>
      <c r="K8" s="598">
        <v>27</v>
      </c>
      <c r="L8" s="598">
        <v>0</v>
      </c>
      <c r="M8" s="598">
        <v>0</v>
      </c>
      <c r="N8" s="598">
        <v>0</v>
      </c>
      <c r="O8" s="147">
        <f t="shared" si="1"/>
        <v>27</v>
      </c>
      <c r="P8" s="381">
        <f t="shared" si="7"/>
        <v>0</v>
      </c>
      <c r="Q8" s="777">
        <f t="shared" si="8"/>
        <v>4.4444444444444446</v>
      </c>
    </row>
    <row r="9" spans="1:17" ht="14.95" customHeight="1" thickBot="1" x14ac:dyDescent="0.3">
      <c r="A9" s="267" t="s">
        <v>261</v>
      </c>
      <c r="D9" s="136"/>
      <c r="E9" s="137"/>
      <c r="H9" s="151" t="s">
        <v>57</v>
      </c>
      <c r="I9" s="148">
        <f>SUM(I3:I8)</f>
        <v>44</v>
      </c>
      <c r="J9" s="148">
        <f t="shared" ref="J9:M9" si="10">SUM(J3:J8)</f>
        <v>67</v>
      </c>
      <c r="K9" s="148">
        <f t="shared" si="10"/>
        <v>148</v>
      </c>
      <c r="L9" s="148">
        <f t="shared" si="10"/>
        <v>11</v>
      </c>
      <c r="M9" s="148">
        <f t="shared" si="10"/>
        <v>0</v>
      </c>
      <c r="N9" s="148">
        <f>SUM(N3:N8)</f>
        <v>0</v>
      </c>
      <c r="O9" s="148">
        <f>SUM(O3:O8)</f>
        <v>159</v>
      </c>
      <c r="P9" s="705">
        <f t="shared" si="7"/>
        <v>2.7672955974842766</v>
      </c>
      <c r="Q9" s="706">
        <f t="shared" si="8"/>
        <v>4.2138364779874218</v>
      </c>
    </row>
    <row r="10" spans="1:17" ht="14.95" customHeight="1" x14ac:dyDescent="0.25">
      <c r="A10" s="138" t="s">
        <v>59</v>
      </c>
      <c r="B10" s="138"/>
    </row>
    <row r="11" spans="1:17" ht="14.95" customHeight="1" x14ac:dyDescent="0.25">
      <c r="A11" s="1351" t="s">
        <v>275</v>
      </c>
      <c r="B11" s="1351"/>
      <c r="C11" s="1352"/>
      <c r="D11" s="1352"/>
      <c r="H11" s="138" t="s">
        <v>146</v>
      </c>
    </row>
    <row r="12" spans="1:17" ht="14.95" customHeight="1" thickBot="1" x14ac:dyDescent="0.3">
      <c r="A12" s="251"/>
      <c r="B12" s="15"/>
      <c r="E12" t="s">
        <v>58</v>
      </c>
      <c r="I12" s="138"/>
    </row>
    <row r="13" spans="1:17" ht="14.95" customHeight="1" thickBot="1" x14ac:dyDescent="0.35">
      <c r="A13" s="792" t="s">
        <v>28</v>
      </c>
      <c r="H13" s="1031" t="s">
        <v>58</v>
      </c>
      <c r="I13" s="1033" t="s">
        <v>66</v>
      </c>
      <c r="J13" s="1034"/>
      <c r="K13" s="1033" t="s">
        <v>58</v>
      </c>
      <c r="L13" s="1035"/>
      <c r="M13" s="1035"/>
      <c r="N13" s="1035"/>
      <c r="O13" s="1034"/>
      <c r="P13" s="1033" t="s">
        <v>69</v>
      </c>
      <c r="Q13" s="1034"/>
    </row>
    <row r="14" spans="1:17" ht="14.95" customHeight="1" thickBot="1" x14ac:dyDescent="0.3">
      <c r="H14" s="1032"/>
      <c r="I14" s="140" t="s">
        <v>4</v>
      </c>
      <c r="J14" s="140" t="s">
        <v>5</v>
      </c>
      <c r="K14" s="141" t="s">
        <v>76</v>
      </c>
      <c r="L14" s="142" t="s">
        <v>77</v>
      </c>
      <c r="M14" s="142" t="s">
        <v>274</v>
      </c>
      <c r="N14" s="143" t="s">
        <v>151</v>
      </c>
      <c r="O14" s="144" t="s">
        <v>74</v>
      </c>
      <c r="P14" s="141" t="s">
        <v>4</v>
      </c>
      <c r="Q14" s="144" t="s">
        <v>5</v>
      </c>
    </row>
    <row r="15" spans="1:17" ht="14.95" customHeight="1" thickBot="1" x14ac:dyDescent="0.3">
      <c r="H15" s="8" t="s">
        <v>563</v>
      </c>
      <c r="I15" s="146">
        <v>14</v>
      </c>
      <c r="J15" s="146">
        <v>25</v>
      </c>
      <c r="K15" s="146">
        <v>56</v>
      </c>
      <c r="L15" s="146">
        <v>10</v>
      </c>
      <c r="M15" s="146">
        <v>0</v>
      </c>
      <c r="N15" s="146">
        <v>0</v>
      </c>
      <c r="O15" s="147">
        <f t="shared" ref="O15:O18" si="11">SUM(K15:N15)</f>
        <v>66</v>
      </c>
      <c r="P15" s="773">
        <f t="shared" ref="P15:P21" si="12">SUM(I15/O15)*10</f>
        <v>2.1212121212121211</v>
      </c>
      <c r="Q15" s="774">
        <f t="shared" ref="Q15:Q21" si="13">SUM(J15/O15)*10</f>
        <v>3.7878787878787881</v>
      </c>
    </row>
    <row r="16" spans="1:17" ht="14.95" customHeight="1" thickBot="1" x14ac:dyDescent="0.3">
      <c r="H16" s="592" t="s">
        <v>564</v>
      </c>
      <c r="I16" s="146">
        <v>19</v>
      </c>
      <c r="J16" s="146">
        <v>0</v>
      </c>
      <c r="K16" s="146">
        <v>31</v>
      </c>
      <c r="L16" s="146">
        <v>0</v>
      </c>
      <c r="M16" s="146">
        <v>0</v>
      </c>
      <c r="N16" s="146">
        <v>0</v>
      </c>
      <c r="O16" s="147">
        <f t="shared" si="11"/>
        <v>31</v>
      </c>
      <c r="P16" s="381">
        <f t="shared" si="12"/>
        <v>6.129032258064516</v>
      </c>
      <c r="Q16" s="382">
        <f t="shared" si="13"/>
        <v>0</v>
      </c>
    </row>
    <row r="17" spans="1:17" ht="14.95" customHeight="1" thickBot="1" x14ac:dyDescent="0.3">
      <c r="H17" s="604" t="s">
        <v>565</v>
      </c>
      <c r="I17" s="146">
        <v>22</v>
      </c>
      <c r="J17" s="146">
        <v>5</v>
      </c>
      <c r="K17" s="146">
        <v>34</v>
      </c>
      <c r="L17" s="146">
        <v>1</v>
      </c>
      <c r="M17" s="146">
        <v>0</v>
      </c>
      <c r="N17" s="146">
        <v>0</v>
      </c>
      <c r="O17" s="147">
        <f t="shared" si="11"/>
        <v>35</v>
      </c>
      <c r="P17" s="381">
        <f t="shared" si="12"/>
        <v>6.2857142857142856</v>
      </c>
      <c r="Q17" s="382">
        <f t="shared" si="13"/>
        <v>1.4285714285714284</v>
      </c>
    </row>
    <row r="18" spans="1:17" ht="14.95" customHeight="1" thickBot="1" x14ac:dyDescent="0.3">
      <c r="H18" s="256" t="s">
        <v>566</v>
      </c>
      <c r="I18" s="146">
        <v>5</v>
      </c>
      <c r="J18" s="146">
        <v>0</v>
      </c>
      <c r="K18" s="146">
        <v>10</v>
      </c>
      <c r="L18" s="146">
        <v>0</v>
      </c>
      <c r="M18" s="146">
        <v>0</v>
      </c>
      <c r="N18" s="146">
        <v>0</v>
      </c>
      <c r="O18" s="147">
        <f t="shared" si="11"/>
        <v>10</v>
      </c>
      <c r="P18" s="381">
        <f t="shared" si="12"/>
        <v>5</v>
      </c>
      <c r="Q18" s="775">
        <f t="shared" si="13"/>
        <v>0</v>
      </c>
    </row>
    <row r="19" spans="1:17" ht="14.95" customHeight="1" thickBot="1" x14ac:dyDescent="0.3">
      <c r="H19" s="8" t="s">
        <v>567</v>
      </c>
      <c r="I19" s="146">
        <v>0</v>
      </c>
      <c r="J19" s="146">
        <v>0</v>
      </c>
      <c r="K19" s="146">
        <v>1</v>
      </c>
      <c r="L19" s="146">
        <v>0</v>
      </c>
      <c r="M19" s="146">
        <v>0</v>
      </c>
      <c r="N19" s="146">
        <v>0</v>
      </c>
      <c r="O19" s="147">
        <f t="shared" ref="O19:O20" si="14">SUM(K19:N19)</f>
        <v>1</v>
      </c>
      <c r="P19" s="381">
        <f t="shared" ref="P19" si="15">SUM(I19/O19)*10</f>
        <v>0</v>
      </c>
      <c r="Q19" s="775">
        <f t="shared" ref="Q19" si="16">SUM(J19/O19)*10</f>
        <v>0</v>
      </c>
    </row>
    <row r="20" spans="1:17" ht="14.95" customHeight="1" thickBot="1" x14ac:dyDescent="0.3">
      <c r="H20" s="736" t="s">
        <v>60</v>
      </c>
      <c r="I20" s="146">
        <v>0</v>
      </c>
      <c r="J20" s="146">
        <v>0</v>
      </c>
      <c r="K20" s="146">
        <v>1</v>
      </c>
      <c r="L20" s="146">
        <v>0</v>
      </c>
      <c r="M20" s="146">
        <v>0</v>
      </c>
      <c r="N20" s="146">
        <v>0</v>
      </c>
      <c r="O20" s="147">
        <f t="shared" si="14"/>
        <v>1</v>
      </c>
      <c r="P20" s="776">
        <f t="shared" ref="P20" si="17">SUM(I20/O20)*10</f>
        <v>0</v>
      </c>
      <c r="Q20" s="777">
        <f t="shared" ref="Q20" si="18">SUM(J20/O20)*10</f>
        <v>0</v>
      </c>
    </row>
    <row r="21" spans="1:17" ht="14.95" customHeight="1" thickBot="1" x14ac:dyDescent="0.3">
      <c r="H21" s="151" t="s">
        <v>57</v>
      </c>
      <c r="I21" s="148">
        <f>SUM(I15:I20)</f>
        <v>60</v>
      </c>
      <c r="J21" s="149">
        <f t="shared" ref="J21:O21" si="19">SUM(J15:J20)</f>
        <v>30</v>
      </c>
      <c r="K21" s="148">
        <f t="shared" si="19"/>
        <v>133</v>
      </c>
      <c r="L21" s="150">
        <f t="shared" si="19"/>
        <v>11</v>
      </c>
      <c r="M21" s="150">
        <f t="shared" si="19"/>
        <v>0</v>
      </c>
      <c r="N21" s="150">
        <f t="shared" si="19"/>
        <v>0</v>
      </c>
      <c r="O21" s="149">
        <f t="shared" si="19"/>
        <v>144</v>
      </c>
      <c r="P21" s="593">
        <f t="shared" si="12"/>
        <v>4.166666666666667</v>
      </c>
      <c r="Q21" s="594">
        <f t="shared" si="13"/>
        <v>2.0833333333333335</v>
      </c>
    </row>
    <row r="22" spans="1:17" ht="14.95" customHeight="1" x14ac:dyDescent="0.25">
      <c r="H22" t="s">
        <v>58</v>
      </c>
    </row>
    <row r="23" spans="1:17" ht="14.95" customHeight="1" x14ac:dyDescent="0.25">
      <c r="H23" s="138" t="s">
        <v>149</v>
      </c>
      <c r="I23" s="138"/>
      <c r="J23" s="138"/>
      <c r="K23" s="138"/>
    </row>
    <row r="24" spans="1:17" ht="14.95" customHeight="1" x14ac:dyDescent="0.25">
      <c r="H24" s="138" t="s">
        <v>680</v>
      </c>
      <c r="I24" s="138"/>
      <c r="J24" s="138"/>
      <c r="K24" s="138"/>
    </row>
    <row r="25" spans="1:17" ht="14.95" customHeight="1" x14ac:dyDescent="0.25">
      <c r="H25" s="138"/>
      <c r="I25" s="138"/>
      <c r="J25" s="138"/>
      <c r="K25" s="138"/>
    </row>
    <row r="26" spans="1:17" ht="14.95" customHeight="1" x14ac:dyDescent="0.25">
      <c r="H26" s="138" t="s">
        <v>145</v>
      </c>
      <c r="J26" s="138"/>
      <c r="K26" s="138"/>
      <c r="L26" s="138"/>
    </row>
    <row r="27" spans="1:17" ht="14.95" customHeight="1" x14ac:dyDescent="0.25">
      <c r="H27" s="138" t="s">
        <v>675</v>
      </c>
      <c r="J27" s="138"/>
      <c r="K27" s="138"/>
      <c r="L27" s="138"/>
    </row>
    <row r="28" spans="1:17" ht="14.95" customHeight="1" x14ac:dyDescent="0.25"/>
    <row r="29" spans="1:17" ht="14.95" customHeight="1" x14ac:dyDescent="0.25">
      <c r="A29" s="251"/>
    </row>
    <row r="30" spans="1:17" ht="14.95" customHeight="1" x14ac:dyDescent="0.25"/>
    <row r="31" spans="1:17" ht="14.95" customHeight="1" x14ac:dyDescent="0.25"/>
    <row r="32" spans="1:17" ht="14.95" customHeight="1" x14ac:dyDescent="0.25"/>
    <row r="33" ht="14.95" customHeight="1" x14ac:dyDescent="0.25"/>
    <row r="34" ht="14.95" customHeight="1" x14ac:dyDescent="0.25"/>
    <row r="35" ht="14.95" customHeight="1" x14ac:dyDescent="0.25"/>
    <row r="36" ht="14.95" customHeight="1" x14ac:dyDescent="0.25"/>
    <row r="37" ht="14.95" customHeight="1" x14ac:dyDescent="0.25"/>
    <row r="38" ht="14.95" customHeight="1" x14ac:dyDescent="0.25"/>
    <row r="39" ht="14.95" customHeight="1" x14ac:dyDescent="0.25"/>
    <row r="40" ht="14.95" customHeight="1" x14ac:dyDescent="0.25"/>
  </sheetData>
  <sortState xmlns:xlrd2="http://schemas.microsoft.com/office/spreadsheetml/2017/richdata2" ref="A2:F7">
    <sortCondition ref="F2:F7"/>
    <sortCondition ref="D2:D7"/>
    <sortCondition ref="A2:A7"/>
  </sortState>
  <mergeCells count="11">
    <mergeCell ref="P1:Q1"/>
    <mergeCell ref="B1:C1"/>
    <mergeCell ref="D1:E1"/>
    <mergeCell ref="H1:H2"/>
    <mergeCell ref="I1:J1"/>
    <mergeCell ref="K1:O1"/>
    <mergeCell ref="A11:D11"/>
    <mergeCell ref="H13:H14"/>
    <mergeCell ref="I13:J13"/>
    <mergeCell ref="K13:O13"/>
    <mergeCell ref="P13:Q13"/>
  </mergeCells>
  <pageMargins left="0.7" right="0.7" top="0.75" bottom="0.75" header="0.3" footer="0.3"/>
  <ignoredErrors>
    <ignoredError sqref="O3 O15:O20 O8:P8" formulaRange="1"/>
    <ignoredError sqref="Q5:Q8 P16:P17 Q16:Q17" evalError="1"/>
    <ignoredError sqref="O4:O7" formula="1" formulaRange="1"/>
    <ignoredError sqref="P5:P7" evalError="1" formulaRange="1"/>
  </ignoredError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9D75-BF1D-4EAC-B54C-2FBCBA53E9C9}">
  <dimension ref="A1:AP40"/>
  <sheetViews>
    <sheetView workbookViewId="0">
      <selection activeCell="L25" sqref="L25"/>
    </sheetView>
  </sheetViews>
  <sheetFormatPr defaultRowHeight="14.95" customHeight="1" x14ac:dyDescent="0.25"/>
  <cols>
    <col min="1" max="1" width="7.125" bestFit="1" customWidth="1"/>
    <col min="2" max="2" width="4.875" bestFit="1" customWidth="1"/>
    <col min="4" max="15" width="4.625" customWidth="1"/>
    <col min="16" max="16" width="1.625" customWidth="1"/>
    <col min="18" max="21" width="5.5" bestFit="1" customWidth="1"/>
    <col min="22" max="22" width="5.125" bestFit="1" customWidth="1"/>
    <col min="23" max="26" width="5.5" bestFit="1" customWidth="1"/>
    <col min="27" max="27" width="5.875" bestFit="1" customWidth="1"/>
    <col min="28" max="28" width="4.25" bestFit="1" customWidth="1"/>
    <col min="29" max="29" width="1.625" customWidth="1"/>
    <col min="31" max="31" width="4.5" bestFit="1" customWidth="1"/>
    <col min="32" max="34" width="5.5" bestFit="1" customWidth="1"/>
    <col min="35" max="35" width="5.125" bestFit="1" customWidth="1"/>
    <col min="36" max="38" width="5.5" bestFit="1" customWidth="1"/>
    <col min="39" max="39" width="4" bestFit="1" customWidth="1"/>
    <col min="40" max="40" width="5.125" bestFit="1" customWidth="1"/>
    <col min="42" max="42" width="3" bestFit="1" customWidth="1"/>
  </cols>
  <sheetData>
    <row r="1" spans="1:42" ht="14.95" customHeight="1" thickBot="1" x14ac:dyDescent="0.3">
      <c r="A1" s="758" t="s">
        <v>574</v>
      </c>
      <c r="B1" s="758"/>
      <c r="C1" s="760"/>
      <c r="D1" s="758"/>
      <c r="E1" s="758"/>
      <c r="F1" s="759"/>
      <c r="G1" s="759"/>
      <c r="H1" s="759"/>
      <c r="I1" s="759"/>
      <c r="J1" s="759"/>
      <c r="K1" s="759"/>
      <c r="L1" s="759"/>
      <c r="M1" s="759"/>
      <c r="N1" s="759"/>
      <c r="O1" s="759"/>
      <c r="Q1" s="755" t="s">
        <v>291</v>
      </c>
      <c r="R1" s="750"/>
      <c r="S1" s="750"/>
      <c r="T1" s="750"/>
      <c r="U1" s="750"/>
      <c r="V1" s="750"/>
      <c r="W1" s="750"/>
      <c r="X1" s="750"/>
      <c r="Y1" s="750"/>
      <c r="Z1" s="750"/>
      <c r="AA1" s="751"/>
      <c r="AD1" s="756" t="s">
        <v>292</v>
      </c>
      <c r="AE1" s="757"/>
      <c r="AF1" s="757"/>
      <c r="AG1" s="757"/>
      <c r="AH1" s="757"/>
    </row>
    <row r="2" spans="1:42" ht="14.95" customHeight="1" thickBot="1" x14ac:dyDescent="0.3">
      <c r="A2" s="762" t="s">
        <v>243</v>
      </c>
      <c r="B2" s="761" t="s">
        <v>563</v>
      </c>
      <c r="C2" s="758">
        <v>34</v>
      </c>
      <c r="D2" s="763" t="s">
        <v>136</v>
      </c>
      <c r="E2" s="764">
        <v>20</v>
      </c>
      <c r="F2" s="1354" t="s">
        <v>60</v>
      </c>
      <c r="G2" s="1355"/>
      <c r="H2" s="1355"/>
      <c r="I2" s="765" t="s">
        <v>571</v>
      </c>
      <c r="J2" s="759"/>
      <c r="K2" s="759"/>
      <c r="L2" s="759"/>
      <c r="M2" s="759"/>
      <c r="N2" s="759"/>
      <c r="O2" s="759"/>
      <c r="Q2" s="752"/>
      <c r="R2" s="627" t="s">
        <v>220</v>
      </c>
      <c r="S2" s="628" t="s">
        <v>293</v>
      </c>
      <c r="T2" s="629" t="s">
        <v>294</v>
      </c>
      <c r="U2" s="630" t="s">
        <v>295</v>
      </c>
      <c r="V2" s="631" t="s">
        <v>296</v>
      </c>
      <c r="W2" s="632" t="s">
        <v>297</v>
      </c>
      <c r="X2" s="632" t="s">
        <v>298</v>
      </c>
      <c r="Y2" s="633" t="s">
        <v>299</v>
      </c>
      <c r="Z2" s="633" t="s">
        <v>300</v>
      </c>
      <c r="AA2" s="748" t="s">
        <v>301</v>
      </c>
      <c r="AB2" s="668" t="s">
        <v>302</v>
      </c>
      <c r="AD2" s="752"/>
      <c r="AE2" s="634" t="s">
        <v>220</v>
      </c>
      <c r="AF2" s="628" t="s">
        <v>293</v>
      </c>
      <c r="AG2" s="630" t="s">
        <v>294</v>
      </c>
      <c r="AH2" s="630" t="s">
        <v>295</v>
      </c>
      <c r="AI2" s="631" t="s">
        <v>296</v>
      </c>
      <c r="AJ2" s="632" t="s">
        <v>297</v>
      </c>
      <c r="AK2" s="632" t="s">
        <v>298</v>
      </c>
      <c r="AL2" s="633" t="s">
        <v>299</v>
      </c>
      <c r="AM2" s="1051" t="s">
        <v>300</v>
      </c>
      <c r="AN2" s="1052"/>
      <c r="AO2" s="574" t="s">
        <v>301</v>
      </c>
      <c r="AP2" s="239" t="s">
        <v>21</v>
      </c>
    </row>
    <row r="3" spans="1:42" ht="14.95" customHeight="1" thickBot="1" x14ac:dyDescent="0.3">
      <c r="A3" s="762" t="s">
        <v>243</v>
      </c>
      <c r="B3" s="760" t="s">
        <v>567</v>
      </c>
      <c r="C3" s="758">
        <v>30</v>
      </c>
      <c r="D3" s="763" t="s">
        <v>136</v>
      </c>
      <c r="E3" s="764">
        <v>16</v>
      </c>
      <c r="F3" s="758" t="s">
        <v>566</v>
      </c>
      <c r="G3" s="758"/>
      <c r="H3" s="758"/>
      <c r="I3" s="765" t="s">
        <v>581</v>
      </c>
      <c r="J3" s="759"/>
      <c r="K3" s="759"/>
      <c r="L3" s="759"/>
      <c r="M3" s="759"/>
      <c r="N3" s="759"/>
      <c r="O3" s="759"/>
      <c r="Q3" s="8" t="s">
        <v>563</v>
      </c>
      <c r="R3" s="635">
        <v>1</v>
      </c>
      <c r="S3" s="636"/>
      <c r="T3" s="637">
        <v>2</v>
      </c>
      <c r="U3" s="638">
        <v>2</v>
      </c>
      <c r="V3" s="639">
        <f t="shared" ref="V3:V6" si="0">SUM(R3:U3)</f>
        <v>5</v>
      </c>
      <c r="W3" s="640">
        <v>1</v>
      </c>
      <c r="X3" s="641">
        <v>1</v>
      </c>
      <c r="Y3" s="642">
        <v>2</v>
      </c>
      <c r="Z3" s="643">
        <v>1</v>
      </c>
      <c r="AA3" s="749">
        <f t="shared" ref="AA3:AA6" si="1">SUM(W3:Z3)</f>
        <v>5</v>
      </c>
      <c r="AB3" s="311">
        <f t="shared" ref="AB3:AB6" si="2">SUM(V3+AA3)</f>
        <v>10</v>
      </c>
      <c r="AD3" s="752"/>
      <c r="AE3" s="646" t="s">
        <v>304</v>
      </c>
      <c r="AF3" s="646" t="s">
        <v>304</v>
      </c>
      <c r="AG3" s="647" t="s">
        <v>304</v>
      </c>
      <c r="AH3" s="647" t="s">
        <v>304</v>
      </c>
      <c r="AI3" s="291" t="s">
        <v>58</v>
      </c>
      <c r="AJ3" s="648" t="s">
        <v>304</v>
      </c>
      <c r="AK3" s="648" t="s">
        <v>304</v>
      </c>
      <c r="AL3" s="649" t="s">
        <v>304</v>
      </c>
      <c r="AM3" s="649" t="s">
        <v>304</v>
      </c>
      <c r="AN3" s="649" t="s">
        <v>305</v>
      </c>
      <c r="AO3" s="574"/>
      <c r="AP3" s="239"/>
    </row>
    <row r="4" spans="1:42" ht="14.95" customHeight="1" thickBot="1" x14ac:dyDescent="0.3">
      <c r="A4" s="762" t="s">
        <v>249</v>
      </c>
      <c r="B4" s="760" t="s">
        <v>564</v>
      </c>
      <c r="C4" s="758">
        <v>32</v>
      </c>
      <c r="D4" s="763" t="s">
        <v>136</v>
      </c>
      <c r="E4" s="764">
        <v>10</v>
      </c>
      <c r="F4" s="1356" t="s">
        <v>567</v>
      </c>
      <c r="G4" s="1357"/>
      <c r="H4" s="1357"/>
      <c r="I4" s="765" t="s">
        <v>445</v>
      </c>
      <c r="J4" s="759"/>
      <c r="K4" s="759"/>
      <c r="L4" s="759"/>
      <c r="M4" s="759"/>
      <c r="N4" s="759"/>
      <c r="O4" s="759"/>
      <c r="Q4" s="592" t="s">
        <v>564</v>
      </c>
      <c r="R4" s="635">
        <v>2</v>
      </c>
      <c r="S4" s="636">
        <v>3</v>
      </c>
      <c r="T4" s="637">
        <v>3</v>
      </c>
      <c r="U4" s="638">
        <v>5</v>
      </c>
      <c r="V4" s="639">
        <f t="shared" si="0"/>
        <v>13</v>
      </c>
      <c r="W4" s="640">
        <v>3</v>
      </c>
      <c r="X4" s="641">
        <v>2</v>
      </c>
      <c r="Y4" s="642">
        <v>3</v>
      </c>
      <c r="Z4" s="643">
        <v>1</v>
      </c>
      <c r="AA4" s="749">
        <f t="shared" si="1"/>
        <v>9</v>
      </c>
      <c r="AB4" s="311">
        <f t="shared" si="2"/>
        <v>22</v>
      </c>
      <c r="AD4" s="8" t="s">
        <v>563</v>
      </c>
      <c r="AE4" s="635"/>
      <c r="AF4" s="636"/>
      <c r="AG4" s="638"/>
      <c r="AH4" s="637"/>
      <c r="AI4" s="639">
        <f>SUM(AD4:AH4)</f>
        <v>0</v>
      </c>
      <c r="AJ4" s="640"/>
      <c r="AK4" s="641">
        <v>1</v>
      </c>
      <c r="AL4" s="642"/>
      <c r="AM4" s="642"/>
      <c r="AN4" s="643"/>
      <c r="AO4" s="644">
        <f t="shared" ref="AO4:AO7" si="3">SUM(AJ4:AN4)</f>
        <v>1</v>
      </c>
      <c r="AP4" s="239">
        <f>SUM(AI4:AM4)-AN4</f>
        <v>1</v>
      </c>
    </row>
    <row r="5" spans="1:42" ht="14.95" customHeight="1" thickBot="1" x14ac:dyDescent="0.3">
      <c r="A5" s="762" t="s">
        <v>249</v>
      </c>
      <c r="B5" s="761" t="s">
        <v>565</v>
      </c>
      <c r="C5" s="758">
        <v>57</v>
      </c>
      <c r="D5" s="763" t="s">
        <v>136</v>
      </c>
      <c r="E5" s="764">
        <v>15</v>
      </c>
      <c r="F5" s="1353" t="s">
        <v>563</v>
      </c>
      <c r="G5" s="1353"/>
      <c r="H5" s="1353"/>
      <c r="I5" s="765" t="s">
        <v>595</v>
      </c>
      <c r="J5" s="759"/>
      <c r="K5" s="759"/>
      <c r="L5" s="759"/>
      <c r="M5" s="759"/>
      <c r="N5" s="759"/>
      <c r="O5" s="759"/>
      <c r="Q5" s="604" t="s">
        <v>565</v>
      </c>
      <c r="R5" s="635">
        <v>3</v>
      </c>
      <c r="S5" s="636">
        <v>2</v>
      </c>
      <c r="T5" s="637">
        <v>2</v>
      </c>
      <c r="U5" s="638">
        <v>3</v>
      </c>
      <c r="V5" s="639">
        <f t="shared" si="0"/>
        <v>10</v>
      </c>
      <c r="W5" s="640">
        <v>3</v>
      </c>
      <c r="X5" s="641">
        <v>4</v>
      </c>
      <c r="Y5" s="642">
        <v>3</v>
      </c>
      <c r="Z5" s="643">
        <v>6</v>
      </c>
      <c r="AA5" s="749">
        <f t="shared" si="1"/>
        <v>16</v>
      </c>
      <c r="AB5" s="311">
        <f t="shared" si="2"/>
        <v>26</v>
      </c>
      <c r="AD5" s="592" t="s">
        <v>564</v>
      </c>
      <c r="AE5" s="635"/>
      <c r="AF5" s="636"/>
      <c r="AG5" s="638"/>
      <c r="AH5" s="637"/>
      <c r="AI5" s="639">
        <f t="shared" ref="AI5:AI7" si="4">SUM(AD5:AH5)</f>
        <v>0</v>
      </c>
      <c r="AJ5" s="640"/>
      <c r="AK5" s="641"/>
      <c r="AL5" s="642">
        <v>1</v>
      </c>
      <c r="AM5" s="642">
        <v>1</v>
      </c>
      <c r="AN5" s="643"/>
      <c r="AO5" s="644">
        <f t="shared" si="3"/>
        <v>2</v>
      </c>
      <c r="AP5" s="239">
        <f>SUM(AI5:AM5)-AN5</f>
        <v>2</v>
      </c>
    </row>
    <row r="6" spans="1:42" ht="14.95" customHeight="1" thickBot="1" x14ac:dyDescent="0.3">
      <c r="A6" s="762" t="s">
        <v>253</v>
      </c>
      <c r="B6" s="761" t="s">
        <v>566</v>
      </c>
      <c r="C6" s="758">
        <v>15</v>
      </c>
      <c r="D6" s="763" t="s">
        <v>136</v>
      </c>
      <c r="E6" s="764">
        <v>29</v>
      </c>
      <c r="F6" s="1353" t="s">
        <v>564</v>
      </c>
      <c r="G6" s="1353"/>
      <c r="H6" s="1353"/>
      <c r="I6" s="765" t="s">
        <v>621</v>
      </c>
      <c r="J6" s="759"/>
      <c r="K6" s="759"/>
      <c r="L6" s="759"/>
      <c r="M6" s="759"/>
      <c r="N6" s="759"/>
      <c r="O6" s="759"/>
      <c r="Q6" s="256" t="s">
        <v>566</v>
      </c>
      <c r="R6" s="635">
        <v>1</v>
      </c>
      <c r="S6" s="636">
        <v>1</v>
      </c>
      <c r="T6" s="637"/>
      <c r="U6" s="638"/>
      <c r="V6" s="639">
        <f t="shared" si="0"/>
        <v>2</v>
      </c>
      <c r="W6" s="640"/>
      <c r="X6" s="641"/>
      <c r="Y6" s="642">
        <v>2</v>
      </c>
      <c r="Z6" s="643">
        <v>1</v>
      </c>
      <c r="AA6" s="749">
        <f t="shared" si="1"/>
        <v>3</v>
      </c>
      <c r="AB6" s="311">
        <f t="shared" si="2"/>
        <v>5</v>
      </c>
      <c r="AD6" s="604" t="s">
        <v>565</v>
      </c>
      <c r="AE6" s="635"/>
      <c r="AF6" s="636"/>
      <c r="AG6" s="638"/>
      <c r="AH6" s="637">
        <v>1</v>
      </c>
      <c r="AI6" s="639">
        <f t="shared" si="4"/>
        <v>1</v>
      </c>
      <c r="AJ6" s="640"/>
      <c r="AK6" s="641">
        <v>1</v>
      </c>
      <c r="AL6" s="642"/>
      <c r="AM6" s="642"/>
      <c r="AN6" s="643"/>
      <c r="AO6" s="644">
        <f t="shared" si="3"/>
        <v>1</v>
      </c>
      <c r="AP6" s="239">
        <f t="shared" ref="AP6:AP7" si="5">SUM(AI6:AM6)-AN6</f>
        <v>2</v>
      </c>
    </row>
    <row r="7" spans="1:42" ht="14.95" customHeight="1" thickBot="1" x14ac:dyDescent="0.3">
      <c r="A7" s="762" t="s">
        <v>253</v>
      </c>
      <c r="B7" s="761" t="s">
        <v>60</v>
      </c>
      <c r="C7" s="758">
        <v>21</v>
      </c>
      <c r="D7" s="763" t="s">
        <v>136</v>
      </c>
      <c r="E7" s="764">
        <v>47</v>
      </c>
      <c r="F7" s="1356" t="s">
        <v>565</v>
      </c>
      <c r="G7" s="1357"/>
      <c r="H7" s="1357"/>
      <c r="I7" s="765" t="s">
        <v>630</v>
      </c>
      <c r="J7" s="759"/>
      <c r="K7" s="759"/>
      <c r="L7" s="759"/>
      <c r="M7" s="759"/>
      <c r="N7" s="759"/>
      <c r="O7" s="759"/>
      <c r="Q7" s="8" t="s">
        <v>567</v>
      </c>
      <c r="R7" s="635">
        <v>3</v>
      </c>
      <c r="S7" s="636">
        <v>1</v>
      </c>
      <c r="T7" s="637">
        <v>2</v>
      </c>
      <c r="U7" s="638">
        <v>2</v>
      </c>
      <c r="V7" s="639">
        <f t="shared" ref="V7:V8" si="6">SUM(R7:U7)</f>
        <v>8</v>
      </c>
      <c r="W7" s="640"/>
      <c r="X7" s="641">
        <v>1</v>
      </c>
      <c r="Y7" s="642">
        <v>2</v>
      </c>
      <c r="Z7" s="643">
        <v>2</v>
      </c>
      <c r="AA7" s="749">
        <f t="shared" ref="AA7:AA8" si="7">SUM(W7:Z7)</f>
        <v>5</v>
      </c>
      <c r="AB7" s="311">
        <f t="shared" ref="AB7:AB8" si="8">SUM(V7+AA7)</f>
        <v>13</v>
      </c>
      <c r="AD7" s="256" t="s">
        <v>566</v>
      </c>
      <c r="AE7" s="635"/>
      <c r="AF7" s="636"/>
      <c r="AG7" s="638"/>
      <c r="AH7" s="637"/>
      <c r="AI7" s="639">
        <f t="shared" si="4"/>
        <v>0</v>
      </c>
      <c r="AJ7" s="640"/>
      <c r="AK7" s="641"/>
      <c r="AL7" s="642"/>
      <c r="AM7" s="642"/>
      <c r="AN7" s="643"/>
      <c r="AO7" s="644">
        <f t="shared" si="3"/>
        <v>0</v>
      </c>
      <c r="AP7" s="239">
        <f t="shared" si="5"/>
        <v>0</v>
      </c>
    </row>
    <row r="8" spans="1:42" ht="14.95" customHeight="1" thickBot="1" x14ac:dyDescent="0.3">
      <c r="A8" s="762" t="s">
        <v>179</v>
      </c>
      <c r="B8" s="761" t="s">
        <v>60</v>
      </c>
      <c r="C8" s="758">
        <v>29</v>
      </c>
      <c r="D8" s="763" t="s">
        <v>136</v>
      </c>
      <c r="E8" s="764">
        <v>13</v>
      </c>
      <c r="F8" s="764" t="s">
        <v>566</v>
      </c>
      <c r="G8" s="764"/>
      <c r="H8" s="764"/>
      <c r="I8" s="765" t="s">
        <v>649</v>
      </c>
      <c r="J8" s="759"/>
      <c r="K8" s="759"/>
      <c r="L8" s="759"/>
      <c r="M8" s="759"/>
      <c r="N8" s="759"/>
      <c r="O8" s="759"/>
      <c r="Q8" s="736" t="s">
        <v>60</v>
      </c>
      <c r="R8" s="635">
        <v>1</v>
      </c>
      <c r="S8" s="636">
        <v>1</v>
      </c>
      <c r="T8" s="637">
        <v>2</v>
      </c>
      <c r="U8" s="638">
        <v>1</v>
      </c>
      <c r="V8" s="639">
        <f t="shared" si="6"/>
        <v>5</v>
      </c>
      <c r="W8" s="640"/>
      <c r="X8" s="641"/>
      <c r="Y8" s="642">
        <v>1</v>
      </c>
      <c r="Z8" s="643">
        <v>3</v>
      </c>
      <c r="AA8" s="664">
        <f t="shared" si="7"/>
        <v>4</v>
      </c>
      <c r="AB8" s="311">
        <f t="shared" si="8"/>
        <v>9</v>
      </c>
      <c r="AD8" s="8" t="s">
        <v>567</v>
      </c>
      <c r="AE8" s="635"/>
      <c r="AF8" s="636"/>
      <c r="AG8" s="638"/>
      <c r="AH8" s="637"/>
      <c r="AI8" s="639">
        <f t="shared" ref="AI8:AI9" si="9">SUM(AD8:AH8)</f>
        <v>0</v>
      </c>
      <c r="AJ8" s="640"/>
      <c r="AK8" s="641"/>
      <c r="AL8" s="642"/>
      <c r="AM8" s="642"/>
      <c r="AN8" s="643"/>
      <c r="AO8" s="644">
        <f t="shared" ref="AO8:AO9" si="10">SUM(AJ8:AN8)</f>
        <v>0</v>
      </c>
      <c r="AP8" s="239">
        <f t="shared" ref="AP8:AP9" si="11">SUM(AI8:AM8)-AN8</f>
        <v>0</v>
      </c>
    </row>
    <row r="9" spans="1:42" ht="14.95" customHeight="1" thickBot="1" x14ac:dyDescent="0.3">
      <c r="A9" s="762" t="s">
        <v>179</v>
      </c>
      <c r="B9" s="761" t="s">
        <v>567</v>
      </c>
      <c r="C9" s="758">
        <v>24</v>
      </c>
      <c r="D9" s="763" t="s">
        <v>136</v>
      </c>
      <c r="E9" s="764">
        <v>62</v>
      </c>
      <c r="F9" s="1353" t="s">
        <v>565</v>
      </c>
      <c r="G9" s="1353"/>
      <c r="H9" s="1353"/>
      <c r="I9" s="765" t="s">
        <v>649</v>
      </c>
      <c r="J9" s="759"/>
      <c r="K9" s="759"/>
      <c r="L9" s="759"/>
      <c r="M9" s="759"/>
      <c r="N9" s="759"/>
      <c r="O9" s="759"/>
      <c r="AB9" s="239">
        <f>SUM(AB3:AB8)</f>
        <v>85</v>
      </c>
      <c r="AD9" s="736" t="s">
        <v>60</v>
      </c>
      <c r="AE9" s="635"/>
      <c r="AF9" s="636"/>
      <c r="AG9" s="638"/>
      <c r="AH9" s="637"/>
      <c r="AI9" s="639">
        <f t="shared" si="9"/>
        <v>0</v>
      </c>
      <c r="AJ9" s="640"/>
      <c r="AK9" s="641"/>
      <c r="AL9" s="642"/>
      <c r="AM9" s="642"/>
      <c r="AN9" s="643"/>
      <c r="AO9" s="644">
        <f t="shared" si="10"/>
        <v>0</v>
      </c>
      <c r="AP9" s="239">
        <f t="shared" si="11"/>
        <v>0</v>
      </c>
    </row>
    <row r="10" spans="1:42" ht="14.95" customHeight="1" thickBot="1" x14ac:dyDescent="0.3">
      <c r="A10" s="762" t="s">
        <v>179</v>
      </c>
      <c r="B10" s="761" t="s">
        <v>564</v>
      </c>
      <c r="C10" s="758">
        <v>63</v>
      </c>
      <c r="D10" s="763" t="s">
        <v>136</v>
      </c>
      <c r="E10" s="764">
        <v>10</v>
      </c>
      <c r="F10" s="1353" t="s">
        <v>563</v>
      </c>
      <c r="G10" s="1353"/>
      <c r="H10" s="1353"/>
      <c r="I10" s="765" t="s">
        <v>649</v>
      </c>
      <c r="J10" s="759"/>
      <c r="K10" s="759"/>
      <c r="L10" s="759"/>
      <c r="M10" s="759"/>
      <c r="N10" s="759"/>
      <c r="O10" s="759"/>
      <c r="Q10" s="756" t="s">
        <v>306</v>
      </c>
      <c r="R10" s="754"/>
      <c r="S10" s="754"/>
      <c r="T10" s="754"/>
      <c r="U10" s="754"/>
      <c r="V10" s="754"/>
      <c r="W10" s="754"/>
      <c r="X10" s="754"/>
      <c r="Y10" s="754"/>
      <c r="Z10" s="754"/>
      <c r="AA10" s="754"/>
      <c r="AN10">
        <f>SUM(AN4:AN9)</f>
        <v>0</v>
      </c>
      <c r="AP10" s="239">
        <f>SUM(AP4:AP9)</f>
        <v>5</v>
      </c>
    </row>
    <row r="11" spans="1:42" ht="14.95" customHeight="1" thickBot="1" x14ac:dyDescent="0.3">
      <c r="A11" s="762" t="s">
        <v>666</v>
      </c>
      <c r="B11" s="761" t="s">
        <v>567</v>
      </c>
      <c r="C11" s="758">
        <v>35</v>
      </c>
      <c r="D11" s="763" t="s">
        <v>136</v>
      </c>
      <c r="E11" s="764">
        <v>24</v>
      </c>
      <c r="F11" s="1353" t="s">
        <v>563</v>
      </c>
      <c r="G11" s="1353"/>
      <c r="H11" s="1353"/>
      <c r="I11" s="765" t="s">
        <v>676</v>
      </c>
      <c r="J11" s="759"/>
      <c r="K11" s="759"/>
      <c r="L11" s="759"/>
      <c r="M11" s="759"/>
      <c r="N11" s="759"/>
      <c r="O11" s="759"/>
      <c r="Q11" s="752"/>
      <c r="R11" s="627" t="s">
        <v>220</v>
      </c>
      <c r="S11" s="628" t="s">
        <v>293</v>
      </c>
      <c r="T11" s="629" t="s">
        <v>294</v>
      </c>
      <c r="U11" s="630" t="s">
        <v>295</v>
      </c>
      <c r="V11" s="631" t="s">
        <v>296</v>
      </c>
      <c r="W11" s="632" t="s">
        <v>297</v>
      </c>
      <c r="X11" s="632" t="s">
        <v>298</v>
      </c>
      <c r="Y11" s="633" t="s">
        <v>299</v>
      </c>
      <c r="Z11" s="633" t="s">
        <v>300</v>
      </c>
      <c r="AA11" s="667" t="s">
        <v>301</v>
      </c>
      <c r="AB11" s="668" t="s">
        <v>302</v>
      </c>
      <c r="AD11" s="756" t="s">
        <v>307</v>
      </c>
      <c r="AE11" s="757"/>
      <c r="AF11" s="757"/>
      <c r="AG11" s="757"/>
      <c r="AH11" s="757"/>
    </row>
    <row r="12" spans="1:42" ht="14.95" customHeight="1" thickBot="1" x14ac:dyDescent="0.3">
      <c r="A12" s="762" t="s">
        <v>666</v>
      </c>
      <c r="B12" s="761" t="s">
        <v>565</v>
      </c>
      <c r="C12" s="758">
        <v>27</v>
      </c>
      <c r="D12" s="763" t="s">
        <v>136</v>
      </c>
      <c r="E12" s="764">
        <v>33</v>
      </c>
      <c r="F12" s="1353" t="s">
        <v>564</v>
      </c>
      <c r="G12" s="1353"/>
      <c r="H12" s="1353"/>
      <c r="I12" s="765" t="s">
        <v>676</v>
      </c>
      <c r="J12" s="759"/>
      <c r="K12" s="759"/>
      <c r="L12" s="759"/>
      <c r="M12" s="759"/>
      <c r="N12" s="759"/>
      <c r="O12" s="759"/>
      <c r="Q12" s="8" t="s">
        <v>563</v>
      </c>
      <c r="R12" s="635">
        <v>4</v>
      </c>
      <c r="S12" s="636">
        <v>3</v>
      </c>
      <c r="T12" s="638">
        <v>1</v>
      </c>
      <c r="U12" s="637">
        <v>3</v>
      </c>
      <c r="V12" s="639">
        <f t="shared" ref="V12:V15" si="12">SUM(R12:U12)</f>
        <v>11</v>
      </c>
      <c r="W12" s="640">
        <v>2</v>
      </c>
      <c r="X12" s="641">
        <v>4</v>
      </c>
      <c r="Y12" s="642">
        <v>3</v>
      </c>
      <c r="Z12" s="643">
        <v>4</v>
      </c>
      <c r="AA12" s="644">
        <f t="shared" ref="AA12:AA17" si="13">SUM(W12:Z12)</f>
        <v>13</v>
      </c>
      <c r="AB12" s="311">
        <f>SUM(V12+AA12)</f>
        <v>24</v>
      </c>
      <c r="AD12" s="752"/>
      <c r="AE12" s="634" t="s">
        <v>220</v>
      </c>
      <c r="AF12" s="628" t="s">
        <v>293</v>
      </c>
      <c r="AG12" s="630" t="s">
        <v>294</v>
      </c>
      <c r="AH12" s="630" t="s">
        <v>295</v>
      </c>
      <c r="AI12" s="631" t="s">
        <v>296</v>
      </c>
      <c r="AJ12" s="632" t="s">
        <v>297</v>
      </c>
      <c r="AK12" s="632" t="s">
        <v>298</v>
      </c>
      <c r="AL12" s="633" t="s">
        <v>299</v>
      </c>
      <c r="AM12" s="1051" t="s">
        <v>300</v>
      </c>
      <c r="AN12" s="1052"/>
      <c r="AO12" s="574" t="s">
        <v>301</v>
      </c>
      <c r="AP12" s="239" t="s">
        <v>21</v>
      </c>
    </row>
    <row r="13" spans="1:42" ht="14.95" customHeight="1" thickBot="1" x14ac:dyDescent="0.3">
      <c r="A13" s="762"/>
      <c r="B13" s="761"/>
      <c r="C13" s="758"/>
      <c r="D13" s="763"/>
      <c r="E13" s="764"/>
      <c r="F13" s="1353"/>
      <c r="G13" s="1353"/>
      <c r="H13" s="1353"/>
      <c r="I13" s="765"/>
      <c r="J13" s="759"/>
      <c r="K13" s="759"/>
      <c r="L13" s="759"/>
      <c r="M13" s="759"/>
      <c r="N13" s="759"/>
      <c r="O13" s="759"/>
      <c r="Q13" s="592" t="s">
        <v>564</v>
      </c>
      <c r="R13" s="635">
        <v>3</v>
      </c>
      <c r="S13" s="636">
        <v>1</v>
      </c>
      <c r="T13" s="638"/>
      <c r="U13" s="637"/>
      <c r="V13" s="639">
        <f t="shared" si="12"/>
        <v>4</v>
      </c>
      <c r="W13" s="640">
        <v>1</v>
      </c>
      <c r="X13" s="641">
        <v>1</v>
      </c>
      <c r="Y13" s="642"/>
      <c r="Z13" s="643"/>
      <c r="AA13" s="644">
        <f t="shared" si="13"/>
        <v>2</v>
      </c>
      <c r="AB13" s="311">
        <f t="shared" ref="AB13:AB17" si="14">SUM(V13+AA13)</f>
        <v>6</v>
      </c>
      <c r="AD13" s="752"/>
      <c r="AE13" s="646" t="s">
        <v>304</v>
      </c>
      <c r="AF13" s="646" t="s">
        <v>304</v>
      </c>
      <c r="AG13" s="647" t="s">
        <v>304</v>
      </c>
      <c r="AH13" s="647" t="s">
        <v>304</v>
      </c>
      <c r="AI13" s="291" t="s">
        <v>58</v>
      </c>
      <c r="AJ13" s="648" t="s">
        <v>304</v>
      </c>
      <c r="AK13" s="648" t="s">
        <v>304</v>
      </c>
      <c r="AL13" s="649" t="s">
        <v>304</v>
      </c>
      <c r="AM13" s="649" t="s">
        <v>304</v>
      </c>
      <c r="AN13" s="649" t="s">
        <v>305</v>
      </c>
      <c r="AO13" s="574"/>
      <c r="AP13" s="239"/>
    </row>
    <row r="14" spans="1:42" ht="14.95" customHeight="1" thickBot="1" x14ac:dyDescent="0.3">
      <c r="A14" s="454" t="s">
        <v>561</v>
      </c>
      <c r="B14" s="155" t="s">
        <v>48</v>
      </c>
      <c r="C14" s="113"/>
      <c r="D14" s="113" t="s">
        <v>0</v>
      </c>
      <c r="E14" s="114" t="s">
        <v>1</v>
      </c>
      <c r="F14" s="113" t="s">
        <v>2</v>
      </c>
      <c r="G14" s="113" t="s">
        <v>3</v>
      </c>
      <c r="H14" s="113" t="s">
        <v>4</v>
      </c>
      <c r="I14" s="113" t="s">
        <v>5</v>
      </c>
      <c r="J14" s="114" t="s">
        <v>49</v>
      </c>
      <c r="K14" s="113" t="s">
        <v>21</v>
      </c>
      <c r="L14" s="113" t="s">
        <v>22</v>
      </c>
      <c r="M14" s="113" t="s">
        <v>52</v>
      </c>
      <c r="N14" s="113" t="s">
        <v>53</v>
      </c>
      <c r="O14" s="114" t="s">
        <v>50</v>
      </c>
      <c r="Q14" s="604" t="s">
        <v>565</v>
      </c>
      <c r="R14" s="635">
        <v>1</v>
      </c>
      <c r="S14" s="636"/>
      <c r="T14" s="638">
        <v>4</v>
      </c>
      <c r="U14" s="637">
        <v>5</v>
      </c>
      <c r="V14" s="639">
        <f t="shared" si="12"/>
        <v>10</v>
      </c>
      <c r="W14" s="640">
        <v>1</v>
      </c>
      <c r="X14" s="641"/>
      <c r="Y14" s="642">
        <v>1</v>
      </c>
      <c r="Z14" s="643">
        <v>2</v>
      </c>
      <c r="AA14" s="644">
        <f t="shared" si="13"/>
        <v>4</v>
      </c>
      <c r="AB14" s="311">
        <f t="shared" si="14"/>
        <v>14</v>
      </c>
      <c r="AD14" s="8" t="s">
        <v>563</v>
      </c>
      <c r="AE14" s="635"/>
      <c r="AF14" s="636"/>
      <c r="AG14" s="638"/>
      <c r="AH14" s="637"/>
      <c r="AI14" s="639">
        <f t="shared" ref="AI14:AI17" si="15">SUM(AD14:AH14)</f>
        <v>0</v>
      </c>
      <c r="AJ14" s="640"/>
      <c r="AK14" s="641">
        <v>1</v>
      </c>
      <c r="AL14" s="642"/>
      <c r="AM14" s="642"/>
      <c r="AN14" s="643"/>
      <c r="AO14" s="644">
        <f t="shared" ref="AO14:AO19" si="16">SUM(AJ14:AN14)</f>
        <v>1</v>
      </c>
      <c r="AP14" s="239">
        <f t="shared" ref="AP14:AP17" si="17">SUM(AI14:AM14)-AN14</f>
        <v>1</v>
      </c>
    </row>
    <row r="15" spans="1:42" ht="14.95" customHeight="1" thickBot="1" x14ac:dyDescent="0.3">
      <c r="A15" s="252" t="s">
        <v>633</v>
      </c>
      <c r="B15" s="521" t="s">
        <v>51</v>
      </c>
      <c r="C15" s="731" t="s">
        <v>31</v>
      </c>
      <c r="D15" s="118">
        <v>2</v>
      </c>
      <c r="E15" s="117">
        <v>2</v>
      </c>
      <c r="F15" s="118">
        <v>0</v>
      </c>
      <c r="G15" s="118">
        <v>0</v>
      </c>
      <c r="H15" s="118">
        <v>61</v>
      </c>
      <c r="I15" s="118">
        <v>25</v>
      </c>
      <c r="J15" s="117">
        <f>SUM(H15-I15)</f>
        <v>36</v>
      </c>
      <c r="K15" s="118">
        <v>2</v>
      </c>
      <c r="L15" s="118">
        <v>0</v>
      </c>
      <c r="M15" s="118">
        <v>8</v>
      </c>
      <c r="N15" s="118">
        <v>3</v>
      </c>
      <c r="O15" s="117">
        <f>SUM(E15*4)+(F15*2)+K15+L15</f>
        <v>10</v>
      </c>
      <c r="Q15" s="256" t="s">
        <v>566</v>
      </c>
      <c r="R15" s="635">
        <v>1</v>
      </c>
      <c r="S15" s="636">
        <v>1</v>
      </c>
      <c r="T15" s="638">
        <v>2</v>
      </c>
      <c r="U15" s="637">
        <v>1</v>
      </c>
      <c r="V15" s="639">
        <f t="shared" si="12"/>
        <v>5</v>
      </c>
      <c r="W15" s="640"/>
      <c r="X15" s="641"/>
      <c r="Y15" s="642">
        <v>2</v>
      </c>
      <c r="Z15" s="643">
        <v>4</v>
      </c>
      <c r="AA15" s="644">
        <f t="shared" si="13"/>
        <v>6</v>
      </c>
      <c r="AB15" s="311">
        <f t="shared" si="14"/>
        <v>11</v>
      </c>
      <c r="AD15" s="592" t="s">
        <v>564</v>
      </c>
      <c r="AE15" s="635"/>
      <c r="AF15" s="636"/>
      <c r="AG15" s="638"/>
      <c r="AH15" s="637"/>
      <c r="AI15" s="639">
        <f t="shared" si="15"/>
        <v>0</v>
      </c>
      <c r="AJ15" s="640"/>
      <c r="AK15" s="641"/>
      <c r="AL15" s="642"/>
      <c r="AM15" s="642"/>
      <c r="AN15" s="643"/>
      <c r="AO15" s="644">
        <f t="shared" si="16"/>
        <v>0</v>
      </c>
      <c r="AP15" s="239">
        <f t="shared" si="17"/>
        <v>0</v>
      </c>
    </row>
    <row r="16" spans="1:42" ht="14.95" customHeight="1" thickBot="1" x14ac:dyDescent="0.3">
      <c r="A16" s="252" t="s">
        <v>633</v>
      </c>
      <c r="B16" s="521" t="s">
        <v>51</v>
      </c>
      <c r="C16" s="122" t="s">
        <v>91</v>
      </c>
      <c r="D16" s="118">
        <v>2</v>
      </c>
      <c r="E16" s="117">
        <v>1</v>
      </c>
      <c r="F16" s="118">
        <v>0</v>
      </c>
      <c r="G16" s="118">
        <v>1</v>
      </c>
      <c r="H16" s="118">
        <v>40</v>
      </c>
      <c r="I16" s="118">
        <v>48</v>
      </c>
      <c r="J16" s="117">
        <f>SUM(H16-I16)</f>
        <v>-8</v>
      </c>
      <c r="K16" s="118">
        <v>0</v>
      </c>
      <c r="L16" s="118">
        <v>0</v>
      </c>
      <c r="M16" s="118">
        <v>4</v>
      </c>
      <c r="N16" s="118">
        <v>6</v>
      </c>
      <c r="O16" s="117">
        <f>SUM(E16*4)+(F16*2)+K16+L16</f>
        <v>4</v>
      </c>
      <c r="Q16" s="8" t="s">
        <v>567</v>
      </c>
      <c r="R16" s="635">
        <v>1</v>
      </c>
      <c r="S16" s="636">
        <v>2</v>
      </c>
      <c r="T16" s="637">
        <v>1</v>
      </c>
      <c r="U16" s="638">
        <v>2</v>
      </c>
      <c r="V16" s="639">
        <f t="shared" ref="V16:V17" si="18">SUM(R16:U16)</f>
        <v>6</v>
      </c>
      <c r="W16" s="640">
        <v>2</v>
      </c>
      <c r="X16" s="641">
        <v>1</v>
      </c>
      <c r="Y16" s="642">
        <v>4</v>
      </c>
      <c r="Z16" s="643">
        <v>4</v>
      </c>
      <c r="AA16" s="644">
        <f t="shared" si="13"/>
        <v>11</v>
      </c>
      <c r="AB16" s="311">
        <f t="shared" si="14"/>
        <v>17</v>
      </c>
      <c r="AD16" s="604" t="s">
        <v>565</v>
      </c>
      <c r="AE16" s="635"/>
      <c r="AF16" s="636"/>
      <c r="AG16" s="638"/>
      <c r="AH16" s="637"/>
      <c r="AI16" s="639">
        <f t="shared" si="15"/>
        <v>0</v>
      </c>
      <c r="AJ16" s="640"/>
      <c r="AK16" s="641"/>
      <c r="AL16" s="642"/>
      <c r="AM16" s="642"/>
      <c r="AN16" s="643"/>
      <c r="AO16" s="644">
        <f t="shared" si="16"/>
        <v>0</v>
      </c>
      <c r="AP16" s="239">
        <f t="shared" si="17"/>
        <v>0</v>
      </c>
    </row>
    <row r="17" spans="1:42" ht="14.95" customHeight="1" thickBot="1" x14ac:dyDescent="0.3">
      <c r="A17" s="252">
        <v>3</v>
      </c>
      <c r="B17" s="521" t="s">
        <v>51</v>
      </c>
      <c r="C17" s="511" t="s">
        <v>92</v>
      </c>
      <c r="D17" s="115">
        <v>2</v>
      </c>
      <c r="E17" s="116">
        <v>0</v>
      </c>
      <c r="F17" s="115">
        <v>0</v>
      </c>
      <c r="G17" s="115">
        <v>2</v>
      </c>
      <c r="H17" s="115">
        <v>31</v>
      </c>
      <c r="I17" s="115">
        <v>59</v>
      </c>
      <c r="J17" s="117">
        <f>SUM(H17-I17)</f>
        <v>-28</v>
      </c>
      <c r="K17" s="118">
        <v>0</v>
      </c>
      <c r="L17" s="118">
        <v>0</v>
      </c>
      <c r="M17" s="115">
        <v>4</v>
      </c>
      <c r="N17" s="115">
        <v>7</v>
      </c>
      <c r="O17" s="117">
        <f>SUM(E17*4)+(F17*2)+K17+L17</f>
        <v>0</v>
      </c>
      <c r="Q17" s="736" t="s">
        <v>60</v>
      </c>
      <c r="R17" s="635">
        <v>1</v>
      </c>
      <c r="S17" s="636">
        <v>1</v>
      </c>
      <c r="T17" s="637">
        <v>3</v>
      </c>
      <c r="U17" s="638">
        <v>2</v>
      </c>
      <c r="V17" s="639">
        <f t="shared" si="18"/>
        <v>7</v>
      </c>
      <c r="W17" s="640">
        <v>1</v>
      </c>
      <c r="X17" s="641">
        <v>1</v>
      </c>
      <c r="Y17" s="642">
        <v>4</v>
      </c>
      <c r="Z17" s="643"/>
      <c r="AA17" s="644">
        <f t="shared" si="13"/>
        <v>6</v>
      </c>
      <c r="AB17" s="311">
        <f t="shared" si="14"/>
        <v>13</v>
      </c>
      <c r="AD17" s="256" t="s">
        <v>566</v>
      </c>
      <c r="AE17" s="635"/>
      <c r="AF17" s="636"/>
      <c r="AG17" s="638"/>
      <c r="AH17" s="637"/>
      <c r="AI17" s="639">
        <f t="shared" si="15"/>
        <v>0</v>
      </c>
      <c r="AJ17" s="640"/>
      <c r="AK17" s="641"/>
      <c r="AL17" s="642"/>
      <c r="AM17" s="642">
        <v>1</v>
      </c>
      <c r="AN17" s="643"/>
      <c r="AO17" s="644">
        <f t="shared" si="16"/>
        <v>1</v>
      </c>
      <c r="AP17" s="239">
        <f t="shared" si="17"/>
        <v>1</v>
      </c>
    </row>
    <row r="18" spans="1:42" ht="14.95" customHeight="1" thickBot="1" x14ac:dyDescent="0.3">
      <c r="A18" s="779"/>
      <c r="B18" s="120"/>
      <c r="C18" s="125"/>
      <c r="D18" s="121"/>
      <c r="E18" s="121"/>
      <c r="F18" s="121"/>
      <c r="G18" s="121"/>
      <c r="H18" s="121">
        <f>SUM(H15:H17)</f>
        <v>132</v>
      </c>
      <c r="I18" s="121">
        <f>SUM(I15:I17)</f>
        <v>132</v>
      </c>
      <c r="J18" s="121"/>
      <c r="K18" s="121"/>
      <c r="L18" s="121"/>
      <c r="M18" s="121">
        <f>SUM(M15:M17)</f>
        <v>16</v>
      </c>
      <c r="N18" s="121">
        <f>SUM(N15:N17)</f>
        <v>16</v>
      </c>
      <c r="O18" s="121">
        <f>SUM(O15:O17)</f>
        <v>14</v>
      </c>
      <c r="Q18" s="650" t="s">
        <v>261</v>
      </c>
      <c r="AB18" s="239">
        <f>SUM(AB12:AB17)</f>
        <v>85</v>
      </c>
      <c r="AD18" s="8" t="s">
        <v>567</v>
      </c>
      <c r="AE18" s="635"/>
      <c r="AF18" s="636"/>
      <c r="AG18" s="638"/>
      <c r="AH18" s="637"/>
      <c r="AI18" s="639">
        <f t="shared" ref="AI18:AI19" si="19">SUM(AD18:AH18)</f>
        <v>0</v>
      </c>
      <c r="AJ18" s="640"/>
      <c r="AK18" s="641"/>
      <c r="AL18" s="642">
        <v>1</v>
      </c>
      <c r="AM18" s="642"/>
      <c r="AN18" s="643"/>
      <c r="AO18" s="644">
        <f t="shared" si="16"/>
        <v>1</v>
      </c>
      <c r="AP18" s="239">
        <f t="shared" ref="AP18:AP19" si="20">SUM(AI18:AM18)-AN18</f>
        <v>1</v>
      </c>
    </row>
    <row r="19" spans="1:42" ht="14.95" customHeight="1" thickBot="1" x14ac:dyDescent="0.3">
      <c r="A19" s="780" t="s">
        <v>562</v>
      </c>
      <c r="B19" s="155" t="s">
        <v>48</v>
      </c>
      <c r="C19" s="113"/>
      <c r="D19" s="113" t="s">
        <v>0</v>
      </c>
      <c r="E19" s="114" t="s">
        <v>1</v>
      </c>
      <c r="F19" s="113" t="s">
        <v>2</v>
      </c>
      <c r="G19" s="113" t="s">
        <v>3</v>
      </c>
      <c r="H19" s="113" t="s">
        <v>4</v>
      </c>
      <c r="I19" s="113" t="s">
        <v>5</v>
      </c>
      <c r="J19" s="114" t="s">
        <v>49</v>
      </c>
      <c r="K19" s="113" t="s">
        <v>21</v>
      </c>
      <c r="L19" s="113" t="s">
        <v>22</v>
      </c>
      <c r="M19" s="113" t="s">
        <v>52</v>
      </c>
      <c r="N19" s="113" t="s">
        <v>53</v>
      </c>
      <c r="O19" s="114" t="s">
        <v>50</v>
      </c>
      <c r="Q19" s="756" t="s">
        <v>308</v>
      </c>
      <c r="R19" s="754"/>
      <c r="S19" s="754"/>
      <c r="T19" s="754"/>
      <c r="U19" s="754"/>
      <c r="V19" s="754"/>
      <c r="W19" s="754"/>
      <c r="X19" s="754"/>
      <c r="Y19" s="753"/>
      <c r="Z19" s="754"/>
      <c r="AA19" s="754"/>
      <c r="AB19" s="14"/>
      <c r="AD19" s="736" t="s">
        <v>60</v>
      </c>
      <c r="AE19" s="635"/>
      <c r="AF19" s="636"/>
      <c r="AG19" s="638"/>
      <c r="AH19" s="637">
        <v>1</v>
      </c>
      <c r="AI19" s="639">
        <f t="shared" si="19"/>
        <v>1</v>
      </c>
      <c r="AJ19" s="640"/>
      <c r="AK19" s="641">
        <v>1</v>
      </c>
      <c r="AL19" s="642"/>
      <c r="AM19" s="642"/>
      <c r="AN19" s="643"/>
      <c r="AO19" s="644">
        <f t="shared" si="16"/>
        <v>1</v>
      </c>
      <c r="AP19" s="239">
        <f t="shared" si="20"/>
        <v>2</v>
      </c>
    </row>
    <row r="20" spans="1:42" ht="14.95" customHeight="1" thickBot="1" x14ac:dyDescent="0.3">
      <c r="A20" s="252" t="s">
        <v>633</v>
      </c>
      <c r="B20" s="521" t="s">
        <v>51</v>
      </c>
      <c r="C20" s="732" t="s">
        <v>36</v>
      </c>
      <c r="D20" s="118">
        <v>2</v>
      </c>
      <c r="E20" s="117">
        <v>2</v>
      </c>
      <c r="F20" s="118">
        <v>0</v>
      </c>
      <c r="G20" s="118">
        <v>0</v>
      </c>
      <c r="H20" s="118">
        <v>104</v>
      </c>
      <c r="I20" s="118">
        <v>36</v>
      </c>
      <c r="J20" s="117">
        <f>SUM(H20-I20)</f>
        <v>68</v>
      </c>
      <c r="K20" s="118">
        <v>2</v>
      </c>
      <c r="L20" s="118">
        <v>0</v>
      </c>
      <c r="M20" s="118">
        <v>15</v>
      </c>
      <c r="N20" s="118">
        <v>5</v>
      </c>
      <c r="O20" s="117">
        <f>SUM(E20*4)+(F20*2)+K20+L20</f>
        <v>10</v>
      </c>
      <c r="Q20" s="727"/>
      <c r="R20" s="651" t="s">
        <v>297</v>
      </c>
      <c r="S20" s="651" t="s">
        <v>298</v>
      </c>
      <c r="T20" s="652" t="s">
        <v>299</v>
      </c>
      <c r="U20" s="652" t="s">
        <v>300</v>
      </c>
      <c r="V20" s="347" t="s">
        <v>309</v>
      </c>
      <c r="W20" s="653"/>
      <c r="X20" s="405"/>
      <c r="AD20" s="650" t="s">
        <v>261</v>
      </c>
      <c r="AN20">
        <f>SUM(AN14:AN19)</f>
        <v>0</v>
      </c>
      <c r="AP20" s="239">
        <f>SUM(AP14:AP19)</f>
        <v>5</v>
      </c>
    </row>
    <row r="21" spans="1:42" ht="14.95" customHeight="1" thickBot="1" x14ac:dyDescent="0.3">
      <c r="A21" s="252" t="s">
        <v>633</v>
      </c>
      <c r="B21" s="521" t="s">
        <v>51</v>
      </c>
      <c r="C21" s="122" t="s">
        <v>40</v>
      </c>
      <c r="D21" s="118">
        <v>2</v>
      </c>
      <c r="E21" s="117">
        <v>1</v>
      </c>
      <c r="F21" s="118">
        <v>0</v>
      </c>
      <c r="G21" s="118">
        <v>1</v>
      </c>
      <c r="H21" s="118">
        <v>49</v>
      </c>
      <c r="I21" s="118">
        <v>77</v>
      </c>
      <c r="J21" s="117">
        <f>SUM(H21-I21)</f>
        <v>-28</v>
      </c>
      <c r="K21" s="118">
        <v>1</v>
      </c>
      <c r="L21" s="118">
        <v>0</v>
      </c>
      <c r="M21" s="118">
        <v>7</v>
      </c>
      <c r="N21" s="118">
        <v>10</v>
      </c>
      <c r="O21" s="117">
        <f>SUM(E21*4)+(F21*2)+K21+L21</f>
        <v>5</v>
      </c>
      <c r="Q21" s="8" t="s">
        <v>563</v>
      </c>
      <c r="R21" s="635"/>
      <c r="S21" s="636"/>
      <c r="T21" s="638"/>
      <c r="U21" s="637"/>
      <c r="V21" s="654">
        <f>SUM(R21:U21)</f>
        <v>0</v>
      </c>
      <c r="W21" s="120"/>
      <c r="X21" s="655"/>
      <c r="AD21" s="756" t="s">
        <v>310</v>
      </c>
      <c r="AE21" s="757"/>
      <c r="AF21" s="757"/>
      <c r="AG21" s="757"/>
      <c r="AH21" s="757"/>
      <c r="AI21" s="757"/>
      <c r="AJ21" s="756" t="s">
        <v>311</v>
      </c>
      <c r="AK21" s="757"/>
      <c r="AL21" s="757"/>
      <c r="AM21" s="757"/>
      <c r="AN21" s="757"/>
      <c r="AO21" s="757"/>
    </row>
    <row r="22" spans="1:42" ht="14.95" customHeight="1" thickBot="1" x14ac:dyDescent="0.3">
      <c r="A22" s="252">
        <v>3</v>
      </c>
      <c r="B22" s="521" t="s">
        <v>51</v>
      </c>
      <c r="C22" s="747" t="s">
        <v>60</v>
      </c>
      <c r="D22" s="115">
        <v>2</v>
      </c>
      <c r="E22" s="116">
        <v>0</v>
      </c>
      <c r="F22" s="115">
        <v>0</v>
      </c>
      <c r="G22" s="115">
        <v>2</v>
      </c>
      <c r="H22" s="115">
        <v>41</v>
      </c>
      <c r="I22" s="115">
        <v>81</v>
      </c>
      <c r="J22" s="117">
        <f>SUM(H22-I22)</f>
        <v>-40</v>
      </c>
      <c r="K22" s="118">
        <v>0</v>
      </c>
      <c r="L22" s="118">
        <v>0</v>
      </c>
      <c r="M22" s="115">
        <v>5</v>
      </c>
      <c r="N22" s="115">
        <v>12</v>
      </c>
      <c r="O22" s="117">
        <f>SUM(E22*4)+(F22*2)+K22+L22</f>
        <v>0</v>
      </c>
      <c r="Q22" s="592" t="s">
        <v>564</v>
      </c>
      <c r="R22" s="635"/>
      <c r="S22" s="636"/>
      <c r="T22" s="638"/>
      <c r="U22" s="637"/>
      <c r="V22" s="654">
        <f t="shared" ref="V22:V24" si="21">SUM(R22:U22)</f>
        <v>0</v>
      </c>
      <c r="W22" s="120"/>
      <c r="X22" s="655"/>
      <c r="AD22" s="8" t="s">
        <v>563</v>
      </c>
      <c r="AE22" s="656"/>
      <c r="AJ22" s="704">
        <v>33</v>
      </c>
      <c r="AK22" s="703" t="s">
        <v>565</v>
      </c>
      <c r="AL22" s="313" t="s">
        <v>60</v>
      </c>
      <c r="AM22" s="313" t="s">
        <v>253</v>
      </c>
      <c r="AN22" s="313"/>
      <c r="AO22" s="313"/>
    </row>
    <row r="23" spans="1:42" ht="14.95" customHeight="1" thickBot="1" x14ac:dyDescent="0.3">
      <c r="A23" s="119"/>
      <c r="B23" s="120"/>
      <c r="C23" s="125"/>
      <c r="D23" s="121"/>
      <c r="E23" s="121"/>
      <c r="F23" s="121"/>
      <c r="G23" s="121"/>
      <c r="H23" s="121">
        <f>SUM(H20:H22)</f>
        <v>194</v>
      </c>
      <c r="I23" s="121">
        <f>SUM(I20:I22)</f>
        <v>194</v>
      </c>
      <c r="J23" s="121"/>
      <c r="K23" s="121"/>
      <c r="L23" s="121"/>
      <c r="M23" s="121">
        <f>SUM(M20:M22)</f>
        <v>27</v>
      </c>
      <c r="N23" s="121">
        <f>SUM(N20:N22)</f>
        <v>27</v>
      </c>
      <c r="O23" s="121">
        <f>SUM(O20:O22)</f>
        <v>15</v>
      </c>
      <c r="Q23" s="604" t="s">
        <v>565</v>
      </c>
      <c r="R23" s="635"/>
      <c r="S23" s="636"/>
      <c r="T23" s="638"/>
      <c r="U23" s="637"/>
      <c r="V23" s="654">
        <f t="shared" si="21"/>
        <v>0</v>
      </c>
      <c r="W23" s="120"/>
      <c r="X23" s="655"/>
      <c r="AD23" s="592" t="s">
        <v>564</v>
      </c>
      <c r="AE23" s="657"/>
      <c r="AJ23" s="671"/>
      <c r="AK23" s="658"/>
      <c r="AL23" s="659"/>
      <c r="AM23" s="659"/>
      <c r="AN23" s="660"/>
      <c r="AO23" s="660"/>
    </row>
    <row r="24" spans="1:42" ht="14.95" customHeight="1" thickBot="1" x14ac:dyDescent="0.3">
      <c r="A24" t="s">
        <v>191</v>
      </c>
      <c r="Q24" s="256" t="s">
        <v>566</v>
      </c>
      <c r="R24" s="635"/>
      <c r="S24" s="636">
        <v>1</v>
      </c>
      <c r="T24" s="638">
        <v>1</v>
      </c>
      <c r="U24" s="637"/>
      <c r="V24" s="654">
        <f t="shared" si="21"/>
        <v>2</v>
      </c>
      <c r="W24" s="120"/>
      <c r="X24" s="655"/>
      <c r="AD24" s="604" t="s">
        <v>565</v>
      </c>
      <c r="AE24" s="657"/>
      <c r="AJ24" s="670">
        <v>57</v>
      </c>
      <c r="AK24" s="204" t="s">
        <v>563</v>
      </c>
      <c r="AL24" s="14" t="s">
        <v>60</v>
      </c>
      <c r="AM24" s="14" t="s">
        <v>243</v>
      </c>
      <c r="AN24" s="14"/>
      <c r="AO24" s="14"/>
    </row>
    <row r="25" spans="1:42" ht="14.95" customHeight="1" thickBot="1" x14ac:dyDescent="0.3">
      <c r="A25" s="138" t="s">
        <v>141</v>
      </c>
      <c r="Q25" s="8" t="s">
        <v>567</v>
      </c>
      <c r="R25" s="635"/>
      <c r="S25" s="636"/>
      <c r="T25" s="638"/>
      <c r="U25" s="637"/>
      <c r="V25" s="654">
        <f t="shared" ref="V25:V26" si="22">SUM(R25:U25)</f>
        <v>0</v>
      </c>
      <c r="W25" s="120"/>
      <c r="X25" s="655"/>
      <c r="AD25" s="256" t="s">
        <v>566</v>
      </c>
      <c r="AE25" s="657">
        <v>1</v>
      </c>
      <c r="AJ25" s="670">
        <v>59</v>
      </c>
      <c r="AK25" s="204" t="s">
        <v>565</v>
      </c>
      <c r="AL25" s="14" t="s">
        <v>620</v>
      </c>
      <c r="AM25" s="14" t="s">
        <v>249</v>
      </c>
      <c r="AN25" s="14"/>
      <c r="AO25" s="14"/>
    </row>
    <row r="26" spans="1:42" ht="14.95" customHeight="1" thickBot="1" x14ac:dyDescent="0.3">
      <c r="A26" t="s">
        <v>631</v>
      </c>
      <c r="Q26" s="736" t="s">
        <v>60</v>
      </c>
      <c r="R26" s="635">
        <v>1</v>
      </c>
      <c r="S26" s="636"/>
      <c r="T26" s="638"/>
      <c r="U26" s="637"/>
      <c r="V26" s="654">
        <f t="shared" si="22"/>
        <v>1</v>
      </c>
      <c r="W26" s="120"/>
      <c r="X26" s="655"/>
      <c r="AD26" s="8" t="s">
        <v>567</v>
      </c>
      <c r="AE26" s="657"/>
      <c r="AJ26" s="670">
        <v>68</v>
      </c>
      <c r="AK26" s="204" t="s">
        <v>564</v>
      </c>
      <c r="AL26" s="14" t="s">
        <v>616</v>
      </c>
      <c r="AM26" s="14" t="s">
        <v>249</v>
      </c>
      <c r="AN26" s="14"/>
      <c r="AO26" s="14"/>
    </row>
    <row r="27" spans="1:42" ht="14.95" customHeight="1" thickBot="1" x14ac:dyDescent="0.35">
      <c r="A27" s="792" t="s">
        <v>28</v>
      </c>
      <c r="Q27" s="650" t="s">
        <v>261</v>
      </c>
      <c r="AD27" s="736" t="s">
        <v>60</v>
      </c>
      <c r="AE27" s="657"/>
      <c r="AJ27" s="670">
        <v>80</v>
      </c>
      <c r="AK27" s="204" t="s">
        <v>564</v>
      </c>
      <c r="AL27" s="14" t="s">
        <v>625</v>
      </c>
      <c r="AM27" s="14" t="s">
        <v>253</v>
      </c>
      <c r="AN27" s="14"/>
      <c r="AO27" s="14"/>
    </row>
    <row r="28" spans="1:42" ht="14.95" customHeight="1" thickBot="1" x14ac:dyDescent="0.3">
      <c r="Q28" s="756" t="s">
        <v>650</v>
      </c>
      <c r="R28" s="754"/>
      <c r="S28" s="754"/>
      <c r="T28" s="754"/>
      <c r="U28" s="754"/>
      <c r="V28" s="754"/>
      <c r="W28" s="754"/>
      <c r="AD28" s="650" t="s">
        <v>261</v>
      </c>
      <c r="AJ28" s="650" t="s">
        <v>261</v>
      </c>
    </row>
    <row r="29" spans="1:42" ht="14.95" customHeight="1" thickBot="1" x14ac:dyDescent="0.3">
      <c r="Q29" s="752"/>
      <c r="R29" s="1053" t="s">
        <v>61</v>
      </c>
      <c r="S29" s="1054"/>
      <c r="T29" s="1037"/>
      <c r="U29" s="1055" t="s">
        <v>62</v>
      </c>
      <c r="V29" s="1054"/>
      <c r="W29" s="1037"/>
      <c r="X29" s="1056" t="s">
        <v>57</v>
      </c>
      <c r="Y29" s="1057"/>
      <c r="Z29" s="1058"/>
      <c r="AD29" s="756" t="s">
        <v>313</v>
      </c>
      <c r="AE29" s="757"/>
      <c r="AF29" s="757"/>
      <c r="AG29" s="757"/>
      <c r="AH29" s="757"/>
    </row>
    <row r="30" spans="1:42" ht="14.95" customHeight="1" thickBot="1" x14ac:dyDescent="0.3">
      <c r="Q30" s="728"/>
      <c r="R30" s="661" t="s">
        <v>314</v>
      </c>
      <c r="S30" s="661" t="s">
        <v>50</v>
      </c>
      <c r="T30" s="661" t="s">
        <v>315</v>
      </c>
      <c r="U30" s="662" t="s">
        <v>314</v>
      </c>
      <c r="V30" s="662" t="s">
        <v>50</v>
      </c>
      <c r="W30" s="662" t="s">
        <v>315</v>
      </c>
      <c r="X30" s="663" t="s">
        <v>314</v>
      </c>
      <c r="Y30" s="663" t="s">
        <v>50</v>
      </c>
      <c r="Z30" s="383" t="s">
        <v>315</v>
      </c>
      <c r="AD30" s="204" t="s">
        <v>614</v>
      </c>
      <c r="AE30" s="14" t="s">
        <v>615</v>
      </c>
      <c r="AF30" s="14"/>
      <c r="AG30" s="14"/>
      <c r="AH30" s="14"/>
      <c r="AI30" s="14"/>
    </row>
    <row r="31" spans="1:42" ht="14.95" customHeight="1" thickBot="1" x14ac:dyDescent="0.3">
      <c r="Q31" s="8" t="s">
        <v>563</v>
      </c>
      <c r="R31" s="635">
        <v>5</v>
      </c>
      <c r="S31" s="636">
        <v>34</v>
      </c>
      <c r="T31" s="636">
        <v>5</v>
      </c>
      <c r="U31" s="638">
        <v>2</v>
      </c>
      <c r="V31" s="637">
        <v>15</v>
      </c>
      <c r="W31" s="637">
        <v>0</v>
      </c>
      <c r="X31" s="664">
        <f t="shared" ref="X31:Z34" si="23">SUM(R31+U31)</f>
        <v>7</v>
      </c>
      <c r="Y31" s="639">
        <f t="shared" si="23"/>
        <v>49</v>
      </c>
      <c r="Z31" s="665">
        <f t="shared" si="23"/>
        <v>5</v>
      </c>
      <c r="AD31" s="204" t="s">
        <v>572</v>
      </c>
      <c r="AE31" s="14" t="s">
        <v>573</v>
      </c>
      <c r="AF31" s="14"/>
      <c r="AG31" s="14"/>
      <c r="AH31" s="14"/>
      <c r="AI31" s="14"/>
    </row>
    <row r="32" spans="1:42" ht="14.95" customHeight="1" thickBot="1" x14ac:dyDescent="0.3">
      <c r="Q32" s="592" t="s">
        <v>564</v>
      </c>
      <c r="R32" s="635">
        <v>4</v>
      </c>
      <c r="S32" s="636">
        <v>32</v>
      </c>
      <c r="T32" s="636">
        <v>5</v>
      </c>
      <c r="U32" s="638">
        <v>4</v>
      </c>
      <c r="V32" s="637">
        <v>29</v>
      </c>
      <c r="W32" s="637">
        <v>5</v>
      </c>
      <c r="X32" s="664">
        <f t="shared" si="23"/>
        <v>8</v>
      </c>
      <c r="Y32" s="639">
        <f t="shared" si="23"/>
        <v>61</v>
      </c>
      <c r="Z32" s="666">
        <f t="shared" si="23"/>
        <v>10</v>
      </c>
      <c r="AD32" s="204" t="s">
        <v>572</v>
      </c>
      <c r="AE32" s="14" t="s">
        <v>619</v>
      </c>
      <c r="AF32" s="14"/>
      <c r="AG32" s="14"/>
      <c r="AH32" s="14"/>
      <c r="AI32" s="14"/>
    </row>
    <row r="33" spans="17:32" ht="14.95" customHeight="1" thickBot="1" x14ac:dyDescent="0.3">
      <c r="Q33" s="604" t="s">
        <v>565</v>
      </c>
      <c r="R33" s="635">
        <v>8</v>
      </c>
      <c r="S33" s="636">
        <v>57</v>
      </c>
      <c r="T33" s="636">
        <v>5</v>
      </c>
      <c r="U33" s="638">
        <v>7</v>
      </c>
      <c r="V33" s="637">
        <v>47</v>
      </c>
      <c r="W33" s="637">
        <v>5</v>
      </c>
      <c r="X33" s="664">
        <f t="shared" si="23"/>
        <v>15</v>
      </c>
      <c r="Y33" s="639">
        <f t="shared" si="23"/>
        <v>104</v>
      </c>
      <c r="Z33" s="666">
        <f t="shared" si="23"/>
        <v>10</v>
      </c>
      <c r="AD33" s="138" t="s">
        <v>623</v>
      </c>
      <c r="AE33" s="14" t="s">
        <v>624</v>
      </c>
    </row>
    <row r="34" spans="17:32" ht="14.95" customHeight="1" thickBot="1" x14ac:dyDescent="0.3">
      <c r="Q34" s="256" t="s">
        <v>622</v>
      </c>
      <c r="R34" s="635">
        <v>2</v>
      </c>
      <c r="S34" s="636">
        <v>15</v>
      </c>
      <c r="T34" s="636">
        <v>0</v>
      </c>
      <c r="U34" s="638">
        <v>2</v>
      </c>
      <c r="V34" s="637">
        <v>16</v>
      </c>
      <c r="W34" s="637">
        <v>0</v>
      </c>
      <c r="X34" s="664">
        <f t="shared" si="23"/>
        <v>4</v>
      </c>
      <c r="Y34" s="639">
        <f t="shared" si="23"/>
        <v>31</v>
      </c>
      <c r="Z34" s="666">
        <f t="shared" si="23"/>
        <v>0</v>
      </c>
      <c r="AD34" s="138" t="s">
        <v>623</v>
      </c>
      <c r="AE34" s="14" t="s">
        <v>665</v>
      </c>
    </row>
    <row r="35" spans="17:32" ht="14.95" customHeight="1" thickBot="1" x14ac:dyDescent="0.3">
      <c r="Q35" s="8" t="s">
        <v>567</v>
      </c>
      <c r="R35" s="635">
        <v>3</v>
      </c>
      <c r="S35" s="636">
        <v>30</v>
      </c>
      <c r="T35" s="636">
        <v>4</v>
      </c>
      <c r="U35" s="638">
        <v>1</v>
      </c>
      <c r="V35" s="637">
        <v>10</v>
      </c>
      <c r="W35" s="637">
        <v>0</v>
      </c>
      <c r="X35" s="664">
        <f t="shared" ref="X35:X36" si="24">SUM(R35+U35)</f>
        <v>4</v>
      </c>
      <c r="Y35" s="639">
        <f t="shared" ref="Y35:Y36" si="25">SUM(S35+V35)</f>
        <v>40</v>
      </c>
      <c r="Z35" s="666">
        <f t="shared" ref="Z35:Z36" si="26">SUM(T35+W35)</f>
        <v>4</v>
      </c>
      <c r="AD35" s="138" t="s">
        <v>637</v>
      </c>
      <c r="AE35" s="14" t="s">
        <v>681</v>
      </c>
    </row>
    <row r="36" spans="17:32" ht="14.95" customHeight="1" thickBot="1" x14ac:dyDescent="0.3">
      <c r="Q36" s="736" t="s">
        <v>60</v>
      </c>
      <c r="R36" s="635">
        <v>3</v>
      </c>
      <c r="S36" s="636">
        <v>21</v>
      </c>
      <c r="T36" s="636">
        <v>0</v>
      </c>
      <c r="U36" s="638">
        <v>2</v>
      </c>
      <c r="V36" s="637">
        <v>20</v>
      </c>
      <c r="W36" s="637">
        <v>0</v>
      </c>
      <c r="X36" s="664">
        <f t="shared" si="24"/>
        <v>5</v>
      </c>
      <c r="Y36" s="639">
        <f t="shared" si="25"/>
        <v>41</v>
      </c>
      <c r="Z36" s="666">
        <f t="shared" si="26"/>
        <v>0</v>
      </c>
      <c r="AD36" s="650" t="s">
        <v>261</v>
      </c>
    </row>
    <row r="37" spans="17:32" ht="14.95" customHeight="1" x14ac:dyDescent="0.25">
      <c r="Q37" s="650" t="s">
        <v>58</v>
      </c>
      <c r="R37">
        <f>SUM(R31:R36)</f>
        <v>25</v>
      </c>
      <c r="S37">
        <f t="shared" ref="S37:Z37" si="27">SUM(S31:S36)</f>
        <v>189</v>
      </c>
      <c r="T37">
        <f t="shared" si="27"/>
        <v>19</v>
      </c>
      <c r="U37">
        <f t="shared" si="27"/>
        <v>18</v>
      </c>
      <c r="V37">
        <f t="shared" si="27"/>
        <v>137</v>
      </c>
      <c r="W37">
        <f t="shared" si="27"/>
        <v>10</v>
      </c>
      <c r="X37" s="138">
        <f t="shared" si="27"/>
        <v>43</v>
      </c>
      <c r="Y37" s="138">
        <f t="shared" si="27"/>
        <v>326</v>
      </c>
      <c r="Z37" s="138">
        <f t="shared" si="27"/>
        <v>29</v>
      </c>
    </row>
    <row r="38" spans="17:32" ht="14.95" customHeight="1" x14ac:dyDescent="0.25">
      <c r="Q38" s="221" t="s">
        <v>320</v>
      </c>
      <c r="AF38" s="650" t="s">
        <v>58</v>
      </c>
    </row>
    <row r="39" spans="17:32" ht="14.95" customHeight="1" x14ac:dyDescent="0.25">
      <c r="Q39" s="1358" t="s">
        <v>632</v>
      </c>
      <c r="R39" s="1109"/>
      <c r="S39" s="1109"/>
      <c r="T39" s="1109"/>
      <c r="U39" s="1109"/>
      <c r="V39" s="1109"/>
      <c r="W39" s="1109"/>
      <c r="X39" s="1109"/>
      <c r="Y39" s="1109"/>
      <c r="Z39" s="1109"/>
    </row>
    <row r="40" spans="17:32" ht="14.95" customHeight="1" x14ac:dyDescent="0.25">
      <c r="Q40" s="1046" t="s">
        <v>261</v>
      </c>
      <c r="R40" s="1047"/>
      <c r="S40" s="1047"/>
      <c r="T40" s="1047"/>
      <c r="U40" s="1047"/>
      <c r="V40" s="1047"/>
      <c r="W40" s="1047"/>
      <c r="X40" s="1047"/>
      <c r="Y40" s="1047"/>
      <c r="Z40" s="1047"/>
    </row>
  </sheetData>
  <mergeCells count="17">
    <mergeCell ref="AM2:AN2"/>
    <mergeCell ref="AM12:AN12"/>
    <mergeCell ref="R29:T29"/>
    <mergeCell ref="U29:W29"/>
    <mergeCell ref="X29:Z29"/>
    <mergeCell ref="Q40:Z40"/>
    <mergeCell ref="F13:H13"/>
    <mergeCell ref="F2:H2"/>
    <mergeCell ref="F4:H4"/>
    <mergeCell ref="F5:H5"/>
    <mergeCell ref="F6:H6"/>
    <mergeCell ref="F7:H7"/>
    <mergeCell ref="F9:H9"/>
    <mergeCell ref="F10:H10"/>
    <mergeCell ref="F11:H11"/>
    <mergeCell ref="F12:H12"/>
    <mergeCell ref="Q39:Z39"/>
  </mergeCells>
  <pageMargins left="0.7" right="0.7" top="0.75" bottom="0.75" header="0.3" footer="0.3"/>
  <ignoredErrors>
    <ignoredError sqref="AF2 AF12 S2 S11" twoDigitTextYea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1"/>
  <sheetViews>
    <sheetView topLeftCell="A5" workbookViewId="0">
      <selection activeCell="C18" sqref="C18"/>
    </sheetView>
  </sheetViews>
  <sheetFormatPr defaultRowHeight="14.3" x14ac:dyDescent="0.25"/>
  <cols>
    <col min="1" max="1" width="8.875" bestFit="1" customWidth="1"/>
    <col min="2" max="2" width="5.625" customWidth="1"/>
    <col min="3" max="3" width="28.875" bestFit="1" customWidth="1"/>
    <col min="4" max="4" width="5.625" customWidth="1"/>
    <col min="5" max="5" width="10.375" bestFit="1" customWidth="1"/>
    <col min="6" max="6" width="5.625" customWidth="1"/>
    <col min="7" max="7" width="2.625" customWidth="1"/>
  </cols>
  <sheetData>
    <row r="1" spans="1:18" ht="14.95" thickBot="1" x14ac:dyDescent="0.3"/>
    <row r="2" spans="1:18" ht="14.95" customHeight="1" thickBot="1" x14ac:dyDescent="0.3">
      <c r="A2" s="110"/>
      <c r="B2" s="1036" t="s">
        <v>54</v>
      </c>
      <c r="C2" s="1037"/>
      <c r="D2" s="1029" t="s">
        <v>55</v>
      </c>
      <c r="E2" s="1030"/>
      <c r="F2" s="126" t="s">
        <v>56</v>
      </c>
      <c r="H2" s="1031" t="s">
        <v>58</v>
      </c>
      <c r="I2" s="1033" t="s">
        <v>66</v>
      </c>
      <c r="J2" s="1034"/>
      <c r="K2" s="1033" t="s">
        <v>67</v>
      </c>
      <c r="L2" s="1035"/>
      <c r="M2" s="1035"/>
      <c r="N2" s="1035"/>
      <c r="O2" s="1034"/>
      <c r="P2" s="1033" t="s">
        <v>69</v>
      </c>
      <c r="Q2" s="1034"/>
    </row>
    <row r="3" spans="1:18" ht="14.95" customHeight="1" thickBot="1" x14ac:dyDescent="0.3">
      <c r="A3" s="82" t="s">
        <v>34</v>
      </c>
      <c r="B3" s="582">
        <f>FRanceyellow</f>
        <v>2</v>
      </c>
      <c r="C3" s="583" t="s">
        <v>1071</v>
      </c>
      <c r="D3" s="127">
        <f>Francered</f>
        <v>0</v>
      </c>
      <c r="E3" s="702"/>
      <c r="F3" s="129">
        <f>SUM(B3+D3*2)</f>
        <v>2</v>
      </c>
      <c r="H3" s="1032"/>
      <c r="I3" s="140" t="s">
        <v>4</v>
      </c>
      <c r="J3" s="140" t="s">
        <v>5</v>
      </c>
      <c r="K3" s="141" t="s">
        <v>769</v>
      </c>
      <c r="L3" s="142" t="s">
        <v>770</v>
      </c>
      <c r="M3" s="926" t="s">
        <v>771</v>
      </c>
      <c r="N3" s="856" t="s">
        <v>772</v>
      </c>
      <c r="O3" s="144" t="s">
        <v>74</v>
      </c>
      <c r="P3" s="141" t="s">
        <v>4</v>
      </c>
      <c r="Q3" s="144" t="s">
        <v>5</v>
      </c>
    </row>
    <row r="4" spans="1:18" ht="14.95" customHeight="1" thickBot="1" x14ac:dyDescent="0.3">
      <c r="A4" s="32" t="s">
        <v>39</v>
      </c>
      <c r="B4" s="130">
        <f>Irelandyellow</f>
        <v>2</v>
      </c>
      <c r="C4" s="197" t="s">
        <v>1026</v>
      </c>
      <c r="D4" s="127">
        <f>Irelandred</f>
        <v>0</v>
      </c>
      <c r="E4" s="128"/>
      <c r="F4" s="129">
        <f>SUM(B4+D4*2)</f>
        <v>2</v>
      </c>
      <c r="H4" s="153" t="s">
        <v>30</v>
      </c>
      <c r="I4" s="146">
        <v>8</v>
      </c>
      <c r="J4" s="146">
        <v>60</v>
      </c>
      <c r="K4" s="146">
        <v>81</v>
      </c>
      <c r="L4" s="146">
        <v>1</v>
      </c>
      <c r="M4" s="584">
        <v>0</v>
      </c>
      <c r="N4" s="598">
        <v>0</v>
      </c>
      <c r="O4" s="147">
        <f t="shared" ref="O4:O9" si="0">SUM(K4:N4)</f>
        <v>82</v>
      </c>
      <c r="P4" s="773">
        <f>SUM(I4/O4)*10</f>
        <v>0.97560975609756095</v>
      </c>
      <c r="Q4" s="923">
        <f>SUM(J4/O4)*10</f>
        <v>7.3170731707317067</v>
      </c>
      <c r="R4" t="s">
        <v>58</v>
      </c>
    </row>
    <row r="5" spans="1:18" ht="14.95" customHeight="1" thickBot="1" x14ac:dyDescent="0.3">
      <c r="A5" s="82" t="s">
        <v>35</v>
      </c>
      <c r="B5" s="131">
        <f>Scotlandyellow</f>
        <v>2</v>
      </c>
      <c r="C5" s="361" t="s">
        <v>1072</v>
      </c>
      <c r="D5" s="127">
        <f>Scotlandred</f>
        <v>0</v>
      </c>
      <c r="E5" s="128"/>
      <c r="F5" s="129">
        <f>SUM(B5+D5*2)</f>
        <v>2</v>
      </c>
      <c r="H5" s="81" t="s">
        <v>34</v>
      </c>
      <c r="I5" s="146">
        <v>7</v>
      </c>
      <c r="J5" s="146">
        <v>21</v>
      </c>
      <c r="K5" s="146">
        <v>20</v>
      </c>
      <c r="L5" s="146">
        <v>0</v>
      </c>
      <c r="M5" s="584">
        <v>0</v>
      </c>
      <c r="N5" s="598">
        <v>0</v>
      </c>
      <c r="O5" s="147">
        <f t="shared" si="0"/>
        <v>20</v>
      </c>
      <c r="P5" s="773">
        <f>SUM(I5/O5)*10</f>
        <v>3.5</v>
      </c>
      <c r="Q5" s="923">
        <f>SUM(J5/O5)*10</f>
        <v>10.5</v>
      </c>
    </row>
    <row r="6" spans="1:18" ht="14.95" customHeight="1" thickBot="1" x14ac:dyDescent="0.3">
      <c r="A6" s="1017" t="s">
        <v>33</v>
      </c>
      <c r="B6" s="130">
        <f>Italyyellow</f>
        <v>3</v>
      </c>
      <c r="C6" s="133" t="s">
        <v>1080</v>
      </c>
      <c r="D6" s="127">
        <f>Italyred</f>
        <v>0</v>
      </c>
      <c r="E6" s="128"/>
      <c r="F6" s="129">
        <f>SUM(B6+D6*2)</f>
        <v>3</v>
      </c>
      <c r="H6" s="31" t="s">
        <v>39</v>
      </c>
      <c r="I6" s="146">
        <v>3</v>
      </c>
      <c r="J6" s="146">
        <v>14</v>
      </c>
      <c r="K6" s="146">
        <v>20</v>
      </c>
      <c r="L6" s="146">
        <v>0</v>
      </c>
      <c r="M6" s="584">
        <v>0</v>
      </c>
      <c r="N6" s="598">
        <v>0</v>
      </c>
      <c r="O6" s="147">
        <f t="shared" si="0"/>
        <v>20</v>
      </c>
      <c r="P6" s="773">
        <f>SUM(I6/O6)*10</f>
        <v>1.5</v>
      </c>
      <c r="Q6" s="923">
        <f>SUM(J6/O6)*10</f>
        <v>7</v>
      </c>
    </row>
    <row r="7" spans="1:18" ht="14.95" customHeight="1" thickBot="1" x14ac:dyDescent="0.3">
      <c r="A7" s="9" t="s">
        <v>32</v>
      </c>
      <c r="B7" s="131">
        <f>Walesyellow</f>
        <v>6</v>
      </c>
      <c r="C7" s="132" t="s">
        <v>1059</v>
      </c>
      <c r="D7" s="127">
        <f>Walesred</f>
        <v>0</v>
      </c>
      <c r="E7" s="128"/>
      <c r="F7" s="129">
        <f>SUM(B7+D7*2)</f>
        <v>6</v>
      </c>
      <c r="H7" s="1016" t="s">
        <v>33</v>
      </c>
      <c r="I7" s="146">
        <v>9</v>
      </c>
      <c r="J7" s="146">
        <v>19</v>
      </c>
      <c r="K7" s="146">
        <v>30</v>
      </c>
      <c r="L7" s="146">
        <v>0</v>
      </c>
      <c r="M7" s="584">
        <v>0</v>
      </c>
      <c r="N7" s="598">
        <v>0</v>
      </c>
      <c r="O7" s="147">
        <f t="shared" si="0"/>
        <v>30</v>
      </c>
      <c r="P7" s="923">
        <f>SUM(I7/O7)*10</f>
        <v>3</v>
      </c>
      <c r="Q7" s="923">
        <f>SUM(J7/O7)*10</f>
        <v>6.333333333333333</v>
      </c>
    </row>
    <row r="8" spans="1:18" ht="14.95" customHeight="1" thickBot="1" x14ac:dyDescent="0.3">
      <c r="A8" s="157" t="s">
        <v>30</v>
      </c>
      <c r="B8" s="131">
        <f>Englandyellow</f>
        <v>7</v>
      </c>
      <c r="C8" s="132" t="s">
        <v>1081</v>
      </c>
      <c r="D8" s="127">
        <f>Englandred</f>
        <v>1</v>
      </c>
      <c r="E8" s="128" t="s">
        <v>942</v>
      </c>
      <c r="F8" s="129">
        <f>SUM(B8+D8*2)</f>
        <v>9</v>
      </c>
      <c r="H8" s="81" t="s">
        <v>35</v>
      </c>
      <c r="I8" s="146">
        <v>0</v>
      </c>
      <c r="J8" s="146">
        <v>14</v>
      </c>
      <c r="K8" s="146">
        <v>14</v>
      </c>
      <c r="L8" s="146">
        <v>0</v>
      </c>
      <c r="M8" s="584">
        <v>0</v>
      </c>
      <c r="N8" s="598">
        <v>0</v>
      </c>
      <c r="O8" s="147">
        <f t="shared" si="0"/>
        <v>14</v>
      </c>
      <c r="P8" s="923">
        <f>SUM(I8/O8)*10</f>
        <v>0</v>
      </c>
      <c r="Q8" s="923">
        <f>SUM(J8/O8)*10</f>
        <v>10</v>
      </c>
      <c r="R8" t="s">
        <v>58</v>
      </c>
    </row>
    <row r="9" spans="1:18" ht="14.95" customHeight="1" thickBot="1" x14ac:dyDescent="0.3">
      <c r="A9" s="158" t="s">
        <v>57</v>
      </c>
      <c r="B9" s="130">
        <f>SUM(B3:B8)</f>
        <v>22</v>
      </c>
      <c r="C9" s="133"/>
      <c r="D9" s="134">
        <f>SUM(D3:D8)</f>
        <v>1</v>
      </c>
      <c r="E9" s="135"/>
      <c r="F9" s="126" t="s">
        <v>58</v>
      </c>
      <c r="H9" s="8" t="s">
        <v>32</v>
      </c>
      <c r="I9" s="146">
        <v>7</v>
      </c>
      <c r="J9" s="146">
        <v>25</v>
      </c>
      <c r="K9" s="146">
        <v>26</v>
      </c>
      <c r="L9" s="146">
        <v>17</v>
      </c>
      <c r="M9" s="584">
        <v>0</v>
      </c>
      <c r="N9" s="599">
        <v>0</v>
      </c>
      <c r="O9" s="672">
        <f t="shared" si="0"/>
        <v>43</v>
      </c>
      <c r="P9" s="923">
        <f>SUM(I9/O9)*10</f>
        <v>1.6279069767441863</v>
      </c>
      <c r="Q9" s="923">
        <f>SUM(J9/O9)*10</f>
        <v>5.8139534883720936</v>
      </c>
      <c r="R9" t="s">
        <v>58</v>
      </c>
    </row>
    <row r="10" spans="1:18" ht="14.95" thickBot="1" x14ac:dyDescent="0.3">
      <c r="A10" s="267" t="s">
        <v>1060</v>
      </c>
      <c r="D10" s="136"/>
      <c r="E10" s="137"/>
      <c r="H10" s="151" t="s">
        <v>57</v>
      </c>
      <c r="I10" s="148">
        <f>SUM(I4:I9)</f>
        <v>34</v>
      </c>
      <c r="J10" s="148">
        <f>SUM(J4:J9)</f>
        <v>153</v>
      </c>
      <c r="K10" s="148">
        <f t="shared" ref="K10:O10" si="1">SUM(K4:K9)</f>
        <v>191</v>
      </c>
      <c r="L10" s="148">
        <f t="shared" si="1"/>
        <v>18</v>
      </c>
      <c r="M10" s="148">
        <f t="shared" si="1"/>
        <v>0</v>
      </c>
      <c r="N10" s="148">
        <f t="shared" si="1"/>
        <v>0</v>
      </c>
      <c r="O10" s="148">
        <f t="shared" si="1"/>
        <v>209</v>
      </c>
      <c r="P10" s="923">
        <f t="shared" ref="P10" si="2">SUM(I10/O10)*10</f>
        <v>1.6267942583732056</v>
      </c>
      <c r="Q10" s="516">
        <f t="shared" ref="Q10" si="3">SUM(J10/O10)*10</f>
        <v>7.3205741626794261</v>
      </c>
    </row>
    <row r="11" spans="1:18" x14ac:dyDescent="0.25">
      <c r="A11" s="138" t="s">
        <v>59</v>
      </c>
      <c r="B11" s="138"/>
    </row>
    <row r="12" spans="1:18" x14ac:dyDescent="0.25">
      <c r="A12" s="852" t="s">
        <v>864</v>
      </c>
      <c r="B12" s="700"/>
      <c r="H12" s="138" t="s">
        <v>146</v>
      </c>
    </row>
    <row r="13" spans="1:18" ht="14.95" thickBot="1" x14ac:dyDescent="0.3">
      <c r="A13" s="512" t="s">
        <v>212</v>
      </c>
      <c r="B13" s="513" t="s">
        <v>198</v>
      </c>
      <c r="C13" s="514"/>
      <c r="D13" s="514" t="s">
        <v>199</v>
      </c>
      <c r="E13" t="s">
        <v>58</v>
      </c>
      <c r="I13" s="138"/>
    </row>
    <row r="14" spans="1:18" ht="14.95" thickBot="1" x14ac:dyDescent="0.3">
      <c r="A14" s="138">
        <v>1</v>
      </c>
      <c r="B14" s="999">
        <v>7</v>
      </c>
      <c r="C14" s="313"/>
      <c r="D14" s="997">
        <v>0</v>
      </c>
      <c r="H14" s="1031" t="s">
        <v>58</v>
      </c>
      <c r="I14" s="1033" t="s">
        <v>66</v>
      </c>
      <c r="J14" s="1034"/>
      <c r="K14" s="1033" t="s">
        <v>58</v>
      </c>
      <c r="L14" s="1035"/>
      <c r="M14" s="1035"/>
      <c r="N14" s="1035"/>
      <c r="O14" s="1034"/>
      <c r="P14" s="1033" t="s">
        <v>69</v>
      </c>
      <c r="Q14" s="1034"/>
    </row>
    <row r="15" spans="1:18" ht="14.95" thickBot="1" x14ac:dyDescent="0.3">
      <c r="A15" s="138">
        <v>2</v>
      </c>
      <c r="B15" s="998">
        <v>3</v>
      </c>
      <c r="C15" s="14"/>
      <c r="D15" s="1000">
        <v>1</v>
      </c>
      <c r="H15" s="1032"/>
      <c r="I15" s="140" t="s">
        <v>4</v>
      </c>
      <c r="J15" s="140" t="s">
        <v>5</v>
      </c>
      <c r="K15" s="141" t="s">
        <v>76</v>
      </c>
      <c r="L15" s="142" t="s">
        <v>77</v>
      </c>
      <c r="M15" s="142" t="s">
        <v>148</v>
      </c>
      <c r="N15" s="143"/>
      <c r="O15" s="144" t="s">
        <v>74</v>
      </c>
      <c r="P15" s="141" t="s">
        <v>4</v>
      </c>
      <c r="Q15" s="144" t="s">
        <v>5</v>
      </c>
    </row>
    <row r="16" spans="1:18" ht="14.95" thickBot="1" x14ac:dyDescent="0.3">
      <c r="A16" s="138">
        <v>3</v>
      </c>
      <c r="B16" s="313">
        <v>5</v>
      </c>
      <c r="C16" s="14"/>
      <c r="D16" s="997">
        <v>0</v>
      </c>
      <c r="H16" s="153" t="s">
        <v>30</v>
      </c>
      <c r="I16" s="146">
        <v>19</v>
      </c>
      <c r="J16" s="146">
        <v>3</v>
      </c>
      <c r="K16" s="146">
        <v>18</v>
      </c>
      <c r="L16" s="146">
        <v>17</v>
      </c>
      <c r="M16" s="146">
        <v>0</v>
      </c>
      <c r="N16" s="146">
        <v>0</v>
      </c>
      <c r="O16" s="147">
        <f t="shared" ref="O16:O21" si="4">SUM(K16:N16)</f>
        <v>35</v>
      </c>
      <c r="P16" s="773">
        <f t="shared" ref="P16" si="5">SUM(I16/O16)*10</f>
        <v>5.4285714285714279</v>
      </c>
      <c r="Q16" s="923">
        <f t="shared" ref="Q16" si="6">SUM(J16/O16)*10</f>
        <v>0.85714285714285721</v>
      </c>
    </row>
    <row r="17" spans="1:18" ht="14.95" thickBot="1" x14ac:dyDescent="0.3">
      <c r="A17" s="138">
        <v>4</v>
      </c>
      <c r="B17" s="999">
        <v>7</v>
      </c>
      <c r="C17" s="313"/>
      <c r="D17" s="997">
        <v>0</v>
      </c>
      <c r="H17" s="81" t="s">
        <v>34</v>
      </c>
      <c r="I17" s="146">
        <v>28</v>
      </c>
      <c r="J17" s="146">
        <v>0</v>
      </c>
      <c r="K17" s="146">
        <v>20</v>
      </c>
      <c r="L17" s="146">
        <v>0</v>
      </c>
      <c r="M17" s="146">
        <v>0</v>
      </c>
      <c r="N17" s="146">
        <v>0</v>
      </c>
      <c r="O17" s="147">
        <f t="shared" si="4"/>
        <v>20</v>
      </c>
      <c r="P17" s="773">
        <f t="shared" ref="P17" si="7">SUM(I17/O17)*10</f>
        <v>14</v>
      </c>
      <c r="Q17" s="923">
        <f t="shared" ref="Q17" si="8">SUM(J17/O17)*10</f>
        <v>0</v>
      </c>
    </row>
    <row r="18" spans="1:18" ht="14.95" thickBot="1" x14ac:dyDescent="0.3">
      <c r="A18" s="138">
        <v>5</v>
      </c>
      <c r="B18" s="707"/>
      <c r="C18" s="313"/>
      <c r="D18" s="707"/>
      <c r="H18" s="31" t="s">
        <v>39</v>
      </c>
      <c r="I18" s="146">
        <v>32</v>
      </c>
      <c r="J18" s="146">
        <v>3</v>
      </c>
      <c r="K18" s="146">
        <v>40</v>
      </c>
      <c r="L18" s="146">
        <v>0</v>
      </c>
      <c r="M18" s="146">
        <v>0</v>
      </c>
      <c r="N18" s="146">
        <v>0</v>
      </c>
      <c r="O18" s="147">
        <f t="shared" si="4"/>
        <v>40</v>
      </c>
      <c r="P18" s="923">
        <f t="shared" ref="P18" si="9">SUM(I18/O18)*10</f>
        <v>8</v>
      </c>
      <c r="Q18" s="923">
        <f t="shared" ref="Q18" si="10">SUM(J18/O18)*10</f>
        <v>0.75</v>
      </c>
    </row>
    <row r="19" spans="1:18" ht="14.95" thickBot="1" x14ac:dyDescent="0.3">
      <c r="A19" s="514" t="s">
        <v>386</v>
      </c>
      <c r="B19" s="204">
        <f>SUM(B14:B18)</f>
        <v>22</v>
      </c>
      <c r="C19" s="204"/>
      <c r="D19" s="204">
        <f>SUM(D14:D18)</f>
        <v>1</v>
      </c>
      <c r="H19" s="1016" t="s">
        <v>33</v>
      </c>
      <c r="I19" s="146">
        <v>14</v>
      </c>
      <c r="J19" s="146">
        <v>0</v>
      </c>
      <c r="K19" s="146">
        <v>29</v>
      </c>
      <c r="L19" s="146">
        <v>1</v>
      </c>
      <c r="M19" s="146">
        <v>0</v>
      </c>
      <c r="N19" s="146">
        <v>0</v>
      </c>
      <c r="O19" s="147">
        <f t="shared" si="4"/>
        <v>30</v>
      </c>
      <c r="P19" s="923">
        <f t="shared" ref="P19" si="11">SUM(I19/O19)*10</f>
        <v>4.666666666666667</v>
      </c>
      <c r="Q19" s="923">
        <f t="shared" ref="Q19" si="12">SUM(J19/O19)*10</f>
        <v>0</v>
      </c>
    </row>
    <row r="20" spans="1:18" ht="14.95" thickBot="1" x14ac:dyDescent="0.3">
      <c r="H20" s="81" t="s">
        <v>35</v>
      </c>
      <c r="I20" s="146">
        <v>47</v>
      </c>
      <c r="J20" s="146">
        <v>17</v>
      </c>
      <c r="K20" s="146">
        <v>60</v>
      </c>
      <c r="L20" s="146">
        <v>0</v>
      </c>
      <c r="M20" s="146">
        <v>0</v>
      </c>
      <c r="N20" s="146">
        <v>0</v>
      </c>
      <c r="O20" s="147">
        <f t="shared" si="4"/>
        <v>60</v>
      </c>
      <c r="P20" s="923">
        <f t="shared" ref="P20" si="13">SUM(I20/O20)*10</f>
        <v>7.833333333333333</v>
      </c>
      <c r="Q20" s="923">
        <f t="shared" ref="Q20" si="14">SUM(J20/O20)*10</f>
        <v>2.833333333333333</v>
      </c>
      <c r="R20" t="s">
        <v>58</v>
      </c>
    </row>
    <row r="21" spans="1:18" ht="17" thickBot="1" x14ac:dyDescent="0.35">
      <c r="A21" s="792" t="s">
        <v>28</v>
      </c>
      <c r="H21" s="8" t="s">
        <v>32</v>
      </c>
      <c r="I21" s="146">
        <v>7</v>
      </c>
      <c r="J21" s="146">
        <v>5</v>
      </c>
      <c r="K21" s="146">
        <v>14</v>
      </c>
      <c r="L21" s="146">
        <v>0</v>
      </c>
      <c r="M21" s="146">
        <v>0</v>
      </c>
      <c r="N21" s="146">
        <v>0</v>
      </c>
      <c r="O21" s="147">
        <f t="shared" si="4"/>
        <v>14</v>
      </c>
      <c r="P21" s="923">
        <f t="shared" ref="P21" si="15">SUM(I21/O21)*10</f>
        <v>5</v>
      </c>
      <c r="Q21" s="923">
        <f t="shared" ref="Q21" si="16">SUM(J21/O21)*10</f>
        <v>3.5714285714285716</v>
      </c>
      <c r="R21" t="s">
        <v>58</v>
      </c>
    </row>
    <row r="22" spans="1:18" ht="14.95" thickBot="1" x14ac:dyDescent="0.3">
      <c r="H22" s="151" t="s">
        <v>57</v>
      </c>
      <c r="I22" s="148">
        <f t="shared" ref="I22:O22" si="17">SUM(I16:I21)</f>
        <v>147</v>
      </c>
      <c r="J22" s="149">
        <f t="shared" si="17"/>
        <v>28</v>
      </c>
      <c r="K22" s="925">
        <f t="shared" si="17"/>
        <v>181</v>
      </c>
      <c r="L22" s="925">
        <f t="shared" si="17"/>
        <v>18</v>
      </c>
      <c r="M22" s="925">
        <f t="shared" si="17"/>
        <v>0</v>
      </c>
      <c r="N22" s="925">
        <f t="shared" si="17"/>
        <v>0</v>
      </c>
      <c r="O22" s="925">
        <f t="shared" si="17"/>
        <v>199</v>
      </c>
      <c r="P22" s="923">
        <f t="shared" ref="P22" si="18">SUM(I22/O22)*10</f>
        <v>7.3869346733668344</v>
      </c>
      <c r="Q22" s="516">
        <f t="shared" ref="Q22" si="19">SUM(J22/O22)*10</f>
        <v>1.4070351758793969</v>
      </c>
    </row>
    <row r="23" spans="1:18" x14ac:dyDescent="0.25">
      <c r="H23" t="s">
        <v>58</v>
      </c>
    </row>
    <row r="24" spans="1:18" x14ac:dyDescent="0.25">
      <c r="H24" s="267" t="s">
        <v>149</v>
      </c>
      <c r="I24" s="138"/>
      <c r="J24" s="138"/>
      <c r="K24" s="138"/>
    </row>
    <row r="25" spans="1:18" x14ac:dyDescent="0.25">
      <c r="H25" t="s">
        <v>1073</v>
      </c>
      <c r="I25" s="138"/>
      <c r="J25" s="138"/>
      <c r="K25" s="138"/>
    </row>
    <row r="26" spans="1:18" x14ac:dyDescent="0.25">
      <c r="H26" t="s">
        <v>1027</v>
      </c>
      <c r="I26" s="138"/>
      <c r="J26" s="138"/>
      <c r="K26" s="138"/>
    </row>
    <row r="27" spans="1:18" x14ac:dyDescent="0.25">
      <c r="I27" s="138"/>
      <c r="J27" s="138"/>
      <c r="K27" s="138"/>
    </row>
    <row r="28" spans="1:18" x14ac:dyDescent="0.25">
      <c r="H28" s="267" t="s">
        <v>865</v>
      </c>
      <c r="J28" s="138"/>
      <c r="K28" s="138"/>
      <c r="L28" s="138"/>
      <c r="N28" s="267" t="s">
        <v>812</v>
      </c>
    </row>
    <row r="29" spans="1:18" x14ac:dyDescent="0.25">
      <c r="H29" t="s">
        <v>918</v>
      </c>
      <c r="J29" s="138"/>
      <c r="K29" s="138"/>
      <c r="L29" s="138"/>
      <c r="O29" s="138"/>
    </row>
    <row r="30" spans="1:18" x14ac:dyDescent="0.25">
      <c r="H30" t="s">
        <v>922</v>
      </c>
    </row>
    <row r="31" spans="1:18" x14ac:dyDescent="0.25">
      <c r="A31" s="251"/>
      <c r="H31" t="s">
        <v>943</v>
      </c>
    </row>
  </sheetData>
  <sortState xmlns:xlrd2="http://schemas.microsoft.com/office/spreadsheetml/2017/richdata2" ref="A3:F8">
    <sortCondition ref="F3:F8"/>
    <sortCondition ref="A3:A8"/>
  </sortState>
  <mergeCells count="10">
    <mergeCell ref="P2:Q2"/>
    <mergeCell ref="H14:H15"/>
    <mergeCell ref="I14:J14"/>
    <mergeCell ref="K14:O14"/>
    <mergeCell ref="P14:Q14"/>
    <mergeCell ref="D2:E2"/>
    <mergeCell ref="H2:H3"/>
    <mergeCell ref="I2:J2"/>
    <mergeCell ref="K2:O2"/>
    <mergeCell ref="B2:C2"/>
  </mergeCells>
  <pageMargins left="0.7" right="0.7" top="0.75" bottom="0.75" header="0.3" footer="0.3"/>
  <pageSetup paperSize="9" orientation="portrait" horizontalDpi="360" verticalDpi="360" r:id="rId1"/>
  <ignoredErrors>
    <ignoredError sqref="O5:O7 O21 O20 K10:O15 O8 O19 O18 O4 O9 O17 O16" formulaRange="1"/>
    <ignoredError sqref="P4 Q4 P9 Q9:Q10 P21:Q22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9E87-D2E8-4313-B0D3-37BC49D815AB}">
  <dimension ref="A1:AK50"/>
  <sheetViews>
    <sheetView workbookViewId="0">
      <selection activeCell="Y43" sqref="Y43:Z43"/>
    </sheetView>
  </sheetViews>
  <sheetFormatPr defaultRowHeight="14.3" x14ac:dyDescent="0.25"/>
  <cols>
    <col min="1" max="1" width="3.75" bestFit="1" customWidth="1"/>
    <col min="2" max="2" width="4" bestFit="1" customWidth="1"/>
    <col min="3" max="3" width="12" bestFit="1" customWidth="1"/>
    <col min="4" max="9" width="4" customWidth="1"/>
    <col min="10" max="10" width="4.375" bestFit="1" customWidth="1"/>
    <col min="11" max="15" width="4" customWidth="1"/>
    <col min="16" max="16" width="2.625" customWidth="1"/>
    <col min="17" max="17" width="7.875" bestFit="1" customWidth="1"/>
    <col min="18" max="18" width="3.75" bestFit="1" customWidth="1"/>
    <col min="19" max="19" width="2.875" bestFit="1" customWidth="1"/>
    <col min="20" max="20" width="11.5" bestFit="1" customWidth="1"/>
    <col min="21" max="21" width="2.875" bestFit="1" customWidth="1"/>
    <col min="22" max="22" width="1.375" bestFit="1" customWidth="1"/>
    <col min="23" max="23" width="2.875" bestFit="1" customWidth="1"/>
    <col min="24" max="24" width="11.5" bestFit="1" customWidth="1"/>
    <col min="25" max="26" width="22.625" customWidth="1"/>
    <col min="27" max="27" width="4.75" bestFit="1" customWidth="1"/>
    <col min="28" max="28" width="2.875" bestFit="1" customWidth="1"/>
    <col min="29" max="29" width="1.375" bestFit="1" customWidth="1"/>
    <col min="30" max="30" width="2.875" bestFit="1" customWidth="1"/>
    <col min="31" max="31" width="5.125" bestFit="1" customWidth="1"/>
    <col min="32" max="32" width="5.625" bestFit="1" customWidth="1"/>
    <col min="33" max="33" width="6.5" bestFit="1" customWidth="1"/>
  </cols>
  <sheetData>
    <row r="1" spans="1:37" x14ac:dyDescent="0.25">
      <c r="A1" s="905" t="s">
        <v>934</v>
      </c>
      <c r="B1" s="905"/>
      <c r="C1" s="931"/>
      <c r="D1" s="905"/>
      <c r="E1" s="376"/>
      <c r="Q1" s="905" t="s">
        <v>934</v>
      </c>
      <c r="R1" s="376"/>
      <c r="S1" s="376"/>
      <c r="T1" s="376"/>
      <c r="U1" s="376"/>
      <c r="AG1" t="s">
        <v>58</v>
      </c>
    </row>
    <row r="2" spans="1:37" ht="14.95" thickBot="1" x14ac:dyDescent="0.3">
      <c r="A2" s="905" t="s">
        <v>979</v>
      </c>
      <c r="B2" s="376"/>
      <c r="C2" s="376"/>
      <c r="D2" s="376"/>
      <c r="E2" s="376"/>
      <c r="Q2" s="935" t="s">
        <v>981</v>
      </c>
      <c r="R2" s="948">
        <v>1</v>
      </c>
      <c r="S2" s="942"/>
      <c r="T2" s="14"/>
      <c r="U2" s="943"/>
      <c r="V2" s="944"/>
      <c r="W2" s="945"/>
      <c r="X2" s="14"/>
      <c r="Y2" s="14"/>
      <c r="Z2" s="14"/>
      <c r="AA2" s="14" t="s">
        <v>982</v>
      </c>
      <c r="AB2" s="1061" t="s">
        <v>9</v>
      </c>
      <c r="AC2" s="1061"/>
      <c r="AD2" s="1061"/>
      <c r="AE2" s="942" t="s">
        <v>296</v>
      </c>
      <c r="AF2" s="942" t="s">
        <v>301</v>
      </c>
      <c r="AG2" t="s">
        <v>985</v>
      </c>
    </row>
    <row r="3" spans="1:37" ht="14.95" customHeight="1" thickBot="1" x14ac:dyDescent="0.3">
      <c r="A3" s="941" t="s">
        <v>47</v>
      </c>
      <c r="B3" s="155" t="s">
        <v>48</v>
      </c>
      <c r="C3" s="113"/>
      <c r="D3" s="113" t="s">
        <v>0</v>
      </c>
      <c r="E3" s="114" t="s">
        <v>1</v>
      </c>
      <c r="F3" s="113" t="s">
        <v>2</v>
      </c>
      <c r="G3" s="113" t="s">
        <v>3</v>
      </c>
      <c r="H3" s="113" t="s">
        <v>4</v>
      </c>
      <c r="I3" s="113" t="s">
        <v>5</v>
      </c>
      <c r="J3" s="114" t="s">
        <v>49</v>
      </c>
      <c r="K3" s="113" t="s">
        <v>21</v>
      </c>
      <c r="L3" s="113" t="s">
        <v>22</v>
      </c>
      <c r="M3" s="113" t="s">
        <v>52</v>
      </c>
      <c r="N3" s="113" t="s">
        <v>53</v>
      </c>
      <c r="O3" s="114" t="s">
        <v>50</v>
      </c>
      <c r="Q3" s="14" t="s">
        <v>983</v>
      </c>
      <c r="R3" s="943" t="s">
        <v>984</v>
      </c>
      <c r="S3" s="942">
        <v>4</v>
      </c>
      <c r="T3" s="14" t="s">
        <v>98</v>
      </c>
      <c r="U3" s="943"/>
      <c r="V3" s="944" t="s">
        <v>850</v>
      </c>
      <c r="W3" s="945"/>
      <c r="X3" s="14" t="s">
        <v>34</v>
      </c>
      <c r="Y3" s="313" t="s">
        <v>963</v>
      </c>
      <c r="Z3" s="313"/>
      <c r="AA3" s="943"/>
      <c r="AB3" s="945"/>
      <c r="AC3" s="946" t="s">
        <v>136</v>
      </c>
      <c r="AD3" s="945"/>
      <c r="AE3" s="947">
        <f>SUM(AB3+AD3)</f>
        <v>0</v>
      </c>
      <c r="AF3" s="947">
        <f>SUM(AG3-AE3)</f>
        <v>0</v>
      </c>
      <c r="AG3" s="947">
        <f>SUM(U3+W3)</f>
        <v>0</v>
      </c>
      <c r="AH3" s="175"/>
      <c r="AI3" s="175"/>
      <c r="AJ3" s="175"/>
      <c r="AK3" s="14"/>
    </row>
    <row r="4" spans="1:37" ht="14.95" customHeight="1" thickBot="1" x14ac:dyDescent="0.3">
      <c r="A4" s="940">
        <v>1</v>
      </c>
      <c r="B4" s="521" t="s">
        <v>51</v>
      </c>
      <c r="C4" s="123" t="s">
        <v>34</v>
      </c>
      <c r="D4" s="115"/>
      <c r="E4" s="116"/>
      <c r="F4" s="115"/>
      <c r="G4" s="115"/>
      <c r="H4" s="115"/>
      <c r="I4" s="115"/>
      <c r="J4" s="117">
        <f t="shared" ref="J4:J9" si="0">SUM(H4-I4)</f>
        <v>0</v>
      </c>
      <c r="K4" s="118"/>
      <c r="L4" s="118"/>
      <c r="M4" s="115"/>
      <c r="N4" s="115"/>
      <c r="O4" s="117">
        <f t="shared" ref="O4:O9" si="1">SUM(E4*4)+(F4*2)+K4+L4</f>
        <v>0</v>
      </c>
      <c r="Q4" s="14" t="s">
        <v>983</v>
      </c>
      <c r="R4" s="943" t="s">
        <v>984</v>
      </c>
      <c r="S4" s="942">
        <v>4</v>
      </c>
      <c r="T4" s="14" t="s">
        <v>29</v>
      </c>
      <c r="U4" s="943"/>
      <c r="V4" s="944" t="s">
        <v>850</v>
      </c>
      <c r="W4" s="945"/>
      <c r="X4" s="14" t="s">
        <v>39</v>
      </c>
      <c r="Y4" s="313" t="s">
        <v>964</v>
      </c>
      <c r="Z4" s="313"/>
      <c r="AA4" s="943"/>
      <c r="AB4" s="943"/>
      <c r="AC4" s="946" t="s">
        <v>136</v>
      </c>
      <c r="AD4" s="945"/>
      <c r="AE4" s="313">
        <f t="shared" ref="AE4:AE20" si="2">SUM(AB4+AD4)</f>
        <v>0</v>
      </c>
      <c r="AF4" s="313">
        <f t="shared" ref="AF4:AF22" si="3">SUM(AG4-AE4)</f>
        <v>0</v>
      </c>
      <c r="AG4" s="313">
        <f t="shared" ref="AG4:AG20" si="4">SUM(U4+W4)</f>
        <v>0</v>
      </c>
      <c r="AH4" s="175"/>
      <c r="AI4" s="175"/>
      <c r="AJ4" s="175"/>
      <c r="AK4" s="14"/>
    </row>
    <row r="5" spans="1:37" ht="14.95" customHeight="1" thickBot="1" x14ac:dyDescent="0.3">
      <c r="A5" s="940">
        <v>2</v>
      </c>
      <c r="B5" s="521" t="s">
        <v>51</v>
      </c>
      <c r="C5" s="123" t="s">
        <v>35</v>
      </c>
      <c r="D5" s="118"/>
      <c r="E5" s="117"/>
      <c r="F5" s="118"/>
      <c r="G5" s="118"/>
      <c r="H5" s="118"/>
      <c r="I5" s="118"/>
      <c r="J5" s="117">
        <f t="shared" si="0"/>
        <v>0</v>
      </c>
      <c r="K5" s="118"/>
      <c r="L5" s="118"/>
      <c r="M5" s="118"/>
      <c r="N5" s="118"/>
      <c r="O5" s="117">
        <f t="shared" si="1"/>
        <v>0</v>
      </c>
      <c r="Q5" s="14" t="s">
        <v>983</v>
      </c>
      <c r="R5" s="943" t="s">
        <v>984</v>
      </c>
      <c r="S5" s="942">
        <v>4</v>
      </c>
      <c r="T5" s="14" t="s">
        <v>36</v>
      </c>
      <c r="U5" s="943"/>
      <c r="V5" s="944" t="s">
        <v>850</v>
      </c>
      <c r="W5" s="945"/>
      <c r="X5" s="14" t="s">
        <v>33</v>
      </c>
      <c r="Y5" s="949" t="s">
        <v>965</v>
      </c>
      <c r="Z5" s="949"/>
      <c r="AA5" s="943"/>
      <c r="AB5" s="943"/>
      <c r="AC5" s="946" t="s">
        <v>136</v>
      </c>
      <c r="AD5" s="945"/>
      <c r="AE5" s="313">
        <f t="shared" si="2"/>
        <v>0</v>
      </c>
      <c r="AF5" s="313">
        <f t="shared" si="3"/>
        <v>0</v>
      </c>
      <c r="AG5" s="313">
        <f t="shared" si="4"/>
        <v>0</v>
      </c>
      <c r="AH5" s="175"/>
      <c r="AI5" s="175"/>
      <c r="AJ5" s="175"/>
      <c r="AK5" s="14"/>
    </row>
    <row r="6" spans="1:37" ht="14.95" customHeight="1" thickBot="1" x14ac:dyDescent="0.3">
      <c r="A6" s="940">
        <v>3</v>
      </c>
      <c r="B6" s="521" t="s">
        <v>51</v>
      </c>
      <c r="C6" s="152" t="s">
        <v>30</v>
      </c>
      <c r="D6" s="118"/>
      <c r="E6" s="117"/>
      <c r="F6" s="118"/>
      <c r="G6" s="118"/>
      <c r="H6" s="118"/>
      <c r="I6" s="118"/>
      <c r="J6" s="117">
        <f t="shared" si="0"/>
        <v>0</v>
      </c>
      <c r="K6" s="118"/>
      <c r="L6" s="118"/>
      <c r="M6" s="118"/>
      <c r="N6" s="118"/>
      <c r="O6" s="117">
        <f t="shared" si="1"/>
        <v>0</v>
      </c>
      <c r="Q6" s="14" t="s">
        <v>983</v>
      </c>
      <c r="R6" s="943" t="s">
        <v>984</v>
      </c>
      <c r="S6" s="942">
        <v>4</v>
      </c>
      <c r="T6" s="14" t="s">
        <v>31</v>
      </c>
      <c r="U6" s="945"/>
      <c r="V6" s="944" t="s">
        <v>850</v>
      </c>
      <c r="W6" s="945"/>
      <c r="X6" s="14" t="s">
        <v>32</v>
      </c>
      <c r="Y6" s="950" t="s">
        <v>966</v>
      </c>
      <c r="Z6" s="950"/>
      <c r="AA6" s="943"/>
      <c r="AB6" s="943"/>
      <c r="AC6" s="946" t="s">
        <v>136</v>
      </c>
      <c r="AD6" s="945"/>
      <c r="AE6" s="313">
        <f t="shared" si="2"/>
        <v>0</v>
      </c>
      <c r="AF6" s="313">
        <f t="shared" si="3"/>
        <v>0</v>
      </c>
      <c r="AG6" s="313">
        <f t="shared" si="4"/>
        <v>0</v>
      </c>
      <c r="AH6" s="175"/>
      <c r="AI6" s="175"/>
      <c r="AJ6" s="175"/>
      <c r="AK6" s="14"/>
    </row>
    <row r="7" spans="1:37" ht="14.95" customHeight="1" thickBot="1" x14ac:dyDescent="0.3">
      <c r="A7" s="940">
        <v>4</v>
      </c>
      <c r="B7" s="521" t="s">
        <v>51</v>
      </c>
      <c r="C7" s="1027" t="s">
        <v>33</v>
      </c>
      <c r="D7" s="118"/>
      <c r="E7" s="117"/>
      <c r="F7" s="118"/>
      <c r="G7" s="118"/>
      <c r="H7" s="118"/>
      <c r="I7" s="118"/>
      <c r="J7" s="117">
        <f t="shared" si="0"/>
        <v>0</v>
      </c>
      <c r="K7" s="118"/>
      <c r="L7" s="118"/>
      <c r="M7" s="118"/>
      <c r="N7" s="118"/>
      <c r="O7" s="117">
        <f t="shared" si="1"/>
        <v>0</v>
      </c>
      <c r="Q7" s="14" t="s">
        <v>983</v>
      </c>
      <c r="R7" s="943" t="s">
        <v>984</v>
      </c>
      <c r="S7" s="942">
        <v>4</v>
      </c>
      <c r="T7" s="14" t="s">
        <v>97</v>
      </c>
      <c r="V7" s="944" t="s">
        <v>850</v>
      </c>
      <c r="X7" s="14" t="s">
        <v>30</v>
      </c>
      <c r="Y7" s="950" t="s">
        <v>967</v>
      </c>
      <c r="Z7" s="950"/>
      <c r="AB7" s="186"/>
      <c r="AC7" s="946" t="s">
        <v>136</v>
      </c>
      <c r="AD7" s="186"/>
      <c r="AE7" s="313">
        <f t="shared" si="2"/>
        <v>0</v>
      </c>
      <c r="AF7" s="313">
        <f t="shared" si="3"/>
        <v>0</v>
      </c>
      <c r="AG7" s="313">
        <f t="shared" si="4"/>
        <v>0</v>
      </c>
      <c r="AH7" s="175"/>
      <c r="AI7" s="175"/>
      <c r="AJ7" s="175"/>
      <c r="AK7" s="14"/>
    </row>
    <row r="8" spans="1:37" ht="14.95" thickBot="1" x14ac:dyDescent="0.3">
      <c r="A8" s="940">
        <v>5</v>
      </c>
      <c r="B8" s="521" t="s">
        <v>51</v>
      </c>
      <c r="C8" s="124" t="s">
        <v>39</v>
      </c>
      <c r="D8" s="118"/>
      <c r="E8" s="117"/>
      <c r="F8" s="118"/>
      <c r="G8" s="118"/>
      <c r="H8" s="118"/>
      <c r="I8" s="118"/>
      <c r="J8" s="117">
        <f t="shared" si="0"/>
        <v>0</v>
      </c>
      <c r="K8" s="118"/>
      <c r="L8" s="118"/>
      <c r="M8" s="118"/>
      <c r="N8" s="118"/>
      <c r="O8" s="117">
        <f t="shared" si="1"/>
        <v>0</v>
      </c>
      <c r="Q8" s="14" t="s">
        <v>983</v>
      </c>
      <c r="R8" s="943" t="s">
        <v>984</v>
      </c>
      <c r="S8" s="942">
        <v>4</v>
      </c>
      <c r="T8" s="14" t="s">
        <v>37</v>
      </c>
      <c r="V8" s="944" t="s">
        <v>850</v>
      </c>
      <c r="X8" s="14" t="s">
        <v>35</v>
      </c>
      <c r="Y8" s="949" t="s">
        <v>968</v>
      </c>
      <c r="Z8" s="949"/>
      <c r="AB8" s="186"/>
      <c r="AC8" s="946" t="s">
        <v>136</v>
      </c>
      <c r="AD8" s="186"/>
      <c r="AE8" s="313">
        <f t="shared" si="2"/>
        <v>0</v>
      </c>
      <c r="AF8" s="313">
        <f t="shared" si="3"/>
        <v>0</v>
      </c>
      <c r="AG8" s="313">
        <f t="shared" si="4"/>
        <v>0</v>
      </c>
      <c r="AH8" s="175"/>
      <c r="AI8" s="175"/>
      <c r="AJ8" s="175"/>
      <c r="AK8" s="14"/>
    </row>
    <row r="9" spans="1:37" ht="14.95" thickBot="1" x14ac:dyDescent="0.3">
      <c r="A9" s="940">
        <v>6</v>
      </c>
      <c r="B9" s="521" t="s">
        <v>51</v>
      </c>
      <c r="C9" s="122" t="s">
        <v>32</v>
      </c>
      <c r="D9" s="118"/>
      <c r="E9" s="117"/>
      <c r="F9" s="118"/>
      <c r="G9" s="118"/>
      <c r="H9" s="118"/>
      <c r="I9" s="118"/>
      <c r="J9" s="117">
        <f t="shared" si="0"/>
        <v>0</v>
      </c>
      <c r="K9" s="118"/>
      <c r="L9" s="118"/>
      <c r="M9" s="118"/>
      <c r="N9" s="118"/>
      <c r="O9" s="117">
        <f t="shared" si="1"/>
        <v>0</v>
      </c>
      <c r="Q9" s="935" t="s">
        <v>981</v>
      </c>
      <c r="R9" s="948">
        <v>2</v>
      </c>
      <c r="Y9" s="949"/>
      <c r="Z9" s="949"/>
      <c r="AB9" s="186"/>
      <c r="AD9" s="186"/>
      <c r="AE9" s="313"/>
      <c r="AF9" s="313"/>
      <c r="AG9" s="313"/>
      <c r="AH9" s="175"/>
      <c r="AI9" s="175"/>
      <c r="AJ9" s="175"/>
      <c r="AK9" s="14"/>
    </row>
    <row r="10" spans="1:37" x14ac:dyDescent="0.25">
      <c r="A10" s="119"/>
      <c r="B10" s="120"/>
      <c r="C10" s="125"/>
      <c r="D10" s="121"/>
      <c r="E10" s="121"/>
      <c r="F10" s="121"/>
      <c r="G10" s="121"/>
      <c r="H10" s="121">
        <f>SUM(H4:H7)</f>
        <v>0</v>
      </c>
      <c r="I10" s="121">
        <f>SUM(I4:I7)</f>
        <v>0</v>
      </c>
      <c r="J10" s="121"/>
      <c r="K10" s="121">
        <f t="shared" ref="K10:L10" si="5">SUM(K4:K7)</f>
        <v>0</v>
      </c>
      <c r="L10" s="121">
        <f t="shared" si="5"/>
        <v>0</v>
      </c>
      <c r="M10" s="121">
        <f>SUM(M4:M7)</f>
        <v>0</v>
      </c>
      <c r="N10" s="121">
        <f>SUM(N4:N7)</f>
        <v>0</v>
      </c>
      <c r="O10" s="121">
        <f>SUM(O4:O7)</f>
        <v>0</v>
      </c>
      <c r="Q10" s="14" t="s">
        <v>983</v>
      </c>
      <c r="R10" s="943" t="s">
        <v>984</v>
      </c>
      <c r="S10" s="942">
        <v>11</v>
      </c>
      <c r="T10" s="14" t="s">
        <v>98</v>
      </c>
      <c r="V10" s="944" t="s">
        <v>850</v>
      </c>
      <c r="X10" s="14" t="s">
        <v>33</v>
      </c>
      <c r="Y10" s="313" t="s">
        <v>969</v>
      </c>
      <c r="Z10" s="313"/>
      <c r="AB10" s="186"/>
      <c r="AC10" s="946" t="s">
        <v>136</v>
      </c>
      <c r="AD10" s="186"/>
      <c r="AE10" s="313">
        <f t="shared" si="2"/>
        <v>0</v>
      </c>
      <c r="AF10" s="313">
        <f t="shared" si="3"/>
        <v>0</v>
      </c>
      <c r="AG10" s="313">
        <f t="shared" si="4"/>
        <v>0</v>
      </c>
      <c r="AH10" s="175"/>
      <c r="AI10" s="175"/>
      <c r="AJ10" s="175"/>
      <c r="AK10" s="14"/>
    </row>
    <row r="11" spans="1:37" ht="14.95" thickBot="1" x14ac:dyDescent="0.3">
      <c r="A11" s="905" t="s">
        <v>980</v>
      </c>
      <c r="B11" s="376"/>
      <c r="C11" s="376"/>
      <c r="D11" s="376"/>
      <c r="E11" s="376"/>
      <c r="Q11" s="14" t="s">
        <v>983</v>
      </c>
      <c r="R11" s="943" t="s">
        <v>984</v>
      </c>
      <c r="S11" s="942">
        <v>11</v>
      </c>
      <c r="T11" s="14" t="s">
        <v>29</v>
      </c>
      <c r="V11" s="944" t="s">
        <v>850</v>
      </c>
      <c r="X11" s="14" t="s">
        <v>34</v>
      </c>
      <c r="Y11" s="313" t="s">
        <v>970</v>
      </c>
      <c r="Z11" s="313"/>
      <c r="AB11" s="186"/>
      <c r="AC11" s="946" t="s">
        <v>136</v>
      </c>
      <c r="AD11" s="186"/>
      <c r="AE11" s="313">
        <f t="shared" si="2"/>
        <v>0</v>
      </c>
      <c r="AF11" s="313">
        <f t="shared" si="3"/>
        <v>0</v>
      </c>
      <c r="AG11" s="313">
        <f t="shared" si="4"/>
        <v>0</v>
      </c>
      <c r="AH11" s="175"/>
      <c r="AI11" s="175"/>
      <c r="AJ11" s="175"/>
      <c r="AK11" s="14"/>
    </row>
    <row r="12" spans="1:37" ht="14.95" thickBot="1" x14ac:dyDescent="0.3">
      <c r="A12" s="941" t="s">
        <v>47</v>
      </c>
      <c r="B12" s="155" t="s">
        <v>48</v>
      </c>
      <c r="C12" s="113"/>
      <c r="D12" s="113" t="s">
        <v>0</v>
      </c>
      <c r="E12" s="114" t="s">
        <v>1</v>
      </c>
      <c r="F12" s="113" t="s">
        <v>2</v>
      </c>
      <c r="G12" s="113" t="s">
        <v>3</v>
      </c>
      <c r="H12" s="113" t="s">
        <v>4</v>
      </c>
      <c r="I12" s="113" t="s">
        <v>5</v>
      </c>
      <c r="J12" s="114" t="s">
        <v>49</v>
      </c>
      <c r="K12" s="113" t="s">
        <v>21</v>
      </c>
      <c r="L12" s="113" t="s">
        <v>22</v>
      </c>
      <c r="M12" s="113" t="s">
        <v>52</v>
      </c>
      <c r="N12" s="113" t="s">
        <v>53</v>
      </c>
      <c r="O12" s="114" t="s">
        <v>50</v>
      </c>
      <c r="Q12" s="14" t="s">
        <v>983</v>
      </c>
      <c r="R12" s="943" t="s">
        <v>984</v>
      </c>
      <c r="S12" s="942">
        <v>11</v>
      </c>
      <c r="T12" s="14" t="s">
        <v>36</v>
      </c>
      <c r="V12" s="944" t="s">
        <v>850</v>
      </c>
      <c r="X12" s="14" t="s">
        <v>39</v>
      </c>
      <c r="Y12" s="949" t="s">
        <v>973</v>
      </c>
      <c r="Z12" s="949"/>
      <c r="AB12" s="186"/>
      <c r="AC12" s="946" t="s">
        <v>136</v>
      </c>
      <c r="AD12" s="186"/>
      <c r="AE12" s="313">
        <f t="shared" si="2"/>
        <v>0</v>
      </c>
      <c r="AF12" s="313">
        <f t="shared" si="3"/>
        <v>0</v>
      </c>
      <c r="AG12" s="313">
        <f t="shared" si="4"/>
        <v>0</v>
      </c>
      <c r="AH12" s="175"/>
      <c r="AI12" s="175"/>
      <c r="AJ12" s="175"/>
      <c r="AK12" s="14"/>
    </row>
    <row r="13" spans="1:37" ht="14.95" thickBot="1" x14ac:dyDescent="0.3">
      <c r="A13" s="940">
        <v>1</v>
      </c>
      <c r="B13" s="521" t="s">
        <v>51</v>
      </c>
      <c r="C13" s="401" t="s">
        <v>97</v>
      </c>
      <c r="D13" s="115">
        <f>rsatrcplayed</f>
        <v>6</v>
      </c>
      <c r="E13" s="116">
        <f>rsatrcwon</f>
        <v>4</v>
      </c>
      <c r="F13" s="115">
        <f>rsatrcdrawn</f>
        <v>0</v>
      </c>
      <c r="G13" s="115">
        <f>rsatrclost</f>
        <v>2</v>
      </c>
      <c r="H13" s="115">
        <f>rsatrcptsscored</f>
        <v>208</v>
      </c>
      <c r="I13" s="115">
        <f>rsatrcptsconc</f>
        <v>151</v>
      </c>
      <c r="J13" s="117">
        <f t="shared" ref="J13:J18" si="6">SUM(H13-I13)</f>
        <v>57</v>
      </c>
      <c r="K13" s="118">
        <f>rsatrctb</f>
        <v>2</v>
      </c>
      <c r="L13" s="118">
        <f>rsatrclb</f>
        <v>1</v>
      </c>
      <c r="M13" s="115">
        <f>rsatrctriesscored</f>
        <v>27</v>
      </c>
      <c r="N13" s="115">
        <f>rsatrctriesconc</f>
        <v>19</v>
      </c>
      <c r="O13" s="117">
        <f t="shared" ref="O13:O18" si="7">SUM(E13*4)+(F13*2)+K13+L13</f>
        <v>19</v>
      </c>
      <c r="Q13" s="14" t="s">
        <v>983</v>
      </c>
      <c r="R13" s="943" t="s">
        <v>984</v>
      </c>
      <c r="S13" s="942">
        <v>11</v>
      </c>
      <c r="T13" s="14" t="s">
        <v>31</v>
      </c>
      <c r="V13" s="944" t="s">
        <v>850</v>
      </c>
      <c r="X13" s="14" t="s">
        <v>30</v>
      </c>
      <c r="Y13" s="949" t="s">
        <v>971</v>
      </c>
      <c r="Z13" s="949"/>
      <c r="AB13" s="186"/>
      <c r="AC13" s="946" t="s">
        <v>136</v>
      </c>
      <c r="AD13" s="186"/>
      <c r="AE13" s="313">
        <f t="shared" si="2"/>
        <v>0</v>
      </c>
      <c r="AF13" s="313">
        <f t="shared" si="3"/>
        <v>0</v>
      </c>
      <c r="AG13" s="313">
        <f t="shared" si="4"/>
        <v>0</v>
      </c>
      <c r="AH13" s="175"/>
      <c r="AI13" s="175"/>
      <c r="AJ13" s="175"/>
      <c r="AK13" s="14"/>
    </row>
    <row r="14" spans="1:37" ht="14.95" thickBot="1" x14ac:dyDescent="0.3">
      <c r="A14" s="940">
        <v>2</v>
      </c>
      <c r="B14" s="521" t="s">
        <v>51</v>
      </c>
      <c r="C14" s="290" t="s">
        <v>98</v>
      </c>
      <c r="D14" s="118">
        <f>nzltrcplayedcorrect</f>
        <v>6</v>
      </c>
      <c r="E14" s="117">
        <f>nzltrcwoncorrect</f>
        <v>4</v>
      </c>
      <c r="F14" s="118">
        <f>nzltrcdrawncorrect</f>
        <v>0</v>
      </c>
      <c r="G14" s="118">
        <f>nzltrclostcorrect</f>
        <v>2</v>
      </c>
      <c r="H14" s="118">
        <f>nzltrcptsscoredcorrect</f>
        <v>159</v>
      </c>
      <c r="I14" s="118">
        <f>nzltrcptsconccorrect</f>
        <v>151</v>
      </c>
      <c r="J14" s="117">
        <f t="shared" si="6"/>
        <v>8</v>
      </c>
      <c r="K14" s="118">
        <f>nzltrctbcorrect</f>
        <v>2</v>
      </c>
      <c r="L14" s="118">
        <f>nzltrclbcorrect</f>
        <v>1</v>
      </c>
      <c r="M14" s="118">
        <f>nzltrctriesscoredcorrect</f>
        <v>21</v>
      </c>
      <c r="N14" s="118">
        <f>nzltrctriesconccorrect</f>
        <v>17</v>
      </c>
      <c r="O14" s="117">
        <f t="shared" si="7"/>
        <v>19</v>
      </c>
      <c r="Q14" s="14" t="s">
        <v>983</v>
      </c>
      <c r="R14" s="943" t="s">
        <v>984</v>
      </c>
      <c r="S14" s="942">
        <v>11</v>
      </c>
      <c r="T14" s="14" t="s">
        <v>97</v>
      </c>
      <c r="V14" s="944" t="s">
        <v>850</v>
      </c>
      <c r="X14" s="14" t="s">
        <v>35</v>
      </c>
      <c r="Y14" s="950" t="s">
        <v>972</v>
      </c>
      <c r="Z14" s="950"/>
      <c r="AB14" s="186"/>
      <c r="AC14" s="946" t="s">
        <v>136</v>
      </c>
      <c r="AD14" s="186"/>
      <c r="AE14" s="313">
        <f t="shared" si="2"/>
        <v>0</v>
      </c>
      <c r="AF14" s="313">
        <f t="shared" si="3"/>
        <v>0</v>
      </c>
      <c r="AG14" s="313">
        <f t="shared" si="4"/>
        <v>0</v>
      </c>
      <c r="AH14" s="175"/>
      <c r="AI14" s="175"/>
      <c r="AJ14" s="175"/>
      <c r="AK14" s="14"/>
    </row>
    <row r="15" spans="1:37" ht="14.95" thickBot="1" x14ac:dyDescent="0.3">
      <c r="A15" s="940">
        <v>3</v>
      </c>
      <c r="B15" s="521" t="s">
        <v>51</v>
      </c>
      <c r="C15" s="850" t="s">
        <v>29</v>
      </c>
      <c r="D15" s="118">
        <f>austrcplayed</f>
        <v>6</v>
      </c>
      <c r="E15" s="117">
        <f>austrcwon</f>
        <v>2</v>
      </c>
      <c r="F15" s="118">
        <f>austrcdrawn</f>
        <v>0</v>
      </c>
      <c r="G15" s="118">
        <f>austrclost</f>
        <v>4</v>
      </c>
      <c r="H15" s="118">
        <f>austrcptsscored</f>
        <v>152</v>
      </c>
      <c r="I15" s="118">
        <f>austrcptsconc</f>
        <v>165</v>
      </c>
      <c r="J15" s="117">
        <f t="shared" si="6"/>
        <v>-13</v>
      </c>
      <c r="K15" s="118">
        <f>austrctb</f>
        <v>2</v>
      </c>
      <c r="L15" s="118">
        <f>austrclb</f>
        <v>1</v>
      </c>
      <c r="M15" s="118">
        <f>austrctriesscored</f>
        <v>21</v>
      </c>
      <c r="N15" s="118">
        <f>austrctriesconc</f>
        <v>17</v>
      </c>
      <c r="O15" s="117">
        <f t="shared" si="7"/>
        <v>11</v>
      </c>
      <c r="Q15" s="14" t="s">
        <v>983</v>
      </c>
      <c r="R15" s="943" t="s">
        <v>984</v>
      </c>
      <c r="S15" s="942">
        <v>11</v>
      </c>
      <c r="T15" s="14" t="s">
        <v>37</v>
      </c>
      <c r="V15" s="944" t="s">
        <v>850</v>
      </c>
      <c r="X15" s="14" t="s">
        <v>32</v>
      </c>
      <c r="Y15" s="949" t="s">
        <v>974</v>
      </c>
      <c r="Z15" s="949"/>
      <c r="AB15" s="186"/>
      <c r="AC15" s="946" t="s">
        <v>136</v>
      </c>
      <c r="AD15" s="186"/>
      <c r="AE15" s="313">
        <f t="shared" si="2"/>
        <v>0</v>
      </c>
      <c r="AF15" s="313">
        <f t="shared" si="3"/>
        <v>0</v>
      </c>
      <c r="AG15" s="313">
        <f t="shared" si="4"/>
        <v>0</v>
      </c>
      <c r="AH15" s="175"/>
      <c r="AI15" s="175"/>
      <c r="AJ15" s="175"/>
      <c r="AK15" s="14"/>
    </row>
    <row r="16" spans="1:37" ht="14.95" thickBot="1" x14ac:dyDescent="0.3">
      <c r="A16" s="940">
        <v>4</v>
      </c>
      <c r="B16" s="521" t="s">
        <v>51</v>
      </c>
      <c r="C16" s="400" t="s">
        <v>37</v>
      </c>
      <c r="D16" s="118">
        <f>argtrcplayedcorrect</f>
        <v>6</v>
      </c>
      <c r="E16" s="117">
        <f>argtrcwoncorrect</f>
        <v>2</v>
      </c>
      <c r="F16" s="118">
        <f>argtrcdrawncorrect</f>
        <v>0</v>
      </c>
      <c r="G16" s="118">
        <f>argtrclostcorrect</f>
        <v>4</v>
      </c>
      <c r="H16" s="118">
        <f>argtrcptsscoredcorrect</f>
        <v>162</v>
      </c>
      <c r="I16" s="118">
        <f>argtrcptsconccorrect</f>
        <v>214</v>
      </c>
      <c r="J16" s="117">
        <f t="shared" si="6"/>
        <v>-52</v>
      </c>
      <c r="K16" s="118">
        <f>argtrctbcorrect</f>
        <v>0</v>
      </c>
      <c r="L16" s="118">
        <f>argtrclbcorrect</f>
        <v>2</v>
      </c>
      <c r="M16" s="118">
        <f>argtrctriesscoredcorrect</f>
        <v>14</v>
      </c>
      <c r="N16" s="118">
        <f>argtrctriesconccorrect</f>
        <v>30</v>
      </c>
      <c r="O16" s="117">
        <f t="shared" si="7"/>
        <v>10</v>
      </c>
      <c r="Q16" s="935" t="s">
        <v>981</v>
      </c>
      <c r="R16" s="948">
        <v>3</v>
      </c>
      <c r="Y16" s="949"/>
      <c r="Z16" s="949"/>
      <c r="AB16" s="186"/>
      <c r="AD16" s="186"/>
      <c r="AE16" s="313"/>
      <c r="AF16" s="313"/>
      <c r="AG16" s="313"/>
      <c r="AH16" s="175"/>
      <c r="AI16" s="175"/>
      <c r="AJ16" s="175"/>
      <c r="AK16" s="14"/>
    </row>
    <row r="17" spans="1:37" ht="14.95" thickBot="1" x14ac:dyDescent="0.3">
      <c r="A17" s="940">
        <v>5</v>
      </c>
      <c r="B17" s="521" t="s">
        <v>51</v>
      </c>
      <c r="C17" s="731" t="s">
        <v>31</v>
      </c>
      <c r="D17" s="118"/>
      <c r="E17" s="117"/>
      <c r="F17" s="118"/>
      <c r="G17" s="118"/>
      <c r="H17" s="118"/>
      <c r="I17" s="118"/>
      <c r="J17" s="117">
        <f t="shared" si="6"/>
        <v>0</v>
      </c>
      <c r="K17" s="118"/>
      <c r="L17" s="118"/>
      <c r="M17" s="118"/>
      <c r="N17" s="118"/>
      <c r="O17" s="117">
        <f t="shared" si="7"/>
        <v>0</v>
      </c>
      <c r="Q17" s="14" t="s">
        <v>983</v>
      </c>
      <c r="R17" s="943" t="s">
        <v>984</v>
      </c>
      <c r="S17" s="942">
        <v>18</v>
      </c>
      <c r="T17" s="14" t="s">
        <v>36</v>
      </c>
      <c r="V17" s="944" t="s">
        <v>850</v>
      </c>
      <c r="X17" s="14" t="s">
        <v>34</v>
      </c>
      <c r="Y17" s="313" t="s">
        <v>975</v>
      </c>
      <c r="Z17" s="313"/>
      <c r="AB17" s="186"/>
      <c r="AC17" s="946" t="s">
        <v>136</v>
      </c>
      <c r="AD17" s="186"/>
      <c r="AE17" s="313">
        <f t="shared" si="2"/>
        <v>0</v>
      </c>
      <c r="AF17" s="313">
        <f t="shared" si="3"/>
        <v>0</v>
      </c>
      <c r="AG17" s="313">
        <f t="shared" si="4"/>
        <v>0</v>
      </c>
      <c r="AH17" s="175"/>
      <c r="AI17" s="175"/>
      <c r="AJ17" s="175"/>
      <c r="AK17" s="14"/>
    </row>
    <row r="18" spans="1:37" ht="14.95" thickBot="1" x14ac:dyDescent="0.3">
      <c r="A18" s="940">
        <v>6</v>
      </c>
      <c r="B18" s="521" t="s">
        <v>51</v>
      </c>
      <c r="C18" s="732" t="s">
        <v>36</v>
      </c>
      <c r="D18" s="118"/>
      <c r="E18" s="117"/>
      <c r="F18" s="118"/>
      <c r="G18" s="118"/>
      <c r="H18" s="118"/>
      <c r="I18" s="118"/>
      <c r="J18" s="117">
        <f t="shared" si="6"/>
        <v>0</v>
      </c>
      <c r="K18" s="118"/>
      <c r="L18" s="118"/>
      <c r="M18" s="118"/>
      <c r="N18" s="118"/>
      <c r="O18" s="117">
        <f t="shared" si="7"/>
        <v>0</v>
      </c>
      <c r="Q18" s="14" t="s">
        <v>983</v>
      </c>
      <c r="R18" s="943" t="s">
        <v>984</v>
      </c>
      <c r="S18" s="942">
        <v>18</v>
      </c>
      <c r="T18" s="14" t="s">
        <v>98</v>
      </c>
      <c r="V18" s="944" t="s">
        <v>850</v>
      </c>
      <c r="X18" s="14" t="s">
        <v>39</v>
      </c>
      <c r="Y18" s="313" t="s">
        <v>976</v>
      </c>
      <c r="Z18" s="313"/>
      <c r="AB18" s="186"/>
      <c r="AC18" s="946" t="s">
        <v>136</v>
      </c>
      <c r="AD18" s="186"/>
      <c r="AE18" s="313">
        <f t="shared" si="2"/>
        <v>0</v>
      </c>
      <c r="AF18" s="313">
        <f t="shared" si="3"/>
        <v>0</v>
      </c>
      <c r="AG18" s="313">
        <f t="shared" si="4"/>
        <v>0</v>
      </c>
      <c r="AH18" s="175"/>
      <c r="AI18" s="175"/>
      <c r="AJ18" s="175"/>
      <c r="AK18" s="14"/>
    </row>
    <row r="19" spans="1:37" x14ac:dyDescent="0.25">
      <c r="A19" s="119"/>
      <c r="B19" s="120"/>
      <c r="C19" s="125"/>
      <c r="D19" s="121"/>
      <c r="E19" s="121"/>
      <c r="F19" s="121"/>
      <c r="G19" s="121"/>
      <c r="H19" s="121">
        <f>SUM(H13:H16)</f>
        <v>681</v>
      </c>
      <c r="I19" s="121">
        <f>SUM(I13:I16)</f>
        <v>681</v>
      </c>
      <c r="J19" s="121"/>
      <c r="K19" s="121">
        <f t="shared" ref="K19:L19" si="8">SUM(K13:K16)</f>
        <v>6</v>
      </c>
      <c r="L19" s="121">
        <f t="shared" si="8"/>
        <v>5</v>
      </c>
      <c r="M19" s="121">
        <f>SUM(M13:M16)</f>
        <v>83</v>
      </c>
      <c r="N19" s="121">
        <f>SUM(N13:N16)</f>
        <v>83</v>
      </c>
      <c r="O19" s="121">
        <f>SUM(O13:O16)</f>
        <v>59</v>
      </c>
      <c r="Q19" s="14" t="s">
        <v>983</v>
      </c>
      <c r="R19" s="943" t="s">
        <v>984</v>
      </c>
      <c r="S19" s="942">
        <v>18</v>
      </c>
      <c r="T19" s="14" t="s">
        <v>29</v>
      </c>
      <c r="V19" s="944" t="s">
        <v>850</v>
      </c>
      <c r="X19" s="14" t="s">
        <v>33</v>
      </c>
      <c r="Y19" s="949" t="s">
        <v>977</v>
      </c>
      <c r="Z19" s="949"/>
      <c r="AB19" s="186"/>
      <c r="AC19" s="946" t="s">
        <v>136</v>
      </c>
      <c r="AD19" s="186"/>
      <c r="AE19" s="313">
        <f t="shared" si="2"/>
        <v>0</v>
      </c>
      <c r="AF19" s="313">
        <f t="shared" si="3"/>
        <v>0</v>
      </c>
      <c r="AG19" s="313">
        <f t="shared" si="4"/>
        <v>0</v>
      </c>
      <c r="AH19" s="175"/>
      <c r="AI19" s="175"/>
      <c r="AJ19" s="175"/>
      <c r="AK19" s="14"/>
    </row>
    <row r="20" spans="1:37" x14ac:dyDescent="0.25">
      <c r="A20" s="138" t="s">
        <v>986</v>
      </c>
      <c r="Q20" s="14" t="s">
        <v>983</v>
      </c>
      <c r="R20" s="943" t="s">
        <v>984</v>
      </c>
      <c r="S20" s="942">
        <v>18</v>
      </c>
      <c r="T20" s="14" t="s">
        <v>31</v>
      </c>
      <c r="V20" s="944" t="s">
        <v>850</v>
      </c>
      <c r="X20" s="14" t="s">
        <v>35</v>
      </c>
      <c r="Y20" s="949" t="s">
        <v>950</v>
      </c>
      <c r="Z20" s="949"/>
      <c r="AB20" s="186"/>
      <c r="AC20" s="946" t="s">
        <v>136</v>
      </c>
      <c r="AD20" s="186"/>
      <c r="AE20" s="313">
        <f t="shared" si="2"/>
        <v>0</v>
      </c>
      <c r="AF20" s="313">
        <f t="shared" si="3"/>
        <v>0</v>
      </c>
      <c r="AG20" s="313">
        <f t="shared" si="4"/>
        <v>0</v>
      </c>
    </row>
    <row r="21" spans="1:37" x14ac:dyDescent="0.25">
      <c r="A21" t="s">
        <v>874</v>
      </c>
      <c r="Q21" s="14" t="s">
        <v>983</v>
      </c>
      <c r="R21" s="943" t="s">
        <v>984</v>
      </c>
      <c r="S21" s="942">
        <v>18</v>
      </c>
      <c r="T21" s="14" t="s">
        <v>97</v>
      </c>
      <c r="V21" s="944" t="s">
        <v>850</v>
      </c>
      <c r="X21" s="14" t="s">
        <v>32</v>
      </c>
      <c r="Y21" s="950" t="s">
        <v>1035</v>
      </c>
      <c r="Z21" s="950"/>
      <c r="AC21" s="946" t="s">
        <v>136</v>
      </c>
      <c r="AE21">
        <f t="shared" ref="AE21:AE22" si="9">SUM(AB21+AD21)</f>
        <v>0</v>
      </c>
      <c r="AF21">
        <f t="shared" si="3"/>
        <v>0</v>
      </c>
      <c r="AG21">
        <f t="shared" ref="AG21:AG22" si="10">SUM(U21+W21)</f>
        <v>0</v>
      </c>
    </row>
    <row r="22" spans="1:37" x14ac:dyDescent="0.25">
      <c r="Q22" s="14" t="s">
        <v>983</v>
      </c>
      <c r="R22" s="943" t="s">
        <v>984</v>
      </c>
      <c r="S22" s="942">
        <v>18</v>
      </c>
      <c r="T22" s="14" t="s">
        <v>37</v>
      </c>
      <c r="V22" s="944" t="s">
        <v>850</v>
      </c>
      <c r="X22" s="14" t="s">
        <v>30</v>
      </c>
      <c r="Y22" s="1062" t="s">
        <v>978</v>
      </c>
      <c r="Z22" s="1063"/>
      <c r="AC22" s="946" t="s">
        <v>136</v>
      </c>
      <c r="AE22">
        <f t="shared" si="9"/>
        <v>0</v>
      </c>
      <c r="AF22">
        <f t="shared" si="3"/>
        <v>0</v>
      </c>
      <c r="AG22">
        <f t="shared" si="10"/>
        <v>0</v>
      </c>
    </row>
    <row r="23" spans="1:37" x14ac:dyDescent="0.25">
      <c r="A23" s="1059" t="s">
        <v>935</v>
      </c>
      <c r="B23" s="1060"/>
      <c r="C23" s="1060"/>
      <c r="D23" s="1060"/>
      <c r="E23" s="1060"/>
      <c r="F23" s="1060"/>
      <c r="G23" s="1060"/>
      <c r="H23" s="1060"/>
      <c r="Q23" s="935" t="s">
        <v>981</v>
      </c>
      <c r="R23" s="948">
        <v>4</v>
      </c>
      <c r="S23" s="942"/>
      <c r="T23" s="14"/>
      <c r="U23" s="943"/>
      <c r="V23" s="944"/>
      <c r="W23" s="945"/>
      <c r="X23" s="14"/>
      <c r="Y23" s="14"/>
      <c r="Z23" s="14"/>
      <c r="AA23" s="14"/>
      <c r="AB23" s="1061"/>
      <c r="AC23" s="1061"/>
      <c r="AD23" s="1061"/>
      <c r="AE23" s="942"/>
      <c r="AF23" s="942"/>
      <c r="AG23" s="187" t="s">
        <v>58</v>
      </c>
    </row>
    <row r="24" spans="1:37" x14ac:dyDescent="0.25">
      <c r="Q24" s="14" t="s">
        <v>1002</v>
      </c>
      <c r="R24" s="943" t="s">
        <v>1001</v>
      </c>
      <c r="S24" s="942">
        <v>6</v>
      </c>
      <c r="T24" s="14" t="s">
        <v>39</v>
      </c>
      <c r="U24" s="943"/>
      <c r="V24" s="944" t="s">
        <v>850</v>
      </c>
      <c r="W24" s="945"/>
      <c r="X24" s="14" t="s">
        <v>37</v>
      </c>
      <c r="Y24" s="313" t="s">
        <v>938</v>
      </c>
      <c r="Z24" s="313"/>
      <c r="AA24" s="943"/>
      <c r="AB24" s="945"/>
      <c r="AC24" s="946" t="s">
        <v>136</v>
      </c>
      <c r="AD24" s="945"/>
      <c r="AE24" s="947">
        <f>SUM(AB24+AD24)</f>
        <v>0</v>
      </c>
      <c r="AF24" s="947">
        <f>SUM(AG24-AE24)</f>
        <v>0</v>
      </c>
      <c r="AG24" s="947">
        <f>SUM(U24+W24)</f>
        <v>0</v>
      </c>
      <c r="AI24" s="186"/>
    </row>
    <row r="25" spans="1:37" x14ac:dyDescent="0.25">
      <c r="Q25" s="14" t="s">
        <v>983</v>
      </c>
      <c r="R25" s="943" t="s">
        <v>1001</v>
      </c>
      <c r="S25" s="942">
        <v>7</v>
      </c>
      <c r="T25" s="14" t="s">
        <v>33</v>
      </c>
      <c r="U25" s="943"/>
      <c r="V25" s="944" t="s">
        <v>850</v>
      </c>
      <c r="W25" s="945"/>
      <c r="X25" s="14" t="s">
        <v>97</v>
      </c>
      <c r="Y25" s="313" t="s">
        <v>1000</v>
      </c>
      <c r="Z25" s="313"/>
      <c r="AA25" s="943"/>
      <c r="AB25" s="943"/>
      <c r="AC25" s="946" t="s">
        <v>136</v>
      </c>
      <c r="AD25" s="945"/>
      <c r="AE25" s="313">
        <f t="shared" ref="AE25:AE43" si="11">SUM(AB25+AD25)</f>
        <v>0</v>
      </c>
      <c r="AF25" s="313">
        <f t="shared" ref="AF25:AF43" si="12">SUM(AG25-AE25)</f>
        <v>0</v>
      </c>
      <c r="AG25" s="313">
        <f t="shared" ref="AG25:AG43" si="13">SUM(U25+W25)</f>
        <v>0</v>
      </c>
    </row>
    <row r="26" spans="1:37" x14ac:dyDescent="0.25">
      <c r="Q26" s="14" t="s">
        <v>983</v>
      </c>
      <c r="R26" s="943" t="s">
        <v>1001</v>
      </c>
      <c r="S26" s="942">
        <v>7</v>
      </c>
      <c r="T26" s="14" t="s">
        <v>35</v>
      </c>
      <c r="U26" s="943"/>
      <c r="V26" s="944" t="s">
        <v>850</v>
      </c>
      <c r="W26" s="945"/>
      <c r="X26" s="14" t="s">
        <v>98</v>
      </c>
      <c r="Y26" s="949" t="s">
        <v>950</v>
      </c>
      <c r="Z26" s="949"/>
      <c r="AA26" s="943"/>
      <c r="AB26" s="943"/>
      <c r="AC26" s="946" t="s">
        <v>136</v>
      </c>
      <c r="AD26" s="945"/>
      <c r="AE26" s="313">
        <f t="shared" si="11"/>
        <v>0</v>
      </c>
      <c r="AF26" s="313">
        <f t="shared" si="12"/>
        <v>0</v>
      </c>
      <c r="AG26" s="313">
        <f t="shared" si="13"/>
        <v>0</v>
      </c>
    </row>
    <row r="27" spans="1:37" x14ac:dyDescent="0.25">
      <c r="Q27" s="14" t="s">
        <v>983</v>
      </c>
      <c r="R27" s="943" t="s">
        <v>1001</v>
      </c>
      <c r="S27" s="942">
        <v>7</v>
      </c>
      <c r="T27" s="14" t="s">
        <v>32</v>
      </c>
      <c r="U27" s="945"/>
      <c r="V27" s="944" t="s">
        <v>850</v>
      </c>
      <c r="W27" s="945"/>
      <c r="X27" s="14" t="s">
        <v>36</v>
      </c>
      <c r="Y27" s="949" t="s">
        <v>960</v>
      </c>
      <c r="Z27" s="950"/>
      <c r="AA27" s="943"/>
      <c r="AB27" s="943"/>
      <c r="AC27" s="946" t="s">
        <v>136</v>
      </c>
      <c r="AD27" s="945"/>
      <c r="AE27" s="313">
        <f t="shared" si="11"/>
        <v>0</v>
      </c>
      <c r="AF27" s="313">
        <f t="shared" si="12"/>
        <v>0</v>
      </c>
      <c r="AG27" s="313">
        <f t="shared" si="13"/>
        <v>0</v>
      </c>
    </row>
    <row r="28" spans="1:37" x14ac:dyDescent="0.25">
      <c r="Q28" s="14" t="s">
        <v>983</v>
      </c>
      <c r="R28" s="943" t="s">
        <v>1001</v>
      </c>
      <c r="S28" s="942">
        <v>7</v>
      </c>
      <c r="T28" s="14" t="s">
        <v>34</v>
      </c>
      <c r="V28" s="944" t="s">
        <v>850</v>
      </c>
      <c r="X28" s="14" t="s">
        <v>31</v>
      </c>
      <c r="Y28" s="313" t="s">
        <v>1000</v>
      </c>
      <c r="Z28" s="950"/>
      <c r="AB28" s="186"/>
      <c r="AC28" s="946" t="s">
        <v>136</v>
      </c>
      <c r="AD28" s="186"/>
      <c r="AE28" s="313">
        <f t="shared" si="11"/>
        <v>0</v>
      </c>
      <c r="AF28" s="313">
        <f t="shared" si="12"/>
        <v>0</v>
      </c>
      <c r="AG28" s="313">
        <f t="shared" si="13"/>
        <v>0</v>
      </c>
    </row>
    <row r="29" spans="1:37" x14ac:dyDescent="0.25">
      <c r="Q29" s="14" t="s">
        <v>1009</v>
      </c>
      <c r="R29" s="943" t="s">
        <v>1001</v>
      </c>
      <c r="S29" s="942">
        <v>8</v>
      </c>
      <c r="T29" s="14" t="s">
        <v>30</v>
      </c>
      <c r="V29" s="944" t="s">
        <v>850</v>
      </c>
      <c r="X29" s="14" t="s">
        <v>29</v>
      </c>
      <c r="Y29" s="949" t="s">
        <v>931</v>
      </c>
      <c r="Z29" s="949"/>
      <c r="AB29" s="186"/>
      <c r="AC29" s="946" t="s">
        <v>136</v>
      </c>
      <c r="AD29" s="186"/>
      <c r="AE29" s="313">
        <f t="shared" si="11"/>
        <v>0</v>
      </c>
      <c r="AF29" s="313">
        <f t="shared" si="12"/>
        <v>0</v>
      </c>
      <c r="AG29" s="313">
        <f t="shared" si="13"/>
        <v>0</v>
      </c>
    </row>
    <row r="30" spans="1:37" x14ac:dyDescent="0.25">
      <c r="Q30" s="935" t="s">
        <v>981</v>
      </c>
      <c r="R30" s="948">
        <v>5</v>
      </c>
      <c r="Y30" s="949"/>
      <c r="Z30" s="949"/>
      <c r="AB30" s="186"/>
      <c r="AD30" s="186"/>
      <c r="AE30" s="313"/>
      <c r="AF30" s="313"/>
      <c r="AG30" s="313"/>
    </row>
    <row r="31" spans="1:37" x14ac:dyDescent="0.25">
      <c r="Q31" s="14" t="s">
        <v>1002</v>
      </c>
      <c r="R31" s="943" t="s">
        <v>1001</v>
      </c>
      <c r="S31" s="942">
        <v>13</v>
      </c>
      <c r="T31" s="14" t="s">
        <v>34</v>
      </c>
      <c r="V31" s="944" t="s">
        <v>850</v>
      </c>
      <c r="X31" s="14" t="s">
        <v>97</v>
      </c>
      <c r="Y31" s="313" t="s">
        <v>916</v>
      </c>
      <c r="Z31" s="313"/>
      <c r="AB31" s="186"/>
      <c r="AC31" s="946" t="s">
        <v>136</v>
      </c>
      <c r="AD31" s="186"/>
      <c r="AE31" s="313">
        <f t="shared" si="11"/>
        <v>0</v>
      </c>
      <c r="AF31" s="313">
        <f t="shared" si="12"/>
        <v>0</v>
      </c>
      <c r="AG31" s="313">
        <f t="shared" si="13"/>
        <v>0</v>
      </c>
    </row>
    <row r="32" spans="1:37" x14ac:dyDescent="0.25">
      <c r="Q32" s="14" t="s">
        <v>983</v>
      </c>
      <c r="R32" s="943" t="s">
        <v>1001</v>
      </c>
      <c r="S32" s="942">
        <v>14</v>
      </c>
      <c r="T32" s="14" t="s">
        <v>33</v>
      </c>
      <c r="V32" s="944" t="s">
        <v>850</v>
      </c>
      <c r="X32" s="14" t="s">
        <v>37</v>
      </c>
      <c r="Y32" s="313" t="s">
        <v>1000</v>
      </c>
      <c r="Z32" s="313"/>
      <c r="AB32" s="186"/>
      <c r="AC32" s="946" t="s">
        <v>136</v>
      </c>
      <c r="AD32" s="186"/>
      <c r="AE32" s="313">
        <f t="shared" si="11"/>
        <v>0</v>
      </c>
      <c r="AF32" s="313">
        <f t="shared" si="12"/>
        <v>0</v>
      </c>
      <c r="AG32" s="313">
        <f t="shared" si="13"/>
        <v>0</v>
      </c>
    </row>
    <row r="33" spans="17:33" x14ac:dyDescent="0.25">
      <c r="Q33" s="14" t="s">
        <v>983</v>
      </c>
      <c r="R33" s="943" t="s">
        <v>1001</v>
      </c>
      <c r="S33" s="942">
        <v>14</v>
      </c>
      <c r="T33" s="14" t="s">
        <v>32</v>
      </c>
      <c r="V33" s="944" t="s">
        <v>850</v>
      </c>
      <c r="X33" s="14" t="s">
        <v>98</v>
      </c>
      <c r="Y33" s="949" t="s">
        <v>960</v>
      </c>
      <c r="Z33" s="949"/>
      <c r="AB33" s="186"/>
      <c r="AC33" s="946" t="s">
        <v>136</v>
      </c>
      <c r="AD33" s="186"/>
      <c r="AE33" s="313">
        <f t="shared" si="11"/>
        <v>0</v>
      </c>
      <c r="AF33" s="313">
        <f t="shared" si="12"/>
        <v>0</v>
      </c>
      <c r="AG33" s="313">
        <f t="shared" si="13"/>
        <v>0</v>
      </c>
    </row>
    <row r="34" spans="17:33" x14ac:dyDescent="0.25">
      <c r="Q34" s="14" t="s">
        <v>983</v>
      </c>
      <c r="R34" s="943" t="s">
        <v>1001</v>
      </c>
      <c r="S34" s="942">
        <v>14</v>
      </c>
      <c r="T34" s="14" t="s">
        <v>30</v>
      </c>
      <c r="V34" s="944" t="s">
        <v>850</v>
      </c>
      <c r="X34" s="14" t="s">
        <v>36</v>
      </c>
      <c r="Y34" s="949" t="s">
        <v>931</v>
      </c>
      <c r="Z34" s="949"/>
      <c r="AB34" s="186"/>
      <c r="AC34" s="946" t="s">
        <v>136</v>
      </c>
      <c r="AD34" s="186"/>
      <c r="AE34" s="313">
        <f t="shared" si="11"/>
        <v>0</v>
      </c>
      <c r="AF34" s="313">
        <f t="shared" si="12"/>
        <v>0</v>
      </c>
      <c r="AG34" s="313">
        <f t="shared" si="13"/>
        <v>0</v>
      </c>
    </row>
    <row r="35" spans="17:33" x14ac:dyDescent="0.25">
      <c r="Q35" s="14" t="s">
        <v>983</v>
      </c>
      <c r="R35" s="943" t="s">
        <v>1001</v>
      </c>
      <c r="S35" s="942">
        <v>14</v>
      </c>
      <c r="T35" s="14" t="s">
        <v>39</v>
      </c>
      <c r="V35" s="944" t="s">
        <v>850</v>
      </c>
      <c r="X35" s="14" t="s">
        <v>31</v>
      </c>
      <c r="Y35" s="313" t="s">
        <v>938</v>
      </c>
      <c r="Z35" s="950"/>
      <c r="AB35" s="186"/>
      <c r="AC35" s="946" t="s">
        <v>136</v>
      </c>
      <c r="AD35" s="186"/>
      <c r="AE35" s="313">
        <f t="shared" si="11"/>
        <v>0</v>
      </c>
      <c r="AF35" s="313">
        <f t="shared" si="12"/>
        <v>0</v>
      </c>
      <c r="AG35" s="313">
        <f t="shared" si="13"/>
        <v>0</v>
      </c>
    </row>
    <row r="36" spans="17:33" x14ac:dyDescent="0.25">
      <c r="Q36" s="14" t="s">
        <v>1009</v>
      </c>
      <c r="R36" s="943" t="s">
        <v>1001</v>
      </c>
      <c r="S36" s="942">
        <v>15</v>
      </c>
      <c r="T36" s="14" t="s">
        <v>35</v>
      </c>
      <c r="V36" s="944" t="s">
        <v>850</v>
      </c>
      <c r="X36" s="14" t="s">
        <v>29</v>
      </c>
      <c r="Y36" s="949" t="s">
        <v>950</v>
      </c>
      <c r="Z36" s="949"/>
      <c r="AB36" s="186"/>
      <c r="AC36" s="946" t="s">
        <v>136</v>
      </c>
      <c r="AD36" s="186"/>
      <c r="AE36" s="313">
        <f t="shared" si="11"/>
        <v>0</v>
      </c>
      <c r="AF36" s="313">
        <f t="shared" si="12"/>
        <v>0</v>
      </c>
      <c r="AG36" s="313">
        <f t="shared" si="13"/>
        <v>0</v>
      </c>
    </row>
    <row r="37" spans="17:33" x14ac:dyDescent="0.25">
      <c r="Q37" s="935" t="s">
        <v>981</v>
      </c>
      <c r="R37" s="948">
        <v>6</v>
      </c>
      <c r="Y37" s="949"/>
      <c r="Z37" s="949"/>
      <c r="AB37" s="186"/>
      <c r="AD37" s="186"/>
      <c r="AE37" s="313"/>
      <c r="AF37" s="313"/>
      <c r="AG37" s="313"/>
    </row>
    <row r="38" spans="17:33" x14ac:dyDescent="0.25">
      <c r="Q38" s="14" t="s">
        <v>983</v>
      </c>
      <c r="R38" s="943" t="s">
        <v>1001</v>
      </c>
      <c r="S38" s="942">
        <v>21</v>
      </c>
      <c r="T38" s="14" t="s">
        <v>30</v>
      </c>
      <c r="V38" s="944" t="s">
        <v>850</v>
      </c>
      <c r="X38" s="14" t="s">
        <v>98</v>
      </c>
      <c r="Y38" s="949" t="s">
        <v>931</v>
      </c>
      <c r="Z38" s="313"/>
      <c r="AB38" s="186"/>
      <c r="AC38" s="946" t="s">
        <v>136</v>
      </c>
      <c r="AD38" s="186"/>
      <c r="AE38" s="313">
        <f t="shared" si="11"/>
        <v>0</v>
      </c>
      <c r="AF38" s="313">
        <f t="shared" si="12"/>
        <v>0</v>
      </c>
      <c r="AG38" s="313">
        <f t="shared" si="13"/>
        <v>0</v>
      </c>
    </row>
    <row r="39" spans="17:33" x14ac:dyDescent="0.25">
      <c r="Q39" s="14" t="s">
        <v>983</v>
      </c>
      <c r="R39" s="943" t="s">
        <v>1001</v>
      </c>
      <c r="S39" s="942">
        <v>21</v>
      </c>
      <c r="T39" s="14" t="s">
        <v>35</v>
      </c>
      <c r="V39" s="944" t="s">
        <v>850</v>
      </c>
      <c r="X39" s="14" t="s">
        <v>36</v>
      </c>
      <c r="Y39" s="949" t="s">
        <v>950</v>
      </c>
      <c r="Z39" s="313"/>
      <c r="AB39" s="186"/>
      <c r="AC39" s="946" t="s">
        <v>136</v>
      </c>
      <c r="AD39" s="186"/>
      <c r="AE39" s="313">
        <f t="shared" si="11"/>
        <v>0</v>
      </c>
      <c r="AF39" s="313">
        <f t="shared" si="12"/>
        <v>0</v>
      </c>
      <c r="AG39" s="313">
        <f t="shared" si="13"/>
        <v>0</v>
      </c>
    </row>
    <row r="40" spans="17:33" x14ac:dyDescent="0.25">
      <c r="Q40" s="14" t="s">
        <v>983</v>
      </c>
      <c r="R40" s="943" t="s">
        <v>1001</v>
      </c>
      <c r="S40" s="942">
        <v>21</v>
      </c>
      <c r="T40" s="14" t="s">
        <v>39</v>
      </c>
      <c r="V40" s="944" t="s">
        <v>850</v>
      </c>
      <c r="X40" s="14" t="s">
        <v>97</v>
      </c>
      <c r="Y40" s="313" t="s">
        <v>938</v>
      </c>
      <c r="Z40" s="949"/>
      <c r="AB40" s="186"/>
      <c r="AC40" s="946" t="s">
        <v>136</v>
      </c>
      <c r="AD40" s="186"/>
      <c r="AE40" s="313">
        <f t="shared" si="11"/>
        <v>0</v>
      </c>
      <c r="AF40" s="313">
        <f t="shared" si="12"/>
        <v>0</v>
      </c>
      <c r="AG40" s="313">
        <f t="shared" si="13"/>
        <v>0</v>
      </c>
    </row>
    <row r="41" spans="17:33" x14ac:dyDescent="0.25">
      <c r="Q41" s="14" t="s">
        <v>983</v>
      </c>
      <c r="R41" s="943" t="s">
        <v>1001</v>
      </c>
      <c r="S41" s="942">
        <v>21</v>
      </c>
      <c r="T41" s="14" t="s">
        <v>33</v>
      </c>
      <c r="V41" s="944" t="s">
        <v>850</v>
      </c>
      <c r="X41" s="14" t="s">
        <v>31</v>
      </c>
      <c r="Y41" s="313" t="s">
        <v>1000</v>
      </c>
      <c r="Z41" s="949"/>
      <c r="AB41" s="186"/>
      <c r="AC41" s="946" t="s">
        <v>136</v>
      </c>
      <c r="AD41" s="186"/>
      <c r="AE41" s="313">
        <f t="shared" si="11"/>
        <v>0</v>
      </c>
      <c r="AF41" s="313">
        <f t="shared" si="12"/>
        <v>0</v>
      </c>
      <c r="AG41" s="313">
        <f t="shared" si="13"/>
        <v>0</v>
      </c>
    </row>
    <row r="42" spans="17:33" x14ac:dyDescent="0.25">
      <c r="Q42" s="14" t="s">
        <v>983</v>
      </c>
      <c r="R42" s="943" t="s">
        <v>1001</v>
      </c>
      <c r="S42" s="942">
        <v>21</v>
      </c>
      <c r="T42" s="14" t="s">
        <v>34</v>
      </c>
      <c r="V42" s="944" t="s">
        <v>850</v>
      </c>
      <c r="X42" s="14" t="s">
        <v>37</v>
      </c>
      <c r="Y42" s="313" t="s">
        <v>916</v>
      </c>
      <c r="Z42" s="950"/>
      <c r="AC42" s="946" t="s">
        <v>136</v>
      </c>
      <c r="AE42">
        <f t="shared" si="11"/>
        <v>0</v>
      </c>
      <c r="AF42">
        <f t="shared" si="12"/>
        <v>0</v>
      </c>
      <c r="AG42">
        <f t="shared" si="13"/>
        <v>0</v>
      </c>
    </row>
    <row r="43" spans="17:33" x14ac:dyDescent="0.25">
      <c r="Q43" s="14" t="s">
        <v>983</v>
      </c>
      <c r="R43" s="943" t="s">
        <v>1001</v>
      </c>
      <c r="S43" s="942">
        <v>21</v>
      </c>
      <c r="T43" s="14" t="s">
        <v>32</v>
      </c>
      <c r="V43" s="944" t="s">
        <v>850</v>
      </c>
      <c r="X43" s="14" t="s">
        <v>29</v>
      </c>
      <c r="Y43" s="1062" t="s">
        <v>960</v>
      </c>
      <c r="Z43" s="1063"/>
      <c r="AC43" s="946" t="s">
        <v>136</v>
      </c>
      <c r="AE43">
        <f t="shared" si="11"/>
        <v>0</v>
      </c>
      <c r="AF43">
        <f t="shared" si="12"/>
        <v>0</v>
      </c>
      <c r="AG43">
        <f t="shared" si="13"/>
        <v>0</v>
      </c>
    </row>
    <row r="44" spans="17:33" x14ac:dyDescent="0.25">
      <c r="Q44" s="935" t="s">
        <v>996</v>
      </c>
      <c r="R44" s="948"/>
      <c r="Y44" s="949"/>
      <c r="Z44" s="949"/>
      <c r="AB44" s="186"/>
      <c r="AD44" s="186"/>
      <c r="AE44" s="313"/>
      <c r="AF44" s="313"/>
      <c r="AG44" s="313"/>
    </row>
    <row r="45" spans="17:33" x14ac:dyDescent="0.25">
      <c r="Q45" s="14" t="s">
        <v>1002</v>
      </c>
      <c r="R45" s="943" t="s">
        <v>1001</v>
      </c>
      <c r="S45" s="942">
        <v>27</v>
      </c>
      <c r="T45" s="14" t="s">
        <v>1003</v>
      </c>
      <c r="V45" s="944" t="s">
        <v>850</v>
      </c>
      <c r="X45" s="14" t="s">
        <v>1010</v>
      </c>
      <c r="Y45" s="949" t="s">
        <v>931</v>
      </c>
      <c r="Z45" s="313"/>
      <c r="AB45" s="186"/>
      <c r="AC45" s="946" t="s">
        <v>136</v>
      </c>
      <c r="AD45" s="186"/>
      <c r="AE45" s="313">
        <f t="shared" ref="AE45:AE50" si="14">SUM(AB45+AD45)</f>
        <v>0</v>
      </c>
      <c r="AF45" s="313">
        <f t="shared" ref="AF45:AF50" si="15">SUM(AG45-AE45)</f>
        <v>0</v>
      </c>
      <c r="AG45" s="313">
        <f t="shared" ref="AG45:AG50" si="16">SUM(U45+W45)</f>
        <v>0</v>
      </c>
    </row>
    <row r="46" spans="17:33" x14ac:dyDescent="0.25">
      <c r="Q46" s="14" t="s">
        <v>1002</v>
      </c>
      <c r="R46" s="943" t="s">
        <v>1001</v>
      </c>
      <c r="S46" s="942">
        <v>27</v>
      </c>
      <c r="T46" s="14" t="s">
        <v>1006</v>
      </c>
      <c r="V46" s="944" t="s">
        <v>850</v>
      </c>
      <c r="X46" s="14" t="s">
        <v>1013</v>
      </c>
      <c r="Y46" s="949" t="s">
        <v>931</v>
      </c>
      <c r="Z46" s="949"/>
      <c r="AB46" s="186"/>
      <c r="AC46" s="946" t="s">
        <v>136</v>
      </c>
      <c r="AD46" s="186"/>
      <c r="AE46" s="313">
        <f t="shared" si="14"/>
        <v>0</v>
      </c>
      <c r="AF46" s="313">
        <f t="shared" si="15"/>
        <v>0</v>
      </c>
      <c r="AG46" s="313">
        <f t="shared" si="16"/>
        <v>0</v>
      </c>
    </row>
    <row r="47" spans="17:33" x14ac:dyDescent="0.25">
      <c r="Q47" s="14" t="s">
        <v>983</v>
      </c>
      <c r="R47" s="943" t="s">
        <v>1001</v>
      </c>
      <c r="S47" s="942">
        <v>28</v>
      </c>
      <c r="T47" s="14" t="s">
        <v>1004</v>
      </c>
      <c r="V47" s="944" t="s">
        <v>850</v>
      </c>
      <c r="X47" s="14" t="s">
        <v>1011</v>
      </c>
      <c r="Y47" s="949" t="s">
        <v>931</v>
      </c>
      <c r="Z47" s="949"/>
      <c r="AB47" s="186"/>
      <c r="AC47" s="946" t="s">
        <v>136</v>
      </c>
      <c r="AD47" s="186"/>
      <c r="AE47" s="313">
        <f t="shared" si="14"/>
        <v>0</v>
      </c>
      <c r="AF47" s="313">
        <f t="shared" si="15"/>
        <v>0</v>
      </c>
      <c r="AG47" s="313">
        <f t="shared" si="16"/>
        <v>0</v>
      </c>
    </row>
    <row r="48" spans="17:33" x14ac:dyDescent="0.25">
      <c r="Q48" s="14" t="s">
        <v>983</v>
      </c>
      <c r="R48" s="943" t="s">
        <v>1001</v>
      </c>
      <c r="S48" s="942">
        <v>28</v>
      </c>
      <c r="T48" s="14" t="s">
        <v>1007</v>
      </c>
      <c r="V48" s="944" t="s">
        <v>850</v>
      </c>
      <c r="X48" s="14" t="s">
        <v>1014</v>
      </c>
      <c r="Y48" s="949" t="s">
        <v>931</v>
      </c>
      <c r="Z48" s="949"/>
      <c r="AB48" s="186"/>
      <c r="AC48" s="946" t="s">
        <v>136</v>
      </c>
      <c r="AD48" s="186"/>
      <c r="AE48" s="313">
        <f t="shared" si="14"/>
        <v>0</v>
      </c>
      <c r="AF48" s="313">
        <f t="shared" si="15"/>
        <v>0</v>
      </c>
      <c r="AG48" s="313">
        <f t="shared" si="16"/>
        <v>0</v>
      </c>
    </row>
    <row r="49" spans="17:33" x14ac:dyDescent="0.25">
      <c r="Q49" s="14" t="s">
        <v>1009</v>
      </c>
      <c r="R49" s="943" t="s">
        <v>1001</v>
      </c>
      <c r="S49" s="942">
        <v>29</v>
      </c>
      <c r="T49" s="14" t="s">
        <v>1005</v>
      </c>
      <c r="V49" s="944" t="s">
        <v>850</v>
      </c>
      <c r="X49" s="14" t="s">
        <v>1012</v>
      </c>
      <c r="Y49" s="949" t="s">
        <v>931</v>
      </c>
      <c r="Z49" s="949"/>
      <c r="AC49" s="946" t="s">
        <v>136</v>
      </c>
      <c r="AE49">
        <f t="shared" si="14"/>
        <v>0</v>
      </c>
      <c r="AF49">
        <f t="shared" si="15"/>
        <v>0</v>
      </c>
      <c r="AG49">
        <f t="shared" si="16"/>
        <v>0</v>
      </c>
    </row>
    <row r="50" spans="17:33" x14ac:dyDescent="0.25">
      <c r="Q50" s="14" t="s">
        <v>1009</v>
      </c>
      <c r="R50" s="943" t="s">
        <v>1001</v>
      </c>
      <c r="S50" s="942">
        <v>29</v>
      </c>
      <c r="T50" s="14" t="s">
        <v>1008</v>
      </c>
      <c r="V50" s="944" t="s">
        <v>850</v>
      </c>
      <c r="X50" s="14" t="s">
        <v>1015</v>
      </c>
      <c r="Y50" s="949" t="s">
        <v>931</v>
      </c>
      <c r="Z50" s="949"/>
      <c r="AC50" s="946" t="s">
        <v>136</v>
      </c>
      <c r="AE50">
        <f t="shared" si="14"/>
        <v>0</v>
      </c>
      <c r="AF50">
        <f t="shared" si="15"/>
        <v>0</v>
      </c>
      <c r="AG50">
        <f t="shared" si="16"/>
        <v>0</v>
      </c>
    </row>
  </sheetData>
  <mergeCells count="5">
    <mergeCell ref="A23:H23"/>
    <mergeCell ref="AB2:AD2"/>
    <mergeCell ref="Y22:Z22"/>
    <mergeCell ref="AB23:AD23"/>
    <mergeCell ref="Y43:Z43"/>
  </mergeCells>
  <pageMargins left="0.7" right="0.7" top="0.75" bottom="0.75" header="0.3" footer="0.3"/>
  <ignoredErrors>
    <ignoredError sqref="J7 O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E76B-7833-4A7A-9A52-8577B3AFB414}">
  <dimension ref="A1:AK83"/>
  <sheetViews>
    <sheetView zoomScaleNormal="100" workbookViewId="0">
      <selection activeCell="E40" sqref="E40"/>
    </sheetView>
  </sheetViews>
  <sheetFormatPr defaultRowHeight="14.3" x14ac:dyDescent="0.25"/>
  <cols>
    <col min="1" max="1" width="15.375" customWidth="1"/>
    <col min="2" max="2" width="3.875" customWidth="1"/>
    <col min="3" max="3" width="15.375" customWidth="1"/>
    <col min="4" max="4" width="3.875" customWidth="1"/>
    <col min="5" max="5" width="15.375" customWidth="1"/>
    <col min="6" max="6" width="3.875" customWidth="1"/>
    <col min="7" max="7" width="15.375" customWidth="1"/>
    <col min="8" max="8" width="3.875" customWidth="1"/>
    <col min="9" max="9" width="3.375" bestFit="1" customWidth="1"/>
    <col min="10" max="10" width="4.875" bestFit="1" customWidth="1"/>
    <col min="11" max="14" width="5.5" bestFit="1" customWidth="1"/>
    <col min="15" max="15" width="5.125" bestFit="1" customWidth="1"/>
    <col min="16" max="19" width="5.5" bestFit="1" customWidth="1"/>
    <col min="20" max="20" width="5.875" bestFit="1" customWidth="1"/>
    <col min="21" max="21" width="4.25" bestFit="1" customWidth="1"/>
    <col min="22" max="22" width="1.625" customWidth="1"/>
    <col min="24" max="24" width="4.5" bestFit="1" customWidth="1"/>
    <col min="25" max="27" width="5.5" bestFit="1" customWidth="1"/>
    <col min="28" max="28" width="5.125" bestFit="1" customWidth="1"/>
    <col min="29" max="31" width="5.5" bestFit="1" customWidth="1"/>
    <col min="34" max="34" width="5.875" bestFit="1" customWidth="1"/>
    <col min="35" max="35" width="3" bestFit="1" customWidth="1"/>
  </cols>
  <sheetData>
    <row r="1" spans="1:37" ht="14.95" thickBot="1" x14ac:dyDescent="0.3">
      <c r="A1" s="905" t="s">
        <v>934</v>
      </c>
      <c r="B1" s="905"/>
      <c r="C1" s="931"/>
      <c r="D1" s="905"/>
      <c r="E1" s="376"/>
      <c r="F1" s="376"/>
      <c r="G1" s="376"/>
      <c r="H1" s="376"/>
      <c r="J1" s="985" t="s">
        <v>291</v>
      </c>
      <c r="K1" s="986"/>
      <c r="L1" s="986"/>
      <c r="M1" s="986"/>
      <c r="N1" s="986"/>
      <c r="O1" s="986"/>
      <c r="P1" s="987"/>
      <c r="Q1" s="987"/>
      <c r="R1" s="987"/>
      <c r="S1" s="987"/>
      <c r="T1" s="987"/>
      <c r="U1" s="990"/>
      <c r="W1" s="905" t="s">
        <v>292</v>
      </c>
      <c r="X1" s="932"/>
      <c r="Y1" s="932"/>
      <c r="Z1" s="932"/>
      <c r="AA1" s="971"/>
      <c r="AB1" s="376"/>
      <c r="AC1" s="376"/>
      <c r="AD1" s="376"/>
      <c r="AE1" s="376"/>
      <c r="AF1" s="376"/>
      <c r="AG1" s="376"/>
      <c r="AH1" s="376"/>
      <c r="AI1" s="376"/>
    </row>
    <row r="2" spans="1:37" ht="14.95" customHeight="1" thickBot="1" x14ac:dyDescent="0.3">
      <c r="A2" s="626" t="s">
        <v>100</v>
      </c>
      <c r="B2" s="951"/>
      <c r="C2" s="952" t="s">
        <v>987</v>
      </c>
      <c r="D2" s="952"/>
      <c r="E2" s="953" t="s">
        <v>988</v>
      </c>
      <c r="F2" s="953"/>
      <c r="G2" s="954" t="s">
        <v>989</v>
      </c>
      <c r="H2" s="954"/>
      <c r="J2" s="977"/>
      <c r="K2" s="627" t="s">
        <v>220</v>
      </c>
      <c r="L2" s="628" t="s">
        <v>293</v>
      </c>
      <c r="M2" s="629" t="s">
        <v>294</v>
      </c>
      <c r="N2" s="630" t="s">
        <v>295</v>
      </c>
      <c r="O2" s="631" t="s">
        <v>296</v>
      </c>
      <c r="P2" s="632" t="s">
        <v>297</v>
      </c>
      <c r="Q2" s="632" t="s">
        <v>298</v>
      </c>
      <c r="R2" s="633" t="s">
        <v>299</v>
      </c>
      <c r="S2" s="633" t="s">
        <v>300</v>
      </c>
      <c r="T2" s="574" t="s">
        <v>301</v>
      </c>
      <c r="U2" s="991" t="s">
        <v>302</v>
      </c>
      <c r="W2" s="977"/>
      <c r="X2" s="627" t="s">
        <v>220</v>
      </c>
      <c r="Y2" s="960" t="s">
        <v>293</v>
      </c>
      <c r="Z2" s="961" t="s">
        <v>294</v>
      </c>
      <c r="AA2" s="961" t="s">
        <v>295</v>
      </c>
      <c r="AB2" s="549" t="s">
        <v>296</v>
      </c>
      <c r="AC2" s="937" t="s">
        <v>297</v>
      </c>
      <c r="AD2" s="937" t="s">
        <v>298</v>
      </c>
      <c r="AE2" s="938" t="s">
        <v>299</v>
      </c>
      <c r="AF2" s="1051" t="s">
        <v>300</v>
      </c>
      <c r="AG2" s="1052"/>
      <c r="AH2" s="982" t="s">
        <v>301</v>
      </c>
      <c r="AI2" s="983" t="s">
        <v>21</v>
      </c>
    </row>
    <row r="3" spans="1:37" ht="14.95" thickBot="1" x14ac:dyDescent="0.3">
      <c r="A3" s="400" t="s">
        <v>37</v>
      </c>
      <c r="B3" s="955"/>
      <c r="C3" s="400" t="s">
        <v>37</v>
      </c>
      <c r="D3" s="956"/>
      <c r="E3" s="400" t="s">
        <v>37</v>
      </c>
      <c r="F3" s="957"/>
      <c r="G3" s="400" t="s">
        <v>37</v>
      </c>
      <c r="H3" s="958"/>
      <c r="J3" s="53" t="s">
        <v>271</v>
      </c>
      <c r="K3" s="635"/>
      <c r="L3" s="636"/>
      <c r="M3" s="637"/>
      <c r="N3" s="638"/>
      <c r="O3" s="639">
        <f t="shared" ref="O3:O12" si="0">SUM(K3:N3)</f>
        <v>0</v>
      </c>
      <c r="P3" s="640"/>
      <c r="Q3" s="641"/>
      <c r="R3" s="642"/>
      <c r="S3" s="643"/>
      <c r="T3" s="644">
        <f t="shared" ref="T3:T12" si="1">SUM(P3:S3)</f>
        <v>0</v>
      </c>
      <c r="U3" s="311">
        <f t="shared" ref="U3:U12" si="2">SUM(O3+T3)</f>
        <v>0</v>
      </c>
      <c r="W3" s="978"/>
      <c r="X3" s="646" t="s">
        <v>304</v>
      </c>
      <c r="Y3" s="646" t="s">
        <v>304</v>
      </c>
      <c r="Z3" s="647" t="s">
        <v>304</v>
      </c>
      <c r="AA3" s="647" t="s">
        <v>304</v>
      </c>
      <c r="AB3" s="565" t="s">
        <v>58</v>
      </c>
      <c r="AC3" s="648" t="s">
        <v>304</v>
      </c>
      <c r="AD3" s="648" t="s">
        <v>304</v>
      </c>
      <c r="AE3" s="649" t="s">
        <v>304</v>
      </c>
      <c r="AF3" s="649" t="s">
        <v>304</v>
      </c>
      <c r="AG3" s="649" t="s">
        <v>305</v>
      </c>
      <c r="AH3" s="983"/>
      <c r="AI3" s="983"/>
    </row>
    <row r="4" spans="1:37" ht="14.95" thickBot="1" x14ac:dyDescent="0.3">
      <c r="A4" s="850" t="s">
        <v>29</v>
      </c>
      <c r="B4" s="955"/>
      <c r="C4" s="850" t="s">
        <v>29</v>
      </c>
      <c r="D4" s="956"/>
      <c r="E4" s="850" t="s">
        <v>29</v>
      </c>
      <c r="F4" s="957"/>
      <c r="G4" s="850" t="s">
        <v>29</v>
      </c>
      <c r="H4" s="958"/>
      <c r="J4" s="849" t="s">
        <v>272</v>
      </c>
      <c r="K4" s="635"/>
      <c r="L4" s="636"/>
      <c r="M4" s="637"/>
      <c r="N4" s="638"/>
      <c r="O4" s="639">
        <f t="shared" si="0"/>
        <v>0</v>
      </c>
      <c r="P4" s="640"/>
      <c r="Q4" s="641"/>
      <c r="R4" s="642"/>
      <c r="S4" s="643"/>
      <c r="T4" s="644">
        <f t="shared" si="1"/>
        <v>0</v>
      </c>
      <c r="U4" s="311">
        <f t="shared" si="2"/>
        <v>0</v>
      </c>
      <c r="W4" s="400" t="s">
        <v>271</v>
      </c>
      <c r="X4" s="635"/>
      <c r="Y4" s="636"/>
      <c r="Z4" s="638"/>
      <c r="AA4" s="637"/>
      <c r="AB4" s="981">
        <f>SUM(W4:AA4)</f>
        <v>0</v>
      </c>
      <c r="AC4" s="640"/>
      <c r="AD4" s="641"/>
      <c r="AE4" s="642"/>
      <c r="AF4" s="642"/>
      <c r="AG4" s="643"/>
      <c r="AH4" s="984">
        <f t="shared" ref="AH4:AH15" si="3">SUM(AC4:AG4)</f>
        <v>0</v>
      </c>
      <c r="AI4" s="984">
        <f>SUM(AB4:AF4)</f>
        <v>0</v>
      </c>
    </row>
    <row r="5" spans="1:37" ht="14.95" thickBot="1" x14ac:dyDescent="0.3">
      <c r="A5" s="152" t="s">
        <v>30</v>
      </c>
      <c r="B5" s="955"/>
      <c r="C5" s="152" t="s">
        <v>30</v>
      </c>
      <c r="D5" s="956"/>
      <c r="E5" s="152" t="s">
        <v>30</v>
      </c>
      <c r="F5" s="957"/>
      <c r="G5" s="152" t="s">
        <v>30</v>
      </c>
      <c r="H5" s="958"/>
      <c r="J5" s="153" t="s">
        <v>924</v>
      </c>
      <c r="K5" s="635"/>
      <c r="L5" s="636"/>
      <c r="M5" s="637"/>
      <c r="N5" s="638"/>
      <c r="O5" s="639">
        <f t="shared" si="0"/>
        <v>0</v>
      </c>
      <c r="P5" s="640"/>
      <c r="Q5" s="641"/>
      <c r="R5" s="642"/>
      <c r="S5" s="643"/>
      <c r="T5" s="644">
        <f t="shared" si="1"/>
        <v>0</v>
      </c>
      <c r="U5" s="311">
        <f t="shared" si="2"/>
        <v>0</v>
      </c>
      <c r="W5" s="850" t="s">
        <v>272</v>
      </c>
      <c r="X5" s="635"/>
      <c r="Y5" s="636"/>
      <c r="Z5" s="638"/>
      <c r="AA5" s="637"/>
      <c r="AB5" s="981">
        <f t="shared" ref="AB5:AB15" si="4">SUM(W5:AA5)</f>
        <v>0</v>
      </c>
      <c r="AC5" s="640"/>
      <c r="AD5" s="641"/>
      <c r="AE5" s="642"/>
      <c r="AF5" s="642"/>
      <c r="AG5" s="643"/>
      <c r="AH5" s="984">
        <f t="shared" si="3"/>
        <v>0</v>
      </c>
      <c r="AI5" s="984">
        <f t="shared" ref="AI5:AI15" si="5">SUM(AB5:AF5)</f>
        <v>0</v>
      </c>
    </row>
    <row r="6" spans="1:37" ht="14.95" thickBot="1" x14ac:dyDescent="0.3">
      <c r="A6" s="731" t="s">
        <v>31</v>
      </c>
      <c r="B6" s="955"/>
      <c r="C6" s="731" t="s">
        <v>31</v>
      </c>
      <c r="D6" s="956"/>
      <c r="E6" s="731" t="s">
        <v>31</v>
      </c>
      <c r="F6" s="957"/>
      <c r="G6" s="731" t="s">
        <v>31</v>
      </c>
      <c r="H6" s="958"/>
      <c r="J6" s="592" t="s">
        <v>564</v>
      </c>
      <c r="K6" s="635"/>
      <c r="L6" s="636"/>
      <c r="M6" s="637"/>
      <c r="N6" s="638"/>
      <c r="O6" s="639">
        <f t="shared" si="0"/>
        <v>0</v>
      </c>
      <c r="P6" s="640"/>
      <c r="Q6" s="641"/>
      <c r="R6" s="642"/>
      <c r="S6" s="643"/>
      <c r="T6" s="644">
        <f t="shared" si="1"/>
        <v>0</v>
      </c>
      <c r="U6" s="311">
        <f t="shared" si="2"/>
        <v>0</v>
      </c>
      <c r="W6" s="152" t="s">
        <v>924</v>
      </c>
      <c r="X6" s="635"/>
      <c r="Y6" s="636"/>
      <c r="Z6" s="638"/>
      <c r="AA6" s="637"/>
      <c r="AB6" s="981">
        <f t="shared" si="4"/>
        <v>0</v>
      </c>
      <c r="AC6" s="640"/>
      <c r="AD6" s="641"/>
      <c r="AE6" s="642"/>
      <c r="AF6" s="642"/>
      <c r="AG6" s="643"/>
      <c r="AH6" s="984">
        <f t="shared" si="3"/>
        <v>0</v>
      </c>
      <c r="AI6" s="984">
        <f t="shared" si="5"/>
        <v>0</v>
      </c>
    </row>
    <row r="7" spans="1:37" ht="14.95" thickBot="1" x14ac:dyDescent="0.3">
      <c r="A7" s="123" t="s">
        <v>34</v>
      </c>
      <c r="B7" s="955"/>
      <c r="C7" s="123" t="s">
        <v>34</v>
      </c>
      <c r="D7" s="956"/>
      <c r="E7" s="123" t="s">
        <v>34</v>
      </c>
      <c r="F7" s="957"/>
      <c r="G7" s="123" t="s">
        <v>34</v>
      </c>
      <c r="H7" s="958"/>
      <c r="J7" s="81" t="s">
        <v>913</v>
      </c>
      <c r="K7" s="635"/>
      <c r="L7" s="636"/>
      <c r="M7" s="637"/>
      <c r="N7" s="638"/>
      <c r="O7" s="639">
        <f t="shared" si="0"/>
        <v>0</v>
      </c>
      <c r="P7" s="640"/>
      <c r="Q7" s="641"/>
      <c r="R7" s="642"/>
      <c r="S7" s="643"/>
      <c r="T7" s="644">
        <f t="shared" si="1"/>
        <v>0</v>
      </c>
      <c r="U7" s="311">
        <f t="shared" si="2"/>
        <v>0</v>
      </c>
      <c r="W7" s="731" t="s">
        <v>564</v>
      </c>
      <c r="X7" s="635"/>
      <c r="Y7" s="636"/>
      <c r="Z7" s="638"/>
      <c r="AA7" s="637"/>
      <c r="AB7" s="981">
        <f t="shared" si="4"/>
        <v>0</v>
      </c>
      <c r="AC7" s="640"/>
      <c r="AD7" s="641"/>
      <c r="AE7" s="642"/>
      <c r="AF7" s="642"/>
      <c r="AG7" s="643"/>
      <c r="AH7" s="984">
        <f t="shared" si="3"/>
        <v>0</v>
      </c>
      <c r="AI7" s="984">
        <f t="shared" si="5"/>
        <v>0</v>
      </c>
    </row>
    <row r="8" spans="1:37" ht="14.95" thickBot="1" x14ac:dyDescent="0.3">
      <c r="A8" s="124" t="s">
        <v>39</v>
      </c>
      <c r="B8" s="955"/>
      <c r="C8" s="124" t="s">
        <v>39</v>
      </c>
      <c r="D8" s="956"/>
      <c r="E8" s="124" t="s">
        <v>39</v>
      </c>
      <c r="F8" s="957"/>
      <c r="G8" s="124" t="s">
        <v>39</v>
      </c>
      <c r="H8" s="958"/>
      <c r="J8" s="31" t="s">
        <v>997</v>
      </c>
      <c r="K8" s="635"/>
      <c r="L8" s="636"/>
      <c r="M8" s="637"/>
      <c r="N8" s="638"/>
      <c r="O8" s="639">
        <f t="shared" si="0"/>
        <v>0</v>
      </c>
      <c r="P8" s="640"/>
      <c r="Q8" s="641"/>
      <c r="R8" s="642"/>
      <c r="S8" s="643"/>
      <c r="T8" s="644">
        <f t="shared" si="1"/>
        <v>0</v>
      </c>
      <c r="U8" s="311">
        <f t="shared" si="2"/>
        <v>0</v>
      </c>
      <c r="W8" s="123" t="s">
        <v>913</v>
      </c>
      <c r="X8" s="635"/>
      <c r="Y8" s="636"/>
      <c r="Z8" s="638"/>
      <c r="AA8" s="637"/>
      <c r="AB8" s="981">
        <f t="shared" si="4"/>
        <v>0</v>
      </c>
      <c r="AC8" s="640"/>
      <c r="AD8" s="641"/>
      <c r="AE8" s="642"/>
      <c r="AF8" s="642"/>
      <c r="AG8" s="643"/>
      <c r="AH8" s="984">
        <f t="shared" si="3"/>
        <v>0</v>
      </c>
      <c r="AI8" s="984">
        <f t="shared" si="5"/>
        <v>0</v>
      </c>
    </row>
    <row r="9" spans="1:37" ht="14.95" thickBot="1" x14ac:dyDescent="0.3">
      <c r="A9" s="1027" t="s">
        <v>33</v>
      </c>
      <c r="B9" s="955"/>
      <c r="C9" s="1027" t="s">
        <v>33</v>
      </c>
      <c r="D9" s="956"/>
      <c r="E9" s="1027" t="s">
        <v>33</v>
      </c>
      <c r="F9" s="957"/>
      <c r="G9" s="1027" t="s">
        <v>33</v>
      </c>
      <c r="H9" s="958"/>
      <c r="J9" s="1016" t="s">
        <v>998</v>
      </c>
      <c r="K9" s="635"/>
      <c r="L9" s="636"/>
      <c r="M9" s="637"/>
      <c r="N9" s="638"/>
      <c r="O9" s="639">
        <f t="shared" si="0"/>
        <v>0</v>
      </c>
      <c r="P9" s="640"/>
      <c r="Q9" s="641"/>
      <c r="R9" s="642"/>
      <c r="S9" s="643"/>
      <c r="T9" s="644">
        <f t="shared" si="1"/>
        <v>0</v>
      </c>
      <c r="U9" s="311">
        <f t="shared" si="2"/>
        <v>0</v>
      </c>
      <c r="W9" s="124" t="s">
        <v>997</v>
      </c>
      <c r="X9" s="635"/>
      <c r="Y9" s="636"/>
      <c r="Z9" s="638"/>
      <c r="AA9" s="637"/>
      <c r="AB9" s="981">
        <f t="shared" si="4"/>
        <v>0</v>
      </c>
      <c r="AC9" s="640"/>
      <c r="AD9" s="641"/>
      <c r="AE9" s="642"/>
      <c r="AF9" s="642"/>
      <c r="AG9" s="643"/>
      <c r="AH9" s="984">
        <f t="shared" si="3"/>
        <v>0</v>
      </c>
      <c r="AI9" s="984">
        <f t="shared" si="5"/>
        <v>0</v>
      </c>
    </row>
    <row r="10" spans="1:37" ht="14.95" thickBot="1" x14ac:dyDescent="0.3">
      <c r="A10" s="732" t="s">
        <v>36</v>
      </c>
      <c r="B10" s="955"/>
      <c r="C10" s="732" t="s">
        <v>36</v>
      </c>
      <c r="D10" s="956"/>
      <c r="E10" s="732" t="s">
        <v>36</v>
      </c>
      <c r="F10" s="957"/>
      <c r="G10" s="732" t="s">
        <v>36</v>
      </c>
      <c r="H10" s="958"/>
      <c r="J10" s="604" t="s">
        <v>565</v>
      </c>
      <c r="K10" s="635"/>
      <c r="L10" s="636"/>
      <c r="M10" s="637"/>
      <c r="N10" s="638"/>
      <c r="O10" s="639">
        <f t="shared" si="0"/>
        <v>0</v>
      </c>
      <c r="P10" s="640"/>
      <c r="Q10" s="641"/>
      <c r="R10" s="642"/>
      <c r="S10" s="643"/>
      <c r="T10" s="644">
        <f t="shared" si="1"/>
        <v>0</v>
      </c>
      <c r="U10" s="311">
        <f t="shared" si="2"/>
        <v>0</v>
      </c>
      <c r="W10" s="1027" t="s">
        <v>998</v>
      </c>
      <c r="X10" s="635"/>
      <c r="Y10" s="636"/>
      <c r="Z10" s="638"/>
      <c r="AA10" s="637"/>
      <c r="AB10" s="981">
        <f t="shared" si="4"/>
        <v>0</v>
      </c>
      <c r="AC10" s="640"/>
      <c r="AD10" s="641"/>
      <c r="AE10" s="642"/>
      <c r="AF10" s="642"/>
      <c r="AG10" s="643"/>
      <c r="AH10" s="984">
        <f t="shared" si="3"/>
        <v>0</v>
      </c>
      <c r="AI10" s="984">
        <f t="shared" si="5"/>
        <v>0</v>
      </c>
    </row>
    <row r="11" spans="1:37" ht="14.95" thickBot="1" x14ac:dyDescent="0.3">
      <c r="A11" s="290" t="s">
        <v>98</v>
      </c>
      <c r="B11" s="955"/>
      <c r="C11" s="290" t="s">
        <v>98</v>
      </c>
      <c r="D11" s="956"/>
      <c r="E11" s="290" t="s">
        <v>98</v>
      </c>
      <c r="F11" s="957"/>
      <c r="G11" s="290" t="s">
        <v>98</v>
      </c>
      <c r="H11" s="958"/>
      <c r="J11" s="344" t="s">
        <v>269</v>
      </c>
      <c r="K11" s="635"/>
      <c r="L11" s="636"/>
      <c r="M11" s="637"/>
      <c r="N11" s="638"/>
      <c r="O11" s="639">
        <f t="shared" si="0"/>
        <v>0</v>
      </c>
      <c r="P11" s="640"/>
      <c r="Q11" s="641"/>
      <c r="R11" s="642"/>
      <c r="S11" s="643"/>
      <c r="T11" s="644">
        <f t="shared" si="1"/>
        <v>0</v>
      </c>
      <c r="U11" s="311">
        <f t="shared" si="2"/>
        <v>0</v>
      </c>
      <c r="W11" s="732" t="s">
        <v>565</v>
      </c>
      <c r="X11" s="635"/>
      <c r="Y11" s="636"/>
      <c r="Z11" s="638"/>
      <c r="AA11" s="637"/>
      <c r="AB11" s="981">
        <f t="shared" si="4"/>
        <v>0</v>
      </c>
      <c r="AC11" s="640"/>
      <c r="AD11" s="641"/>
      <c r="AE11" s="642"/>
      <c r="AF11" s="642"/>
      <c r="AG11" s="643"/>
      <c r="AH11" s="984">
        <f t="shared" si="3"/>
        <v>0</v>
      </c>
      <c r="AI11" s="984">
        <f t="shared" si="5"/>
        <v>0</v>
      </c>
    </row>
    <row r="12" spans="1:37" ht="14.95" thickBot="1" x14ac:dyDescent="0.3">
      <c r="A12" s="123" t="s">
        <v>35</v>
      </c>
      <c r="B12" s="955"/>
      <c r="C12" s="123" t="s">
        <v>35</v>
      </c>
      <c r="D12" s="956"/>
      <c r="E12" s="123" t="s">
        <v>35</v>
      </c>
      <c r="F12" s="957"/>
      <c r="G12" s="123" t="s">
        <v>35</v>
      </c>
      <c r="H12" s="958"/>
      <c r="J12" s="81" t="s">
        <v>948</v>
      </c>
      <c r="K12" s="635"/>
      <c r="L12" s="636"/>
      <c r="M12" s="637"/>
      <c r="N12" s="638"/>
      <c r="O12" s="639">
        <f t="shared" si="0"/>
        <v>0</v>
      </c>
      <c r="P12" s="640"/>
      <c r="Q12" s="641"/>
      <c r="R12" s="642"/>
      <c r="S12" s="643"/>
      <c r="T12" s="644">
        <f t="shared" si="1"/>
        <v>0</v>
      </c>
      <c r="U12" s="311">
        <f t="shared" si="2"/>
        <v>0</v>
      </c>
      <c r="W12" s="290" t="s">
        <v>269</v>
      </c>
      <c r="X12" s="635"/>
      <c r="Y12" s="636"/>
      <c r="Z12" s="638"/>
      <c r="AA12" s="637"/>
      <c r="AB12" s="981">
        <f t="shared" ref="AB12:AB13" si="6">SUM(W12:AA12)</f>
        <v>0</v>
      </c>
      <c r="AC12" s="640"/>
      <c r="AD12" s="641"/>
      <c r="AE12" s="642"/>
      <c r="AF12" s="642"/>
      <c r="AG12" s="643"/>
      <c r="AH12" s="984">
        <f t="shared" ref="AH12:AH13" si="7">SUM(AC12:AG12)</f>
        <v>0</v>
      </c>
      <c r="AI12" s="984">
        <f t="shared" ref="AI12:AI13" si="8">SUM(AB12:AF12)</f>
        <v>0</v>
      </c>
    </row>
    <row r="13" spans="1:37" ht="14.95" thickBot="1" x14ac:dyDescent="0.3">
      <c r="A13" s="401" t="s">
        <v>97</v>
      </c>
      <c r="B13" s="955"/>
      <c r="C13" s="401" t="s">
        <v>97</v>
      </c>
      <c r="D13" s="956"/>
      <c r="E13" s="401" t="s">
        <v>97</v>
      </c>
      <c r="F13" s="957"/>
      <c r="G13" s="401" t="s">
        <v>97</v>
      </c>
      <c r="H13" s="958"/>
      <c r="J13" s="44" t="s">
        <v>270</v>
      </c>
      <c r="K13" s="635"/>
      <c r="L13" s="636"/>
      <c r="M13" s="637"/>
      <c r="N13" s="638"/>
      <c r="O13" s="639">
        <f t="shared" ref="O13:O14" si="9">SUM(K13:N13)</f>
        <v>0</v>
      </c>
      <c r="P13" s="640"/>
      <c r="Q13" s="641"/>
      <c r="R13" s="642"/>
      <c r="S13" s="643"/>
      <c r="T13" s="644">
        <f t="shared" ref="T13:T14" si="10">SUM(P13:S13)</f>
        <v>0</v>
      </c>
      <c r="U13" s="311">
        <f t="shared" ref="U13:U14" si="11">SUM(O13+T13)</f>
        <v>0</v>
      </c>
      <c r="W13" s="123" t="s">
        <v>948</v>
      </c>
      <c r="X13" s="635"/>
      <c r="Y13" s="636"/>
      <c r="Z13" s="638"/>
      <c r="AA13" s="637"/>
      <c r="AB13" s="981">
        <f t="shared" si="6"/>
        <v>0</v>
      </c>
      <c r="AC13" s="640"/>
      <c r="AD13" s="641"/>
      <c r="AE13" s="642"/>
      <c r="AF13" s="642"/>
      <c r="AG13" s="643"/>
      <c r="AH13" s="984">
        <f t="shared" si="7"/>
        <v>0</v>
      </c>
      <c r="AI13" s="984">
        <f t="shared" si="8"/>
        <v>0</v>
      </c>
    </row>
    <row r="14" spans="1:37" ht="14.95" thickBot="1" x14ac:dyDescent="0.3">
      <c r="A14" s="122" t="s">
        <v>32</v>
      </c>
      <c r="B14" s="955"/>
      <c r="C14" s="122" t="s">
        <v>32</v>
      </c>
      <c r="D14" s="956"/>
      <c r="E14" s="122" t="s">
        <v>32</v>
      </c>
      <c r="F14" s="957"/>
      <c r="G14" s="122" t="s">
        <v>32</v>
      </c>
      <c r="H14" s="958"/>
      <c r="J14" s="8" t="s">
        <v>999</v>
      </c>
      <c r="K14" s="635"/>
      <c r="L14" s="636"/>
      <c r="M14" s="637"/>
      <c r="N14" s="638"/>
      <c r="O14" s="639">
        <f t="shared" si="9"/>
        <v>0</v>
      </c>
      <c r="P14" s="640"/>
      <c r="Q14" s="641"/>
      <c r="R14" s="642"/>
      <c r="S14" s="643"/>
      <c r="T14" s="669">
        <f t="shared" si="10"/>
        <v>0</v>
      </c>
      <c r="U14" s="509">
        <f t="shared" si="11"/>
        <v>0</v>
      </c>
      <c r="W14" s="401" t="s">
        <v>270</v>
      </c>
      <c r="X14" s="635"/>
      <c r="Y14" s="636"/>
      <c r="Z14" s="638"/>
      <c r="AA14" s="637"/>
      <c r="AB14" s="981">
        <f t="shared" si="4"/>
        <v>0</v>
      </c>
      <c r="AC14" s="640"/>
      <c r="AD14" s="641"/>
      <c r="AE14" s="642"/>
      <c r="AF14" s="642"/>
      <c r="AG14" s="643"/>
      <c r="AH14" s="984">
        <f t="shared" si="3"/>
        <v>0</v>
      </c>
      <c r="AI14" s="984">
        <f t="shared" si="5"/>
        <v>0</v>
      </c>
      <c r="AK14" s="13"/>
    </row>
    <row r="15" spans="1:37" ht="14.95" thickBot="1" x14ac:dyDescent="0.3">
      <c r="A15" s="650" t="s">
        <v>995</v>
      </c>
      <c r="B15" s="138">
        <f>SUM(B3:B14)</f>
        <v>0</v>
      </c>
      <c r="C15" s="138"/>
      <c r="D15" s="138">
        <f>SUM(D3:D14)</f>
        <v>0</v>
      </c>
      <c r="E15" s="138"/>
      <c r="F15" s="138">
        <f>SUM(F3:F14)</f>
        <v>0</v>
      </c>
      <c r="G15" s="138"/>
      <c r="H15" s="138">
        <f>SUM(H3:H14)</f>
        <v>0</v>
      </c>
      <c r="U15" s="239">
        <f>SUM(U3:U12)</f>
        <v>0</v>
      </c>
      <c r="W15" s="122" t="s">
        <v>999</v>
      </c>
      <c r="X15" s="635"/>
      <c r="Y15" s="636"/>
      <c r="Z15" s="638"/>
      <c r="AA15" s="637"/>
      <c r="AB15" s="981">
        <f t="shared" si="4"/>
        <v>0</v>
      </c>
      <c r="AC15" s="640"/>
      <c r="AD15" s="641"/>
      <c r="AE15" s="642"/>
      <c r="AF15" s="642"/>
      <c r="AG15" s="643"/>
      <c r="AH15" s="984">
        <f t="shared" si="3"/>
        <v>0</v>
      </c>
      <c r="AI15" s="984">
        <f t="shared" si="5"/>
        <v>0</v>
      </c>
    </row>
    <row r="16" spans="1:37" ht="14.95" thickBot="1" x14ac:dyDescent="0.3">
      <c r="A16" s="1046" t="s">
        <v>58</v>
      </c>
      <c r="B16" s="1046"/>
      <c r="C16" s="1046"/>
      <c r="D16" s="1047"/>
      <c r="E16" s="1047"/>
      <c r="F16" s="1047"/>
      <c r="G16" s="939"/>
      <c r="H16" s="939"/>
      <c r="J16" s="985" t="s">
        <v>306</v>
      </c>
      <c r="K16" s="986"/>
      <c r="L16" s="986"/>
      <c r="M16" s="986"/>
      <c r="N16" s="986"/>
      <c r="O16" s="986"/>
      <c r="P16" s="987"/>
      <c r="Q16" s="987"/>
      <c r="R16" s="987"/>
      <c r="S16" s="987"/>
      <c r="T16" s="988"/>
      <c r="U16" s="376"/>
      <c r="AG16">
        <f>SUM(AG4:AG15)</f>
        <v>0</v>
      </c>
      <c r="AI16" s="905">
        <f>SUM(AI4:AI15)</f>
        <v>0</v>
      </c>
    </row>
    <row r="17" spans="1:35" ht="14.95" thickBot="1" x14ac:dyDescent="0.3">
      <c r="A17" s="970" t="s">
        <v>990</v>
      </c>
      <c r="B17" s="933" t="s">
        <v>904</v>
      </c>
      <c r="C17" s="962"/>
      <c r="D17" s="933" t="s">
        <v>21</v>
      </c>
      <c r="E17" s="962"/>
      <c r="F17" s="933" t="s">
        <v>155</v>
      </c>
      <c r="G17" s="963"/>
      <c r="H17" s="933" t="s">
        <v>991</v>
      </c>
      <c r="I17" s="934" t="s">
        <v>197</v>
      </c>
      <c r="J17" s="977"/>
      <c r="K17" s="627" t="s">
        <v>220</v>
      </c>
      <c r="L17" s="634" t="s">
        <v>293</v>
      </c>
      <c r="M17" s="630" t="s">
        <v>294</v>
      </c>
      <c r="N17" s="630" t="s">
        <v>295</v>
      </c>
      <c r="O17" s="631" t="s">
        <v>296</v>
      </c>
      <c r="P17" s="632" t="s">
        <v>297</v>
      </c>
      <c r="Q17" s="632" t="s">
        <v>298</v>
      </c>
      <c r="R17" s="633" t="s">
        <v>299</v>
      </c>
      <c r="S17" s="633" t="s">
        <v>300</v>
      </c>
      <c r="T17" s="989" t="s">
        <v>301</v>
      </c>
      <c r="U17" s="380" t="s">
        <v>302</v>
      </c>
      <c r="W17" s="905" t="s">
        <v>307</v>
      </c>
      <c r="X17" s="932"/>
      <c r="Y17" s="932"/>
      <c r="Z17" s="932"/>
      <c r="AA17" s="971"/>
      <c r="AB17" s="376"/>
      <c r="AC17" s="376"/>
      <c r="AD17" s="376"/>
      <c r="AE17" s="376"/>
      <c r="AF17" s="376"/>
      <c r="AG17" s="376"/>
      <c r="AH17" s="376"/>
      <c r="AI17" s="376"/>
    </row>
    <row r="18" spans="1:35" ht="14.95" thickBot="1" x14ac:dyDescent="0.3">
      <c r="A18" s="933" t="s">
        <v>992</v>
      </c>
      <c r="B18" s="313"/>
      <c r="C18" s="14"/>
      <c r="D18" s="313"/>
      <c r="E18" s="14"/>
      <c r="F18" s="14"/>
      <c r="G18" s="14"/>
      <c r="H18" s="14"/>
      <c r="I18" s="907"/>
      <c r="J18" s="53" t="s">
        <v>271</v>
      </c>
      <c r="K18" s="635"/>
      <c r="L18" s="636"/>
      <c r="M18" s="638"/>
      <c r="N18" s="637"/>
      <c r="O18" s="639">
        <f t="shared" ref="O18:O29" si="12">SUM(K18:N18)</f>
        <v>0</v>
      </c>
      <c r="P18" s="640"/>
      <c r="Q18" s="641"/>
      <c r="R18" s="642"/>
      <c r="S18" s="643"/>
      <c r="T18" s="749">
        <f t="shared" ref="T18:T29" si="13">SUM(P18:S18)</f>
        <v>0</v>
      </c>
      <c r="U18" s="239">
        <f>SUM(O18+T18)</f>
        <v>0</v>
      </c>
      <c r="W18" s="977"/>
      <c r="X18" s="627" t="s">
        <v>220</v>
      </c>
      <c r="Y18" s="960" t="s">
        <v>293</v>
      </c>
      <c r="Z18" s="961" t="s">
        <v>294</v>
      </c>
      <c r="AA18" s="961" t="s">
        <v>295</v>
      </c>
      <c r="AB18" s="229" t="s">
        <v>296</v>
      </c>
      <c r="AC18" s="937" t="s">
        <v>297</v>
      </c>
      <c r="AD18" s="937" t="s">
        <v>298</v>
      </c>
      <c r="AE18" s="938" t="s">
        <v>299</v>
      </c>
      <c r="AF18" s="1051" t="s">
        <v>300</v>
      </c>
      <c r="AG18" s="1052"/>
      <c r="AH18" s="982" t="s">
        <v>301</v>
      </c>
      <c r="AI18" s="983" t="s">
        <v>21</v>
      </c>
    </row>
    <row r="19" spans="1:35" ht="14.95" thickBot="1" x14ac:dyDescent="0.3">
      <c r="A19" s="905">
        <v>2</v>
      </c>
      <c r="B19" s="14"/>
      <c r="C19" s="14"/>
      <c r="D19" s="14"/>
      <c r="E19" s="14"/>
      <c r="F19" s="14"/>
      <c r="G19" s="14"/>
      <c r="H19" s="14"/>
      <c r="I19" s="907"/>
      <c r="J19" s="849" t="s">
        <v>272</v>
      </c>
      <c r="K19" s="635"/>
      <c r="L19" s="636"/>
      <c r="M19" s="638"/>
      <c r="N19" s="637"/>
      <c r="O19" s="639">
        <f t="shared" si="12"/>
        <v>0</v>
      </c>
      <c r="P19" s="640"/>
      <c r="Q19" s="641"/>
      <c r="R19" s="642"/>
      <c r="S19" s="643"/>
      <c r="T19" s="749">
        <f t="shared" si="13"/>
        <v>0</v>
      </c>
      <c r="U19" s="239">
        <f t="shared" ref="U19:U29" si="14">SUM(O19+T19)</f>
        <v>0</v>
      </c>
      <c r="W19" s="978"/>
      <c r="X19" s="646" t="s">
        <v>304</v>
      </c>
      <c r="Y19" s="646" t="s">
        <v>304</v>
      </c>
      <c r="Z19" s="647" t="s">
        <v>304</v>
      </c>
      <c r="AA19" s="647" t="s">
        <v>304</v>
      </c>
      <c r="AB19" s="291" t="s">
        <v>58</v>
      </c>
      <c r="AC19" s="648" t="s">
        <v>304</v>
      </c>
      <c r="AD19" s="648" t="s">
        <v>304</v>
      </c>
      <c r="AE19" s="649" t="s">
        <v>304</v>
      </c>
      <c r="AF19" s="649" t="s">
        <v>304</v>
      </c>
      <c r="AG19" s="649" t="s">
        <v>305</v>
      </c>
      <c r="AH19" s="983"/>
      <c r="AI19" s="983"/>
    </row>
    <row r="20" spans="1:35" ht="14.95" thickBot="1" x14ac:dyDescent="0.3">
      <c r="A20" s="905">
        <v>3</v>
      </c>
      <c r="B20" s="313"/>
      <c r="C20" s="313"/>
      <c r="D20" s="313"/>
      <c r="E20" s="313"/>
      <c r="F20" s="313"/>
      <c r="G20" s="313"/>
      <c r="H20" s="313"/>
      <c r="I20" s="908"/>
      <c r="J20" s="153" t="s">
        <v>924</v>
      </c>
      <c r="K20" s="635"/>
      <c r="L20" s="636"/>
      <c r="M20" s="638"/>
      <c r="N20" s="637"/>
      <c r="O20" s="639">
        <f t="shared" si="12"/>
        <v>0</v>
      </c>
      <c r="P20" s="640"/>
      <c r="Q20" s="641"/>
      <c r="R20" s="642"/>
      <c r="S20" s="643"/>
      <c r="T20" s="749">
        <f t="shared" si="13"/>
        <v>0</v>
      </c>
      <c r="U20" s="239">
        <f t="shared" si="14"/>
        <v>0</v>
      </c>
      <c r="W20" s="400" t="s">
        <v>271</v>
      </c>
      <c r="X20" s="635"/>
      <c r="Y20" s="636"/>
      <c r="Z20" s="638"/>
      <c r="AA20" s="637"/>
      <c r="AB20" s="639">
        <f t="shared" ref="AB20:AB31" si="15">SUM(W20:AA20)</f>
        <v>0</v>
      </c>
      <c r="AC20" s="640"/>
      <c r="AD20" s="641"/>
      <c r="AE20" s="642"/>
      <c r="AF20" s="642"/>
      <c r="AG20" s="643"/>
      <c r="AH20" s="984">
        <f t="shared" ref="AH20:AH31" si="16">SUM(AC20:AG20)</f>
        <v>0</v>
      </c>
      <c r="AI20" s="984">
        <f t="shared" ref="AI20:AI31" si="17">SUM(AB20:AF20)</f>
        <v>0</v>
      </c>
    </row>
    <row r="21" spans="1:35" ht="14.95" thickBot="1" x14ac:dyDescent="0.3">
      <c r="A21" s="905">
        <v>4</v>
      </c>
      <c r="B21" s="313"/>
      <c r="C21" s="313"/>
      <c r="D21" s="313"/>
      <c r="E21" s="313"/>
      <c r="F21" s="313"/>
      <c r="G21" s="313"/>
      <c r="H21" s="14"/>
      <c r="I21" s="908"/>
      <c r="J21" s="592" t="s">
        <v>564</v>
      </c>
      <c r="K21" s="635"/>
      <c r="L21" s="636"/>
      <c r="M21" s="638"/>
      <c r="N21" s="637"/>
      <c r="O21" s="639">
        <f t="shared" si="12"/>
        <v>0</v>
      </c>
      <c r="P21" s="640"/>
      <c r="Q21" s="641"/>
      <c r="R21" s="642"/>
      <c r="S21" s="643"/>
      <c r="T21" s="749">
        <f t="shared" si="13"/>
        <v>0</v>
      </c>
      <c r="U21" s="239">
        <f t="shared" si="14"/>
        <v>0</v>
      </c>
      <c r="W21" s="850" t="s">
        <v>272</v>
      </c>
      <c r="X21" s="635"/>
      <c r="Y21" s="636"/>
      <c r="Z21" s="638"/>
      <c r="AA21" s="637"/>
      <c r="AB21" s="639">
        <f t="shared" si="15"/>
        <v>0</v>
      </c>
      <c r="AC21" s="640"/>
      <c r="AD21" s="641"/>
      <c r="AE21" s="642"/>
      <c r="AF21" s="642"/>
      <c r="AG21" s="643"/>
      <c r="AH21" s="984">
        <f t="shared" si="16"/>
        <v>0</v>
      </c>
      <c r="AI21" s="984">
        <f t="shared" si="17"/>
        <v>0</v>
      </c>
    </row>
    <row r="22" spans="1:35" ht="14.95" thickBot="1" x14ac:dyDescent="0.3">
      <c r="A22" s="905">
        <v>5</v>
      </c>
      <c r="B22" s="313"/>
      <c r="C22" s="313"/>
      <c r="D22" s="313"/>
      <c r="E22" s="313"/>
      <c r="F22" s="313"/>
      <c r="G22" s="313"/>
      <c r="H22" s="313"/>
      <c r="I22" s="908"/>
      <c r="J22" s="81" t="s">
        <v>913</v>
      </c>
      <c r="K22" s="635"/>
      <c r="L22" s="636"/>
      <c r="M22" s="638"/>
      <c r="N22" s="637"/>
      <c r="O22" s="639">
        <f t="shared" si="12"/>
        <v>0</v>
      </c>
      <c r="P22" s="640"/>
      <c r="Q22" s="641"/>
      <c r="R22" s="642"/>
      <c r="S22" s="643"/>
      <c r="T22" s="749">
        <f t="shared" si="13"/>
        <v>0</v>
      </c>
      <c r="U22" s="239">
        <f t="shared" si="14"/>
        <v>0</v>
      </c>
      <c r="W22" s="152" t="s">
        <v>924</v>
      </c>
      <c r="X22" s="635"/>
      <c r="Y22" s="636"/>
      <c r="Z22" s="638"/>
      <c r="AA22" s="637"/>
      <c r="AB22" s="639">
        <f t="shared" si="15"/>
        <v>0</v>
      </c>
      <c r="AC22" s="640"/>
      <c r="AD22" s="641"/>
      <c r="AE22" s="642"/>
      <c r="AF22" s="642"/>
      <c r="AG22" s="643"/>
      <c r="AH22" s="984">
        <f t="shared" si="16"/>
        <v>0</v>
      </c>
      <c r="AI22" s="984">
        <f t="shared" si="17"/>
        <v>0</v>
      </c>
    </row>
    <row r="23" spans="1:35" ht="14.95" thickBot="1" x14ac:dyDescent="0.3">
      <c r="A23" s="905">
        <v>6</v>
      </c>
      <c r="B23" s="313"/>
      <c r="C23" s="313"/>
      <c r="D23" s="313"/>
      <c r="E23" s="313"/>
      <c r="F23" s="313"/>
      <c r="G23" s="313"/>
      <c r="H23" s="313"/>
      <c r="I23" s="908"/>
      <c r="J23" s="31" t="s">
        <v>997</v>
      </c>
      <c r="K23" s="635"/>
      <c r="L23" s="636"/>
      <c r="M23" s="638"/>
      <c r="N23" s="637"/>
      <c r="O23" s="639">
        <f t="shared" si="12"/>
        <v>0</v>
      </c>
      <c r="P23" s="640"/>
      <c r="Q23" s="641"/>
      <c r="R23" s="642"/>
      <c r="S23" s="643"/>
      <c r="T23" s="749">
        <f t="shared" si="13"/>
        <v>0</v>
      </c>
      <c r="U23" s="239">
        <f t="shared" si="14"/>
        <v>0</v>
      </c>
      <c r="W23" s="731" t="s">
        <v>564</v>
      </c>
      <c r="X23" s="635"/>
      <c r="Y23" s="636"/>
      <c r="Z23" s="638"/>
      <c r="AA23" s="637"/>
      <c r="AB23" s="639">
        <f t="shared" si="15"/>
        <v>0</v>
      </c>
      <c r="AC23" s="640"/>
      <c r="AD23" s="641"/>
      <c r="AE23" s="642"/>
      <c r="AF23" s="642"/>
      <c r="AG23" s="643"/>
      <c r="AH23" s="984">
        <f t="shared" si="16"/>
        <v>0</v>
      </c>
      <c r="AI23" s="984">
        <f t="shared" si="17"/>
        <v>0</v>
      </c>
    </row>
    <row r="24" spans="1:35" ht="14.95" thickBot="1" x14ac:dyDescent="0.3">
      <c r="A24" s="933" t="s">
        <v>996</v>
      </c>
      <c r="B24" s="964"/>
      <c r="C24" s="964"/>
      <c r="D24" s="964" t="s">
        <v>157</v>
      </c>
      <c r="E24" s="964"/>
      <c r="F24" s="964"/>
      <c r="G24" s="964"/>
      <c r="H24" s="964" t="s">
        <v>157</v>
      </c>
      <c r="I24" s="965"/>
      <c r="J24" s="1016" t="s">
        <v>998</v>
      </c>
      <c r="K24" s="635"/>
      <c r="L24" s="636"/>
      <c r="M24" s="638"/>
      <c r="N24" s="637"/>
      <c r="O24" s="639">
        <f t="shared" si="12"/>
        <v>0</v>
      </c>
      <c r="P24" s="640"/>
      <c r="Q24" s="641"/>
      <c r="R24" s="642"/>
      <c r="S24" s="643"/>
      <c r="T24" s="749">
        <f t="shared" si="13"/>
        <v>0</v>
      </c>
      <c r="U24" s="239">
        <f t="shared" si="14"/>
        <v>0</v>
      </c>
      <c r="W24" s="123" t="s">
        <v>913</v>
      </c>
      <c r="X24" s="635"/>
      <c r="Y24" s="636"/>
      <c r="Z24" s="638"/>
      <c r="AA24" s="637"/>
      <c r="AB24" s="639">
        <f t="shared" si="15"/>
        <v>0</v>
      </c>
      <c r="AC24" s="640"/>
      <c r="AD24" s="641"/>
      <c r="AE24" s="642"/>
      <c r="AF24" s="642"/>
      <c r="AG24" s="643"/>
      <c r="AH24" s="984">
        <f t="shared" si="16"/>
        <v>0</v>
      </c>
      <c r="AI24" s="984">
        <f t="shared" si="17"/>
        <v>0</v>
      </c>
    </row>
    <row r="25" spans="1:35" ht="14.95" thickBot="1" x14ac:dyDescent="0.3">
      <c r="A25" s="966" t="s">
        <v>58</v>
      </c>
      <c r="B25" s="963">
        <f>SUM(B18:B24)</f>
        <v>0</v>
      </c>
      <c r="C25" s="963"/>
      <c r="D25" s="963">
        <f>SUM(D18:D23)</f>
        <v>0</v>
      </c>
      <c r="E25" s="963"/>
      <c r="F25" s="963">
        <f>SUM(F18:F24)</f>
        <v>0</v>
      </c>
      <c r="G25" s="963"/>
      <c r="H25" s="963">
        <f>SUM(H18:H23)</f>
        <v>0</v>
      </c>
      <c r="I25" s="906">
        <f>SUM(I18:I24)</f>
        <v>0</v>
      </c>
      <c r="J25" s="604" t="s">
        <v>565</v>
      </c>
      <c r="K25" s="635"/>
      <c r="L25" s="636"/>
      <c r="M25" s="638"/>
      <c r="N25" s="637"/>
      <c r="O25" s="639">
        <f t="shared" si="12"/>
        <v>0</v>
      </c>
      <c r="P25" s="640"/>
      <c r="Q25" s="641"/>
      <c r="R25" s="642"/>
      <c r="S25" s="643"/>
      <c r="T25" s="749">
        <f t="shared" si="13"/>
        <v>0</v>
      </c>
      <c r="U25" s="239">
        <f t="shared" si="14"/>
        <v>0</v>
      </c>
      <c r="W25" s="124" t="s">
        <v>997</v>
      </c>
      <c r="X25" s="635"/>
      <c r="Y25" s="636"/>
      <c r="Z25" s="638"/>
      <c r="AA25" s="637"/>
      <c r="AB25" s="639">
        <f t="shared" si="15"/>
        <v>0</v>
      </c>
      <c r="AC25" s="640"/>
      <c r="AD25" s="641"/>
      <c r="AE25" s="642"/>
      <c r="AF25" s="642"/>
      <c r="AG25" s="643"/>
      <c r="AH25" s="984">
        <f t="shared" si="16"/>
        <v>0</v>
      </c>
      <c r="AI25" s="984">
        <f t="shared" si="17"/>
        <v>0</v>
      </c>
    </row>
    <row r="26" spans="1:35" ht="14.95" thickBot="1" x14ac:dyDescent="0.3">
      <c r="A26" s="512" t="s">
        <v>28</v>
      </c>
      <c r="J26" s="344" t="s">
        <v>269</v>
      </c>
      <c r="K26" s="635"/>
      <c r="L26" s="636"/>
      <c r="M26" s="638"/>
      <c r="N26" s="637"/>
      <c r="O26" s="639">
        <f t="shared" ref="O26:O27" si="18">SUM(K26:N26)</f>
        <v>0</v>
      </c>
      <c r="P26" s="640"/>
      <c r="Q26" s="641"/>
      <c r="R26" s="642"/>
      <c r="S26" s="643"/>
      <c r="T26" s="749">
        <f t="shared" ref="T26:T27" si="19">SUM(P26:S26)</f>
        <v>0</v>
      </c>
      <c r="U26" s="239">
        <f t="shared" ref="U26:U27" si="20">SUM(O26+T26)</f>
        <v>0</v>
      </c>
      <c r="W26" s="1027" t="s">
        <v>998</v>
      </c>
      <c r="X26" s="635"/>
      <c r="Y26" s="636"/>
      <c r="Z26" s="638"/>
      <c r="AA26" s="637"/>
      <c r="AB26" s="639">
        <f t="shared" si="15"/>
        <v>0</v>
      </c>
      <c r="AC26" s="640"/>
      <c r="AD26" s="641"/>
      <c r="AE26" s="642"/>
      <c r="AF26" s="642"/>
      <c r="AG26" s="643"/>
      <c r="AH26" s="984">
        <f t="shared" si="16"/>
        <v>0</v>
      </c>
      <c r="AI26" s="984">
        <f t="shared" si="17"/>
        <v>0</v>
      </c>
    </row>
    <row r="27" spans="1:35" ht="14.95" thickBot="1" x14ac:dyDescent="0.3">
      <c r="J27" s="81" t="s">
        <v>948</v>
      </c>
      <c r="K27" s="635"/>
      <c r="L27" s="636"/>
      <c r="M27" s="638"/>
      <c r="N27" s="637"/>
      <c r="O27" s="639">
        <f t="shared" si="18"/>
        <v>0</v>
      </c>
      <c r="P27" s="640"/>
      <c r="Q27" s="641"/>
      <c r="R27" s="642"/>
      <c r="S27" s="643"/>
      <c r="T27" s="749">
        <f t="shared" si="19"/>
        <v>0</v>
      </c>
      <c r="U27" s="239">
        <f t="shared" si="20"/>
        <v>0</v>
      </c>
      <c r="W27" s="732" t="s">
        <v>565</v>
      </c>
      <c r="X27" s="635"/>
      <c r="Y27" s="636"/>
      <c r="Z27" s="638"/>
      <c r="AA27" s="637"/>
      <c r="AB27" s="639">
        <f t="shared" si="15"/>
        <v>0</v>
      </c>
      <c r="AC27" s="640"/>
      <c r="AD27" s="641"/>
      <c r="AE27" s="642"/>
      <c r="AF27" s="642"/>
      <c r="AG27" s="643"/>
      <c r="AH27" s="984">
        <f t="shared" si="16"/>
        <v>0</v>
      </c>
      <c r="AI27" s="984">
        <f t="shared" si="17"/>
        <v>0</v>
      </c>
    </row>
    <row r="28" spans="1:35" ht="14.95" thickBot="1" x14ac:dyDescent="0.3">
      <c r="J28" s="44" t="s">
        <v>270</v>
      </c>
      <c r="K28" s="635"/>
      <c r="L28" s="636"/>
      <c r="M28" s="638"/>
      <c r="N28" s="637"/>
      <c r="O28" s="639">
        <f t="shared" si="12"/>
        <v>0</v>
      </c>
      <c r="P28" s="640"/>
      <c r="Q28" s="641"/>
      <c r="R28" s="642"/>
      <c r="S28" s="643"/>
      <c r="T28" s="749">
        <f t="shared" si="13"/>
        <v>0</v>
      </c>
      <c r="U28" s="239">
        <f t="shared" si="14"/>
        <v>0</v>
      </c>
      <c r="W28" s="290" t="s">
        <v>269</v>
      </c>
      <c r="X28" s="635"/>
      <c r="Y28" s="636"/>
      <c r="Z28" s="638"/>
      <c r="AA28" s="637"/>
      <c r="AB28" s="639">
        <f t="shared" ref="AB28:AB29" si="21">SUM(W28:AA28)</f>
        <v>0</v>
      </c>
      <c r="AC28" s="640"/>
      <c r="AD28" s="641"/>
      <c r="AE28" s="642"/>
      <c r="AF28" s="642"/>
      <c r="AG28" s="643"/>
      <c r="AH28" s="984">
        <f t="shared" ref="AH28:AH29" si="22">SUM(AC28:AG28)</f>
        <v>0</v>
      </c>
      <c r="AI28" s="984">
        <f t="shared" ref="AI28:AI29" si="23">SUM(AB28:AF28)</f>
        <v>0</v>
      </c>
    </row>
    <row r="29" spans="1:35" ht="14.95" thickBot="1" x14ac:dyDescent="0.3">
      <c r="J29" s="8" t="s">
        <v>999</v>
      </c>
      <c r="K29" s="635"/>
      <c r="L29" s="636"/>
      <c r="M29" s="638"/>
      <c r="N29" s="637"/>
      <c r="O29" s="639">
        <f t="shared" si="12"/>
        <v>0</v>
      </c>
      <c r="P29" s="640"/>
      <c r="Q29" s="641"/>
      <c r="R29" s="642"/>
      <c r="S29" s="643"/>
      <c r="T29" s="664">
        <f t="shared" si="13"/>
        <v>0</v>
      </c>
      <c r="U29" s="239">
        <f t="shared" si="14"/>
        <v>0</v>
      </c>
      <c r="W29" s="123" t="s">
        <v>948</v>
      </c>
      <c r="X29" s="635"/>
      <c r="Y29" s="636"/>
      <c r="Z29" s="638"/>
      <c r="AA29" s="637"/>
      <c r="AB29" s="639">
        <f t="shared" si="21"/>
        <v>0</v>
      </c>
      <c r="AC29" s="640"/>
      <c r="AD29" s="641"/>
      <c r="AE29" s="642"/>
      <c r="AF29" s="642"/>
      <c r="AG29" s="643"/>
      <c r="AH29" s="984">
        <f t="shared" si="22"/>
        <v>0</v>
      </c>
      <c r="AI29" s="984">
        <f t="shared" si="23"/>
        <v>0</v>
      </c>
    </row>
    <row r="30" spans="1:35" ht="14.95" thickBot="1" x14ac:dyDescent="0.3">
      <c r="J30" s="650"/>
      <c r="U30" s="239">
        <f>SUM(U18:U29)</f>
        <v>0</v>
      </c>
      <c r="W30" s="401" t="s">
        <v>270</v>
      </c>
      <c r="X30" s="635"/>
      <c r="Y30" s="636"/>
      <c r="Z30" s="638"/>
      <c r="AA30" s="637"/>
      <c r="AB30" s="639">
        <f t="shared" si="15"/>
        <v>0</v>
      </c>
      <c r="AC30" s="640"/>
      <c r="AD30" s="641"/>
      <c r="AE30" s="642"/>
      <c r="AF30" s="642"/>
      <c r="AG30" s="643"/>
      <c r="AH30" s="984">
        <f t="shared" si="16"/>
        <v>0</v>
      </c>
      <c r="AI30" s="984">
        <f t="shared" si="17"/>
        <v>0</v>
      </c>
    </row>
    <row r="31" spans="1:35" ht="14.95" thickBot="1" x14ac:dyDescent="0.3">
      <c r="J31" s="905" t="s">
        <v>308</v>
      </c>
      <c r="K31" s="932"/>
      <c r="L31" s="932"/>
      <c r="M31" s="932"/>
      <c r="N31" s="932"/>
      <c r="O31" s="932"/>
      <c r="P31" s="932"/>
      <c r="Q31" s="971"/>
      <c r="R31" s="976"/>
      <c r="S31" s="971"/>
      <c r="T31" s="971"/>
      <c r="U31" s="376"/>
      <c r="W31" s="122" t="s">
        <v>999</v>
      </c>
      <c r="X31" s="635"/>
      <c r="Y31" s="636"/>
      <c r="Z31" s="638"/>
      <c r="AA31" s="637"/>
      <c r="AB31" s="639">
        <f t="shared" si="15"/>
        <v>0</v>
      </c>
      <c r="AC31" s="640"/>
      <c r="AD31" s="641"/>
      <c r="AE31" s="642"/>
      <c r="AF31" s="642"/>
      <c r="AG31" s="643"/>
      <c r="AH31" s="984">
        <f t="shared" si="16"/>
        <v>0</v>
      </c>
      <c r="AI31" s="984">
        <f t="shared" si="17"/>
        <v>0</v>
      </c>
    </row>
    <row r="32" spans="1:35" ht="14.95" thickBot="1" x14ac:dyDescent="0.3">
      <c r="J32" s="977"/>
      <c r="K32" s="651"/>
      <c r="L32" s="651" t="s">
        <v>298</v>
      </c>
      <c r="M32" s="652" t="s">
        <v>299</v>
      </c>
      <c r="N32" s="652" t="s">
        <v>300</v>
      </c>
      <c r="O32" s="347" t="s">
        <v>309</v>
      </c>
      <c r="P32" s="992"/>
      <c r="Q32" s="405"/>
      <c r="W32" s="1046"/>
      <c r="X32" s="1047"/>
      <c r="Y32" s="1047"/>
      <c r="Z32" s="1047"/>
      <c r="AA32" s="1047"/>
      <c r="AB32" s="1047"/>
      <c r="AC32" s="1047"/>
      <c r="AD32" s="1047"/>
      <c r="AE32" s="1047"/>
      <c r="AF32" s="1047"/>
      <c r="AG32">
        <f>SUM(AG20:AG31)</f>
        <v>0</v>
      </c>
      <c r="AI32" s="905">
        <f>SUM(AI20:AI31)</f>
        <v>0</v>
      </c>
    </row>
    <row r="33" spans="10:34" ht="14.95" thickBot="1" x14ac:dyDescent="0.3">
      <c r="J33" s="53" t="s">
        <v>271</v>
      </c>
      <c r="K33" s="635"/>
      <c r="L33" s="636"/>
      <c r="M33" s="638"/>
      <c r="N33" s="637"/>
      <c r="O33" s="639">
        <f>SUM(K33:N33)</f>
        <v>0</v>
      </c>
      <c r="P33" s="120"/>
      <c r="Q33" s="655"/>
      <c r="W33" s="905" t="s">
        <v>310</v>
      </c>
      <c r="X33" s="932"/>
      <c r="Y33" s="932"/>
      <c r="Z33" s="932"/>
      <c r="AA33" s="932"/>
      <c r="AB33" s="313"/>
      <c r="AC33" s="905" t="s">
        <v>993</v>
      </c>
      <c r="AD33" s="932"/>
      <c r="AE33" s="932"/>
      <c r="AF33" s="932"/>
      <c r="AG33" s="932"/>
      <c r="AH33" s="959"/>
    </row>
    <row r="34" spans="10:34" ht="14.95" thickBot="1" x14ac:dyDescent="0.3">
      <c r="J34" s="849" t="s">
        <v>272</v>
      </c>
      <c r="K34" s="635"/>
      <c r="L34" s="636"/>
      <c r="M34" s="638"/>
      <c r="N34" s="637"/>
      <c r="O34" s="639">
        <f t="shared" ref="O34:O44" si="24">SUM(K34:N34)</f>
        <v>0</v>
      </c>
      <c r="P34" s="120"/>
      <c r="Q34" s="655"/>
      <c r="W34" s="400" t="s">
        <v>271</v>
      </c>
      <c r="X34" s="979"/>
      <c r="AC34" s="204"/>
      <c r="AD34" s="204"/>
      <c r="AE34" s="14"/>
      <c r="AF34" s="14"/>
      <c r="AG34" s="14"/>
      <c r="AH34" s="14"/>
    </row>
    <row r="35" spans="10:34" ht="14.95" thickBot="1" x14ac:dyDescent="0.3">
      <c r="J35" s="153" t="s">
        <v>924</v>
      </c>
      <c r="K35" s="635"/>
      <c r="L35" s="636"/>
      <c r="M35" s="638"/>
      <c r="N35" s="637"/>
      <c r="O35" s="639">
        <f t="shared" si="24"/>
        <v>0</v>
      </c>
      <c r="P35" s="120"/>
      <c r="Q35" s="655"/>
      <c r="W35" s="850" t="s">
        <v>272</v>
      </c>
      <c r="X35" s="980"/>
      <c r="AC35" s="204"/>
      <c r="AD35" s="204"/>
      <c r="AE35" s="14"/>
      <c r="AF35" s="14"/>
      <c r="AG35" s="14"/>
      <c r="AH35" s="14"/>
    </row>
    <row r="36" spans="10:34" ht="14.95" thickBot="1" x14ac:dyDescent="0.3">
      <c r="J36" s="592" t="s">
        <v>564</v>
      </c>
      <c r="K36" s="635"/>
      <c r="L36" s="636"/>
      <c r="M36" s="638"/>
      <c r="N36" s="637"/>
      <c r="O36" s="639">
        <f t="shared" si="24"/>
        <v>0</v>
      </c>
      <c r="P36" s="120"/>
      <c r="Q36" s="655"/>
      <c r="W36" s="152" t="s">
        <v>924</v>
      </c>
      <c r="X36" s="980"/>
      <c r="AC36" s="204"/>
      <c r="AD36" s="204"/>
      <c r="AE36" s="14"/>
      <c r="AF36" s="14"/>
      <c r="AG36" s="14"/>
      <c r="AH36" s="14"/>
    </row>
    <row r="37" spans="10:34" ht="14.95" thickBot="1" x14ac:dyDescent="0.3">
      <c r="J37" s="81" t="s">
        <v>913</v>
      </c>
      <c r="K37" s="635"/>
      <c r="L37" s="636"/>
      <c r="M37" s="638"/>
      <c r="N37" s="637"/>
      <c r="O37" s="639">
        <f t="shared" si="24"/>
        <v>0</v>
      </c>
      <c r="P37" s="120"/>
      <c r="Q37" s="655"/>
      <c r="W37" s="731" t="s">
        <v>564</v>
      </c>
      <c r="X37" s="980"/>
      <c r="AC37" s="204"/>
      <c r="AD37" s="204"/>
      <c r="AE37" s="14"/>
      <c r="AF37" s="14"/>
      <c r="AG37" s="14"/>
      <c r="AH37" s="14"/>
    </row>
    <row r="38" spans="10:34" ht="14.95" thickBot="1" x14ac:dyDescent="0.3">
      <c r="J38" s="31" t="s">
        <v>997</v>
      </c>
      <c r="K38" s="635"/>
      <c r="L38" s="636"/>
      <c r="M38" s="638"/>
      <c r="N38" s="637"/>
      <c r="O38" s="639">
        <f t="shared" si="24"/>
        <v>0</v>
      </c>
      <c r="P38" s="120"/>
      <c r="Q38" s="655"/>
      <c r="W38" s="123" t="s">
        <v>913</v>
      </c>
      <c r="X38" s="980"/>
      <c r="AC38" s="204"/>
      <c r="AD38" s="204"/>
      <c r="AE38" s="14"/>
      <c r="AF38" s="14"/>
      <c r="AG38" s="14"/>
      <c r="AH38" s="14"/>
    </row>
    <row r="39" spans="10:34" ht="14.95" thickBot="1" x14ac:dyDescent="0.3">
      <c r="J39" s="1016" t="s">
        <v>998</v>
      </c>
      <c r="K39" s="635"/>
      <c r="L39" s="636"/>
      <c r="M39" s="638"/>
      <c r="N39" s="637"/>
      <c r="O39" s="639">
        <f t="shared" si="24"/>
        <v>0</v>
      </c>
      <c r="P39" s="120"/>
      <c r="Q39" s="655"/>
      <c r="W39" s="124" t="s">
        <v>997</v>
      </c>
      <c r="X39" s="980"/>
      <c r="AC39" s="204"/>
      <c r="AD39" s="204"/>
      <c r="AE39" s="14"/>
      <c r="AF39" s="14"/>
      <c r="AG39" s="14"/>
      <c r="AH39" s="14"/>
    </row>
    <row r="40" spans="10:34" ht="14.95" thickBot="1" x14ac:dyDescent="0.3">
      <c r="J40" s="604" t="s">
        <v>565</v>
      </c>
      <c r="K40" s="635"/>
      <c r="L40" s="636"/>
      <c r="M40" s="638"/>
      <c r="N40" s="637"/>
      <c r="O40" s="639">
        <f t="shared" si="24"/>
        <v>0</v>
      </c>
      <c r="P40" s="120"/>
      <c r="Q40" s="655"/>
      <c r="W40" s="1027" t="s">
        <v>998</v>
      </c>
      <c r="X40" s="980"/>
      <c r="AC40" s="204"/>
      <c r="AD40" s="204"/>
      <c r="AE40" s="14"/>
      <c r="AF40" s="14"/>
      <c r="AG40" s="14"/>
      <c r="AH40" s="14"/>
    </row>
    <row r="41" spans="10:34" ht="14.95" thickBot="1" x14ac:dyDescent="0.3">
      <c r="J41" s="344" t="s">
        <v>269</v>
      </c>
      <c r="K41" s="635"/>
      <c r="L41" s="636"/>
      <c r="M41" s="638"/>
      <c r="N41" s="637"/>
      <c r="O41" s="639">
        <f t="shared" si="24"/>
        <v>0</v>
      </c>
      <c r="P41" s="120"/>
      <c r="Q41" s="655"/>
      <c r="W41" s="732" t="s">
        <v>565</v>
      </c>
      <c r="X41" s="980"/>
      <c r="AC41" s="204"/>
      <c r="AD41" s="204"/>
      <c r="AE41" s="14"/>
      <c r="AF41" s="14"/>
      <c r="AG41" s="14"/>
      <c r="AH41" s="14"/>
    </row>
    <row r="42" spans="10:34" ht="14.95" thickBot="1" x14ac:dyDescent="0.3">
      <c r="J42" s="81" t="s">
        <v>948</v>
      </c>
      <c r="K42" s="635"/>
      <c r="L42" s="636"/>
      <c r="M42" s="638"/>
      <c r="N42" s="637"/>
      <c r="O42" s="639">
        <f t="shared" si="24"/>
        <v>0</v>
      </c>
      <c r="P42" s="120"/>
      <c r="Q42" s="655"/>
      <c r="W42" s="290" t="s">
        <v>269</v>
      </c>
      <c r="X42" s="980"/>
      <c r="AC42" s="204"/>
      <c r="AD42" s="204"/>
      <c r="AE42" s="14"/>
      <c r="AF42" s="14"/>
      <c r="AG42" s="14"/>
      <c r="AH42" s="14"/>
    </row>
    <row r="43" spans="10:34" ht="14.95" thickBot="1" x14ac:dyDescent="0.3">
      <c r="J43" s="44" t="s">
        <v>270</v>
      </c>
      <c r="K43" s="635"/>
      <c r="L43" s="636"/>
      <c r="M43" s="638"/>
      <c r="N43" s="637"/>
      <c r="O43" s="639">
        <f t="shared" si="24"/>
        <v>0</v>
      </c>
      <c r="P43" s="120"/>
      <c r="Q43" s="655"/>
      <c r="W43" s="123" t="s">
        <v>948</v>
      </c>
      <c r="X43" s="980"/>
      <c r="AC43" s="967"/>
      <c r="AD43" s="972"/>
      <c r="AE43" s="972" t="s">
        <v>861</v>
      </c>
      <c r="AF43" s="973"/>
      <c r="AG43" s="974"/>
      <c r="AH43" s="975"/>
    </row>
    <row r="44" spans="10:34" ht="14.95" thickBot="1" x14ac:dyDescent="0.3">
      <c r="J44" s="8" t="s">
        <v>999</v>
      </c>
      <c r="K44" s="635"/>
      <c r="L44" s="636"/>
      <c r="M44" s="638"/>
      <c r="N44" s="637"/>
      <c r="O44" s="639">
        <f t="shared" si="24"/>
        <v>0</v>
      </c>
      <c r="P44" s="120"/>
      <c r="Q44" s="655"/>
      <c r="W44" s="401" t="s">
        <v>270</v>
      </c>
      <c r="X44" s="980"/>
      <c r="AC44" s="204"/>
      <c r="AD44" s="204"/>
      <c r="AE44" s="14"/>
      <c r="AF44" s="14"/>
      <c r="AG44" s="14"/>
      <c r="AH44" s="14"/>
    </row>
    <row r="45" spans="10:34" ht="14.95" thickBot="1" x14ac:dyDescent="0.3">
      <c r="J45" s="650"/>
      <c r="W45" s="122" t="s">
        <v>999</v>
      </c>
      <c r="X45" s="980"/>
      <c r="AC45" s="204"/>
      <c r="AD45" s="204"/>
      <c r="AE45" s="14"/>
      <c r="AF45" s="14"/>
      <c r="AG45" s="14"/>
      <c r="AH45" s="14"/>
    </row>
    <row r="46" spans="10:34" ht="14.95" thickBot="1" x14ac:dyDescent="0.3">
      <c r="J46" s="993" t="s">
        <v>312</v>
      </c>
      <c r="K46" s="973"/>
      <c r="L46" s="973"/>
      <c r="M46" s="973"/>
      <c r="N46" s="994"/>
      <c r="O46" s="994"/>
      <c r="P46" s="994"/>
      <c r="Q46" s="659"/>
      <c r="R46" s="659"/>
      <c r="S46" s="660"/>
      <c r="W46" s="650"/>
      <c r="AB46" s="14"/>
      <c r="AC46" s="204"/>
      <c r="AD46" s="204"/>
      <c r="AE46" s="14"/>
      <c r="AF46" s="14"/>
      <c r="AG46" s="14"/>
      <c r="AH46" s="14"/>
    </row>
    <row r="47" spans="10:34" ht="14.95" thickBot="1" x14ac:dyDescent="0.3">
      <c r="J47" s="977"/>
      <c r="K47" s="1053" t="s">
        <v>61</v>
      </c>
      <c r="L47" s="1054"/>
      <c r="M47" s="1037"/>
      <c r="N47" s="1055" t="s">
        <v>62</v>
      </c>
      <c r="O47" s="1054"/>
      <c r="P47" s="1037"/>
      <c r="Q47" s="1056" t="s">
        <v>57</v>
      </c>
      <c r="R47" s="1057"/>
      <c r="S47" s="1058"/>
      <c r="W47" s="905" t="s">
        <v>313</v>
      </c>
      <c r="X47" s="932"/>
      <c r="Y47" s="932"/>
      <c r="Z47" s="932"/>
      <c r="AA47" s="313"/>
      <c r="AB47" s="14"/>
      <c r="AC47" s="204"/>
      <c r="AD47" s="204"/>
      <c r="AE47" s="14"/>
      <c r="AF47" s="14"/>
      <c r="AG47" s="14"/>
      <c r="AH47" s="14"/>
    </row>
    <row r="48" spans="10:34" ht="14.95" thickBot="1" x14ac:dyDescent="0.3">
      <c r="J48" s="978"/>
      <c r="K48" s="661" t="s">
        <v>314</v>
      </c>
      <c r="L48" s="661" t="s">
        <v>50</v>
      </c>
      <c r="M48" s="661" t="s">
        <v>315</v>
      </c>
      <c r="N48" s="662" t="s">
        <v>314</v>
      </c>
      <c r="O48" s="662" t="s">
        <v>50</v>
      </c>
      <c r="P48" s="662" t="s">
        <v>315</v>
      </c>
      <c r="Q48" s="663" t="s">
        <v>314</v>
      </c>
      <c r="R48" s="663" t="s">
        <v>50</v>
      </c>
      <c r="S48" s="383" t="s">
        <v>315</v>
      </c>
      <c r="W48" s="204"/>
      <c r="X48" s="14"/>
      <c r="Y48" s="14"/>
      <c r="Z48" s="14"/>
      <c r="AA48" s="14"/>
      <c r="AB48" s="14"/>
      <c r="AC48" s="204"/>
      <c r="AD48" s="204"/>
      <c r="AE48" s="14"/>
      <c r="AF48" s="14"/>
      <c r="AG48" s="14"/>
      <c r="AH48" s="14"/>
    </row>
    <row r="49" spans="10:34" ht="14.95" thickBot="1" x14ac:dyDescent="0.3">
      <c r="J49" s="53" t="s">
        <v>271</v>
      </c>
      <c r="K49" s="635"/>
      <c r="L49" s="636"/>
      <c r="M49" s="636"/>
      <c r="N49" s="638"/>
      <c r="O49" s="637"/>
      <c r="P49" s="637"/>
      <c r="Q49" s="664">
        <f t="shared" ref="Q49:S60" si="25">SUM(K49+N49)</f>
        <v>0</v>
      </c>
      <c r="R49" s="639">
        <f t="shared" si="25"/>
        <v>0</v>
      </c>
      <c r="S49" s="665">
        <f t="shared" si="25"/>
        <v>0</v>
      </c>
      <c r="W49" s="204"/>
      <c r="X49" s="14"/>
      <c r="Y49" s="14"/>
      <c r="Z49" s="14"/>
      <c r="AA49" s="14"/>
      <c r="AB49" s="14"/>
      <c r="AC49" s="204"/>
      <c r="AD49" s="204"/>
      <c r="AE49" s="14"/>
      <c r="AF49" s="14"/>
      <c r="AG49" s="14"/>
      <c r="AH49" s="14"/>
    </row>
    <row r="50" spans="10:34" ht="14.95" thickBot="1" x14ac:dyDescent="0.3">
      <c r="J50" s="849" t="s">
        <v>272</v>
      </c>
      <c r="K50" s="635"/>
      <c r="L50" s="636"/>
      <c r="M50" s="636"/>
      <c r="N50" s="638"/>
      <c r="O50" s="637"/>
      <c r="P50" s="637"/>
      <c r="Q50" s="664">
        <f t="shared" si="25"/>
        <v>0</v>
      </c>
      <c r="R50" s="639">
        <f t="shared" si="25"/>
        <v>0</v>
      </c>
      <c r="S50" s="666">
        <f t="shared" si="25"/>
        <v>0</v>
      </c>
      <c r="W50" s="204"/>
      <c r="X50" s="14"/>
      <c r="Y50" s="14"/>
      <c r="Z50" s="14"/>
      <c r="AA50" s="14"/>
      <c r="AB50" s="14"/>
      <c r="AC50" s="204"/>
      <c r="AD50" s="204"/>
      <c r="AE50" s="14"/>
      <c r="AF50" s="14"/>
      <c r="AG50" s="14"/>
      <c r="AH50" s="14"/>
    </row>
    <row r="51" spans="10:34" ht="14.95" thickBot="1" x14ac:dyDescent="0.3">
      <c r="J51" s="153" t="s">
        <v>924</v>
      </c>
      <c r="K51" s="635"/>
      <c r="L51" s="636"/>
      <c r="M51" s="636"/>
      <c r="N51" s="638"/>
      <c r="O51" s="637"/>
      <c r="P51" s="637"/>
      <c r="Q51" s="664">
        <f t="shared" si="25"/>
        <v>0</v>
      </c>
      <c r="R51" s="639">
        <f t="shared" si="25"/>
        <v>0</v>
      </c>
      <c r="S51" s="666">
        <f t="shared" si="25"/>
        <v>0</v>
      </c>
      <c r="W51" s="204"/>
      <c r="X51" s="14"/>
      <c r="Y51" s="14"/>
      <c r="Z51" s="14"/>
      <c r="AA51" s="14"/>
      <c r="AB51" s="14"/>
      <c r="AC51" s="138"/>
      <c r="AD51" s="138"/>
    </row>
    <row r="52" spans="10:34" ht="14.95" thickBot="1" x14ac:dyDescent="0.3">
      <c r="J52" s="592" t="s">
        <v>564</v>
      </c>
      <c r="K52" s="635"/>
      <c r="L52" s="636"/>
      <c r="M52" s="636"/>
      <c r="N52" s="638"/>
      <c r="O52" s="637"/>
      <c r="P52" s="637"/>
      <c r="Q52" s="664">
        <f t="shared" si="25"/>
        <v>0</v>
      </c>
      <c r="R52" s="639">
        <f t="shared" si="25"/>
        <v>0</v>
      </c>
      <c r="S52" s="666">
        <f t="shared" si="25"/>
        <v>0</v>
      </c>
      <c r="W52" s="204"/>
      <c r="X52" s="14"/>
      <c r="Y52" s="14"/>
      <c r="Z52" s="14"/>
      <c r="AA52" s="14"/>
      <c r="AB52" s="14"/>
      <c r="AC52" s="138"/>
      <c r="AD52" s="138"/>
      <c r="AE52" s="14"/>
      <c r="AF52" s="14"/>
    </row>
    <row r="53" spans="10:34" ht="14.95" thickBot="1" x14ac:dyDescent="0.3">
      <c r="J53" s="81" t="s">
        <v>913</v>
      </c>
      <c r="K53" s="635"/>
      <c r="L53" s="636"/>
      <c r="M53" s="636"/>
      <c r="N53" s="638"/>
      <c r="O53" s="637"/>
      <c r="P53" s="637"/>
      <c r="Q53" s="664">
        <f t="shared" si="25"/>
        <v>0</v>
      </c>
      <c r="R53" s="639">
        <f t="shared" si="25"/>
        <v>0</v>
      </c>
      <c r="S53" s="666">
        <f t="shared" si="25"/>
        <v>0</v>
      </c>
      <c r="W53" s="204"/>
      <c r="X53" s="14"/>
      <c r="Y53" s="14"/>
      <c r="Z53" s="14"/>
      <c r="AA53" s="14"/>
      <c r="AB53" s="14"/>
      <c r="AC53" s="138"/>
      <c r="AD53" s="138"/>
      <c r="AE53" s="14"/>
      <c r="AF53" s="14"/>
    </row>
    <row r="54" spans="10:34" ht="14.95" thickBot="1" x14ac:dyDescent="0.3">
      <c r="J54" s="31" t="s">
        <v>997</v>
      </c>
      <c r="K54" s="635"/>
      <c r="L54" s="636"/>
      <c r="M54" s="636"/>
      <c r="N54" s="638"/>
      <c r="O54" s="637"/>
      <c r="P54" s="637"/>
      <c r="Q54" s="664">
        <f t="shared" si="25"/>
        <v>0</v>
      </c>
      <c r="R54" s="639">
        <f t="shared" si="25"/>
        <v>0</v>
      </c>
      <c r="S54" s="666">
        <f t="shared" si="25"/>
        <v>0</v>
      </c>
      <c r="W54" s="204"/>
      <c r="X54" s="14"/>
      <c r="Y54" s="14"/>
      <c r="Z54" s="14"/>
      <c r="AA54" s="14"/>
      <c r="AB54" s="14"/>
      <c r="AC54" s="204"/>
      <c r="AD54" s="204"/>
      <c r="AE54" s="14"/>
      <c r="AF54" s="14"/>
      <c r="AG54" s="14"/>
      <c r="AH54" s="14"/>
    </row>
    <row r="55" spans="10:34" ht="14.95" thickBot="1" x14ac:dyDescent="0.3">
      <c r="J55" s="1016" t="s">
        <v>998</v>
      </c>
      <c r="K55" s="635"/>
      <c r="L55" s="636"/>
      <c r="M55" s="636"/>
      <c r="N55" s="638"/>
      <c r="O55" s="637"/>
      <c r="P55" s="637"/>
      <c r="Q55" s="664">
        <f t="shared" si="25"/>
        <v>0</v>
      </c>
      <c r="R55" s="639">
        <f t="shared" si="25"/>
        <v>0</v>
      </c>
      <c r="S55" s="666">
        <f t="shared" si="25"/>
        <v>0</v>
      </c>
      <c r="W55" s="204"/>
      <c r="X55" s="14"/>
      <c r="Y55" s="14"/>
      <c r="Z55" s="14"/>
      <c r="AA55" s="14"/>
      <c r="AC55" s="204"/>
      <c r="AD55" s="204"/>
      <c r="AE55" s="14"/>
      <c r="AF55" s="14"/>
    </row>
    <row r="56" spans="10:34" ht="14.95" thickBot="1" x14ac:dyDescent="0.3">
      <c r="J56" s="604" t="s">
        <v>565</v>
      </c>
      <c r="K56" s="635"/>
      <c r="L56" s="636"/>
      <c r="M56" s="636"/>
      <c r="N56" s="638"/>
      <c r="O56" s="637"/>
      <c r="P56" s="637"/>
      <c r="Q56" s="664">
        <f t="shared" si="25"/>
        <v>0</v>
      </c>
      <c r="R56" s="639">
        <f t="shared" si="25"/>
        <v>0</v>
      </c>
      <c r="S56" s="666">
        <f t="shared" si="25"/>
        <v>0</v>
      </c>
      <c r="W56" s="204"/>
      <c r="X56" s="14"/>
      <c r="Y56" s="14"/>
      <c r="Z56" s="14"/>
      <c r="AA56" s="14"/>
      <c r="AC56" s="138"/>
      <c r="AD56" s="138"/>
    </row>
    <row r="57" spans="10:34" ht="14.95" thickBot="1" x14ac:dyDescent="0.3">
      <c r="J57" s="344" t="s">
        <v>269</v>
      </c>
      <c r="K57" s="635"/>
      <c r="L57" s="636"/>
      <c r="M57" s="636"/>
      <c r="N57" s="638"/>
      <c r="O57" s="637"/>
      <c r="P57" s="637"/>
      <c r="Q57" s="664">
        <f t="shared" ref="Q57:Q58" si="26">SUM(K57+N57)</f>
        <v>0</v>
      </c>
      <c r="R57" s="639">
        <f t="shared" ref="R57:R58" si="27">SUM(L57+O57)</f>
        <v>0</v>
      </c>
      <c r="S57" s="666">
        <f t="shared" ref="S57:S58" si="28">SUM(M57+P57)</f>
        <v>0</v>
      </c>
      <c r="W57" s="138"/>
      <c r="AC57" s="138"/>
      <c r="AD57" s="138"/>
      <c r="AE57" s="14"/>
      <c r="AF57" s="14"/>
    </row>
    <row r="58" spans="10:34" ht="14.95" thickBot="1" x14ac:dyDescent="0.3">
      <c r="J58" s="81" t="s">
        <v>948</v>
      </c>
      <c r="K58" s="635"/>
      <c r="L58" s="636"/>
      <c r="M58" s="636"/>
      <c r="N58" s="638"/>
      <c r="O58" s="637"/>
      <c r="P58" s="637"/>
      <c r="Q58" s="664">
        <f t="shared" si="26"/>
        <v>0</v>
      </c>
      <c r="R58" s="639">
        <f t="shared" si="27"/>
        <v>0</v>
      </c>
      <c r="S58" s="666">
        <f t="shared" si="28"/>
        <v>0</v>
      </c>
      <c r="W58" s="138"/>
      <c r="AC58" s="138"/>
      <c r="AD58" s="138"/>
    </row>
    <row r="59" spans="10:34" ht="14.95" thickBot="1" x14ac:dyDescent="0.3">
      <c r="J59" s="44" t="s">
        <v>270</v>
      </c>
      <c r="K59" s="635"/>
      <c r="L59" s="636"/>
      <c r="M59" s="636"/>
      <c r="N59" s="638"/>
      <c r="O59" s="637"/>
      <c r="P59" s="637"/>
      <c r="Q59" s="664">
        <f t="shared" si="25"/>
        <v>0</v>
      </c>
      <c r="R59" s="639">
        <f t="shared" si="25"/>
        <v>0</v>
      </c>
      <c r="S59" s="666">
        <f t="shared" si="25"/>
        <v>0</v>
      </c>
      <c r="W59" s="969"/>
      <c r="X59" s="14"/>
      <c r="AC59" s="138"/>
      <c r="AD59" s="138"/>
    </row>
    <row r="60" spans="10:34" ht="14.95" thickBot="1" x14ac:dyDescent="0.3">
      <c r="J60" s="8" t="s">
        <v>999</v>
      </c>
      <c r="K60" s="635"/>
      <c r="L60" s="636"/>
      <c r="M60" s="636"/>
      <c r="N60" s="638"/>
      <c r="O60" s="637"/>
      <c r="P60" s="637"/>
      <c r="Q60" s="664">
        <f t="shared" si="25"/>
        <v>0</v>
      </c>
      <c r="R60" s="639">
        <f t="shared" si="25"/>
        <v>0</v>
      </c>
      <c r="S60" s="968">
        <f t="shared" si="25"/>
        <v>0</v>
      </c>
      <c r="W60" s="969"/>
      <c r="X60" s="14"/>
      <c r="AC60" s="138"/>
      <c r="AD60" s="138"/>
    </row>
    <row r="61" spans="10:34" x14ac:dyDescent="0.25">
      <c r="J61" s="650" t="s">
        <v>58</v>
      </c>
      <c r="K61">
        <f t="shared" ref="K61:S61" si="29">SUM(K49:K60)</f>
        <v>0</v>
      </c>
      <c r="L61">
        <f t="shared" si="29"/>
        <v>0</v>
      </c>
      <c r="M61">
        <f t="shared" si="29"/>
        <v>0</v>
      </c>
      <c r="N61">
        <f t="shared" si="29"/>
        <v>0</v>
      </c>
      <c r="O61">
        <f t="shared" si="29"/>
        <v>0</v>
      </c>
      <c r="P61">
        <f t="shared" si="29"/>
        <v>0</v>
      </c>
      <c r="Q61" s="138">
        <f t="shared" si="29"/>
        <v>0</v>
      </c>
      <c r="R61" s="138">
        <f t="shared" si="29"/>
        <v>0</v>
      </c>
      <c r="S61" s="138">
        <f t="shared" si="29"/>
        <v>0</v>
      </c>
      <c r="W61" s="138"/>
      <c r="AC61" s="138"/>
      <c r="AD61" s="138"/>
    </row>
    <row r="62" spans="10:34" x14ac:dyDescent="0.25">
      <c r="J62" s="221" t="s">
        <v>994</v>
      </c>
      <c r="W62" s="138"/>
      <c r="AC62" s="138"/>
      <c r="AD62" s="138"/>
    </row>
    <row r="63" spans="10:34" x14ac:dyDescent="0.25">
      <c r="J63" s="1046"/>
      <c r="K63" s="1047"/>
      <c r="L63" s="1047"/>
      <c r="M63" s="1047"/>
      <c r="N63" s="1047"/>
      <c r="O63" s="1047"/>
      <c r="P63" s="1047"/>
      <c r="Q63" s="1047"/>
      <c r="R63" s="1047"/>
      <c r="S63" s="1047"/>
      <c r="W63" s="138"/>
      <c r="AC63" s="138"/>
      <c r="AD63" s="138"/>
    </row>
    <row r="64" spans="10:34" x14ac:dyDescent="0.25">
      <c r="W64" s="138"/>
      <c r="AC64" s="138"/>
      <c r="AD64" s="138"/>
    </row>
    <row r="65" spans="23:31" x14ac:dyDescent="0.25">
      <c r="W65" s="138"/>
      <c r="AC65" s="138"/>
      <c r="AD65" s="138"/>
    </row>
    <row r="66" spans="23:31" x14ac:dyDescent="0.25">
      <c r="W66" s="138"/>
      <c r="AC66" s="138"/>
      <c r="AD66" s="138"/>
    </row>
    <row r="67" spans="23:31" x14ac:dyDescent="0.25">
      <c r="W67" s="138"/>
      <c r="AC67" s="514"/>
      <c r="AD67" s="138"/>
    </row>
    <row r="68" spans="23:31" x14ac:dyDescent="0.25">
      <c r="W68" s="138"/>
      <c r="AC68" s="514"/>
      <c r="AD68" s="138"/>
    </row>
    <row r="69" spans="23:31" x14ac:dyDescent="0.25">
      <c r="W69" s="138"/>
      <c r="AC69" s="138"/>
      <c r="AD69" s="138"/>
      <c r="AE69" s="14"/>
    </row>
    <row r="70" spans="23:31" x14ac:dyDescent="0.25">
      <c r="W70" s="138"/>
      <c r="AC70" s="138"/>
      <c r="AD70" s="138"/>
      <c r="AE70" s="14"/>
    </row>
    <row r="71" spans="23:31" x14ac:dyDescent="0.25">
      <c r="AC71" s="138"/>
      <c r="AD71" s="138"/>
      <c r="AE71" s="14"/>
    </row>
    <row r="72" spans="23:31" x14ac:dyDescent="0.25">
      <c r="AC72" s="138"/>
      <c r="AD72" s="138"/>
    </row>
    <row r="73" spans="23:31" x14ac:dyDescent="0.25">
      <c r="AC73" s="138"/>
      <c r="AD73" s="138"/>
      <c r="AE73" s="14"/>
    </row>
    <row r="74" spans="23:31" x14ac:dyDescent="0.25">
      <c r="AC74" s="138"/>
      <c r="AD74" s="138"/>
      <c r="AE74" s="14"/>
    </row>
    <row r="75" spans="23:31" x14ac:dyDescent="0.25">
      <c r="AC75" s="138"/>
      <c r="AD75" s="138"/>
      <c r="AE75" s="14"/>
    </row>
    <row r="76" spans="23:31" x14ac:dyDescent="0.25">
      <c r="AC76" s="138"/>
      <c r="AD76" s="138"/>
      <c r="AE76" s="14"/>
    </row>
    <row r="77" spans="23:31" x14ac:dyDescent="0.25">
      <c r="AC77" s="138"/>
      <c r="AD77" s="138"/>
      <c r="AE77" s="14"/>
    </row>
    <row r="78" spans="23:31" x14ac:dyDescent="0.25">
      <c r="AC78" s="138"/>
      <c r="AD78" s="138"/>
      <c r="AE78" s="14"/>
    </row>
    <row r="79" spans="23:31" x14ac:dyDescent="0.25">
      <c r="AC79" s="138"/>
      <c r="AD79" s="138"/>
      <c r="AE79" s="14"/>
    </row>
    <row r="80" spans="23:31" x14ac:dyDescent="0.25">
      <c r="AC80" s="138"/>
      <c r="AD80" s="138"/>
      <c r="AE80" s="14"/>
    </row>
    <row r="81" spans="29:31" x14ac:dyDescent="0.25">
      <c r="AC81" s="138"/>
      <c r="AD81" s="138"/>
      <c r="AE81" s="14"/>
    </row>
    <row r="82" spans="29:31" x14ac:dyDescent="0.25">
      <c r="AC82" s="138"/>
      <c r="AD82" s="138"/>
      <c r="AE82" s="14"/>
    </row>
    <row r="83" spans="29:31" x14ac:dyDescent="0.25">
      <c r="AC83" s="138"/>
      <c r="AD83" s="138"/>
      <c r="AE83" s="14"/>
    </row>
  </sheetData>
  <sortState xmlns:xlrd2="http://schemas.microsoft.com/office/spreadsheetml/2017/richdata2" ref="A3:B14">
    <sortCondition ref="A3:A14"/>
  </sortState>
  <mergeCells count="8">
    <mergeCell ref="J63:S63"/>
    <mergeCell ref="AF2:AG2"/>
    <mergeCell ref="A16:F16"/>
    <mergeCell ref="AF18:AG18"/>
    <mergeCell ref="W32:AF32"/>
    <mergeCell ref="K47:M47"/>
    <mergeCell ref="N47:P47"/>
    <mergeCell ref="Q47:S47"/>
  </mergeCells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A5D6-A5B9-4828-9DA0-8ED6C0F4B74C}">
  <dimension ref="A1:R47"/>
  <sheetViews>
    <sheetView workbookViewId="0">
      <selection activeCell="E7" sqref="E7"/>
    </sheetView>
  </sheetViews>
  <sheetFormatPr defaultRowHeight="14.3" x14ac:dyDescent="0.25"/>
  <cols>
    <col min="1" max="1" width="11.375" bestFit="1" customWidth="1"/>
    <col min="2" max="2" width="3.625" customWidth="1"/>
    <col min="3" max="3" width="23.875" bestFit="1" customWidth="1"/>
    <col min="4" max="4" width="3.625" customWidth="1"/>
    <col min="5" max="5" width="10.625" bestFit="1" customWidth="1"/>
    <col min="8" max="8" width="11.375" bestFit="1" customWidth="1"/>
  </cols>
  <sheetData>
    <row r="1" spans="1:18" ht="14.95" customHeight="1" thickBot="1" x14ac:dyDescent="0.3">
      <c r="A1" s="110"/>
      <c r="B1" s="1036" t="s">
        <v>54</v>
      </c>
      <c r="C1" s="1037"/>
      <c r="D1" s="1029" t="s">
        <v>55</v>
      </c>
      <c r="E1" s="1030"/>
      <c r="F1" s="126" t="s">
        <v>56</v>
      </c>
      <c r="H1" s="1031" t="s">
        <v>58</v>
      </c>
      <c r="I1" s="1033" t="s">
        <v>66</v>
      </c>
      <c r="J1" s="1034"/>
      <c r="K1" s="1033" t="s">
        <v>67</v>
      </c>
      <c r="L1" s="1035"/>
      <c r="M1" s="1035"/>
      <c r="N1" s="1035"/>
      <c r="O1" s="1034"/>
      <c r="P1" s="1033" t="s">
        <v>69</v>
      </c>
      <c r="Q1" s="1034"/>
    </row>
    <row r="2" spans="1:18" ht="14.95" customHeight="1" thickBot="1" x14ac:dyDescent="0.3">
      <c r="A2" s="53" t="s">
        <v>37</v>
      </c>
      <c r="B2" s="582">
        <v>1</v>
      </c>
      <c r="C2" s="583" t="s">
        <v>810</v>
      </c>
      <c r="D2" s="127">
        <v>0</v>
      </c>
      <c r="E2" s="128"/>
      <c r="F2" s="129">
        <f t="shared" ref="F2:F15" si="0">SUM(B2+D2*2)</f>
        <v>1</v>
      </c>
      <c r="H2" s="1032"/>
      <c r="I2" s="140" t="s">
        <v>4</v>
      </c>
      <c r="J2" s="140" t="s">
        <v>5</v>
      </c>
      <c r="K2" s="141" t="s">
        <v>769</v>
      </c>
      <c r="L2" s="141" t="s">
        <v>770</v>
      </c>
      <c r="M2" s="141" t="s">
        <v>771</v>
      </c>
      <c r="N2" s="856" t="s">
        <v>772</v>
      </c>
      <c r="O2" s="144" t="s">
        <v>74</v>
      </c>
      <c r="P2" s="141" t="s">
        <v>4</v>
      </c>
      <c r="Q2" s="144" t="s">
        <v>5</v>
      </c>
    </row>
    <row r="3" spans="1:18" ht="14.95" customHeight="1" thickBot="1" x14ac:dyDescent="0.3">
      <c r="A3" s="863" t="s">
        <v>150</v>
      </c>
      <c r="B3" s="582">
        <v>1</v>
      </c>
      <c r="C3" s="583" t="s">
        <v>817</v>
      </c>
      <c r="D3" s="127">
        <v>0</v>
      </c>
      <c r="E3" s="128"/>
      <c r="F3" s="129">
        <f t="shared" si="0"/>
        <v>1</v>
      </c>
      <c r="H3" s="53" t="s">
        <v>37</v>
      </c>
      <c r="I3" s="600">
        <v>0</v>
      </c>
      <c r="J3" s="600">
        <v>7</v>
      </c>
      <c r="K3" s="601">
        <v>10</v>
      </c>
      <c r="L3" s="601">
        <v>0</v>
      </c>
      <c r="M3" s="601">
        <v>0</v>
      </c>
      <c r="N3" s="601">
        <v>0</v>
      </c>
      <c r="O3" s="602">
        <f t="shared" ref="O3:O13" si="1">SUM(K3:N3)</f>
        <v>10</v>
      </c>
      <c r="P3" s="606">
        <f t="shared" ref="P3" si="2">SUM(I3/O3)*10</f>
        <v>0</v>
      </c>
      <c r="Q3" s="603">
        <f t="shared" ref="Q3" si="3">SUM(J3/O3)*10</f>
        <v>7</v>
      </c>
    </row>
    <row r="4" spans="1:18" ht="14.95" customHeight="1" thickBot="1" x14ac:dyDescent="0.3">
      <c r="A4" s="1016" t="s">
        <v>33</v>
      </c>
      <c r="B4" s="582">
        <v>1</v>
      </c>
      <c r="C4" s="583" t="s">
        <v>798</v>
      </c>
      <c r="D4" s="127">
        <v>0</v>
      </c>
      <c r="E4" s="128"/>
      <c r="F4" s="129">
        <f t="shared" si="0"/>
        <v>1</v>
      </c>
      <c r="H4" s="369" t="s">
        <v>29</v>
      </c>
      <c r="I4" s="146">
        <v>5</v>
      </c>
      <c r="J4" s="146">
        <v>42</v>
      </c>
      <c r="K4" s="598">
        <v>30</v>
      </c>
      <c r="L4" s="598">
        <v>0</v>
      </c>
      <c r="M4" s="598">
        <v>0</v>
      </c>
      <c r="N4" s="598">
        <v>0</v>
      </c>
      <c r="O4" s="147">
        <f t="shared" ref="O4" si="4">SUM(K4:N4)</f>
        <v>30</v>
      </c>
      <c r="P4" s="855">
        <f t="shared" ref="P4" si="5">SUM(I4/O4)*10</f>
        <v>1.6666666666666665</v>
      </c>
      <c r="Q4" s="603">
        <f t="shared" ref="Q4" si="6">SUM(J4/O4)*10</f>
        <v>14</v>
      </c>
      <c r="R4" t="s">
        <v>58</v>
      </c>
    </row>
    <row r="5" spans="1:18" ht="14.95" customHeight="1" thickBot="1" x14ac:dyDescent="0.3">
      <c r="A5" s="81" t="s">
        <v>35</v>
      </c>
      <c r="B5" s="582">
        <v>1</v>
      </c>
      <c r="C5" s="361" t="s">
        <v>813</v>
      </c>
      <c r="D5" s="127">
        <v>0</v>
      </c>
      <c r="E5" s="128"/>
      <c r="F5" s="129">
        <f t="shared" si="0"/>
        <v>1</v>
      </c>
      <c r="H5" s="863" t="s">
        <v>150</v>
      </c>
      <c r="I5" s="146">
        <v>0</v>
      </c>
      <c r="J5" s="146">
        <v>7</v>
      </c>
      <c r="K5" s="598">
        <v>10</v>
      </c>
      <c r="L5" s="598">
        <v>0</v>
      </c>
      <c r="M5" s="598">
        <v>0</v>
      </c>
      <c r="N5" s="598">
        <v>0</v>
      </c>
      <c r="O5" s="147">
        <f t="shared" ref="O5" si="7">SUM(K5:N5)</f>
        <v>10</v>
      </c>
      <c r="P5" s="855">
        <f t="shared" ref="P5" si="8">SUM(I5/O5)*10</f>
        <v>0</v>
      </c>
      <c r="Q5" s="603">
        <f t="shared" ref="Q5" si="9">SUM(J5/O5)*10</f>
        <v>7</v>
      </c>
    </row>
    <row r="6" spans="1:18" ht="14.95" customHeight="1" thickBot="1" x14ac:dyDescent="0.3">
      <c r="A6" s="369" t="s">
        <v>29</v>
      </c>
      <c r="B6" s="582">
        <v>3</v>
      </c>
      <c r="C6" s="197" t="s">
        <v>835</v>
      </c>
      <c r="D6" s="127">
        <v>0</v>
      </c>
      <c r="E6" s="128"/>
      <c r="F6" s="129">
        <f t="shared" si="0"/>
        <v>3</v>
      </c>
      <c r="H6" s="153" t="s">
        <v>30</v>
      </c>
      <c r="I6" s="146">
        <v>0</v>
      </c>
      <c r="J6" s="146">
        <v>14</v>
      </c>
      <c r="K6" s="598">
        <v>17</v>
      </c>
      <c r="L6" s="598">
        <v>0</v>
      </c>
      <c r="M6" s="598">
        <v>0</v>
      </c>
      <c r="N6" s="598">
        <v>0</v>
      </c>
      <c r="O6" s="147">
        <f t="shared" si="1"/>
        <v>17</v>
      </c>
      <c r="P6" s="607">
        <f t="shared" ref="P6" si="10">SUM(I6/O6)*10</f>
        <v>0</v>
      </c>
      <c r="Q6" s="605">
        <f t="shared" ref="Q6" si="11">SUM(J6/O6)*10</f>
        <v>8.235294117647058</v>
      </c>
    </row>
    <row r="7" spans="1:18" ht="14.95" customHeight="1" thickBot="1" x14ac:dyDescent="0.3">
      <c r="A7" s="153" t="s">
        <v>30</v>
      </c>
      <c r="B7" s="582">
        <v>3</v>
      </c>
      <c r="C7" s="197" t="s">
        <v>825</v>
      </c>
      <c r="D7" s="127">
        <f>ausrc</f>
        <v>0</v>
      </c>
      <c r="E7" s="128"/>
      <c r="F7" s="129">
        <f t="shared" si="0"/>
        <v>3</v>
      </c>
      <c r="H7" s="592" t="s">
        <v>31</v>
      </c>
      <c r="I7" s="146">
        <v>0</v>
      </c>
      <c r="J7" s="146">
        <v>31</v>
      </c>
      <c r="K7" s="598">
        <v>30</v>
      </c>
      <c r="L7" s="598">
        <v>0</v>
      </c>
      <c r="M7" s="598">
        <v>0</v>
      </c>
      <c r="N7" s="598">
        <v>0</v>
      </c>
      <c r="O7" s="147">
        <f t="shared" si="1"/>
        <v>30</v>
      </c>
      <c r="P7" s="607">
        <f t="shared" ref="P7" si="12">SUM(I7/O7)*10</f>
        <v>0</v>
      </c>
      <c r="Q7" s="605">
        <f t="shared" ref="Q7" si="13">SUM(J7/O7)*10</f>
        <v>10.333333333333334</v>
      </c>
    </row>
    <row r="8" spans="1:18" ht="14.95" customHeight="1" thickBot="1" x14ac:dyDescent="0.3">
      <c r="A8" s="592" t="s">
        <v>31</v>
      </c>
      <c r="B8" s="582">
        <v>3</v>
      </c>
      <c r="C8" s="197" t="s">
        <v>807</v>
      </c>
      <c r="D8" s="127">
        <v>0</v>
      </c>
      <c r="E8" s="128"/>
      <c r="F8" s="129">
        <f t="shared" si="0"/>
        <v>3</v>
      </c>
      <c r="H8" s="81" t="s">
        <v>34</v>
      </c>
      <c r="I8" s="146">
        <v>0</v>
      </c>
      <c r="J8" s="146">
        <v>19</v>
      </c>
      <c r="K8" s="598">
        <v>23</v>
      </c>
      <c r="L8" s="598">
        <v>0</v>
      </c>
      <c r="M8" s="598">
        <v>0</v>
      </c>
      <c r="N8" s="598">
        <v>0</v>
      </c>
      <c r="O8" s="147">
        <f t="shared" ref="O8" si="14">SUM(K8:N8)</f>
        <v>23</v>
      </c>
      <c r="P8" s="607">
        <f t="shared" ref="P8" si="15">SUM(I8/O8)*10</f>
        <v>0</v>
      </c>
      <c r="Q8" s="605">
        <f t="shared" ref="Q8" si="16">SUM(J8/O8)*10</f>
        <v>8.2608695652173907</v>
      </c>
    </row>
    <row r="9" spans="1:18" ht="14.95" customHeight="1" thickBot="1" x14ac:dyDescent="0.3">
      <c r="A9" s="81" t="s">
        <v>34</v>
      </c>
      <c r="B9" s="582">
        <v>3</v>
      </c>
      <c r="C9" s="197" t="s">
        <v>822</v>
      </c>
      <c r="D9" s="127">
        <v>0</v>
      </c>
      <c r="E9" s="128"/>
      <c r="F9" s="129">
        <f t="shared" si="0"/>
        <v>3</v>
      </c>
      <c r="H9" s="31" t="s">
        <v>39</v>
      </c>
      <c r="I9" s="146">
        <v>22</v>
      </c>
      <c r="J9" s="146">
        <v>29</v>
      </c>
      <c r="K9" s="598">
        <v>57</v>
      </c>
      <c r="L9" s="598">
        <v>14</v>
      </c>
      <c r="M9" s="598">
        <v>1</v>
      </c>
      <c r="N9" s="598">
        <v>0</v>
      </c>
      <c r="O9" s="147">
        <f t="shared" si="1"/>
        <v>72</v>
      </c>
      <c r="P9" s="607">
        <f t="shared" ref="P9" si="17">SUM(I9/O9)*10</f>
        <v>3.0555555555555558</v>
      </c>
      <c r="Q9" s="605">
        <f t="shared" ref="Q9" si="18">SUM(J9/O9)*10</f>
        <v>4.0277777777777777</v>
      </c>
    </row>
    <row r="10" spans="1:18" ht="14.95" customHeight="1" thickBot="1" x14ac:dyDescent="0.3">
      <c r="A10" s="604" t="s">
        <v>36</v>
      </c>
      <c r="B10" s="582">
        <v>4</v>
      </c>
      <c r="C10" s="197" t="s">
        <v>805</v>
      </c>
      <c r="D10" s="127">
        <v>0</v>
      </c>
      <c r="E10" s="128"/>
      <c r="F10" s="129">
        <f t="shared" si="0"/>
        <v>4</v>
      </c>
      <c r="H10" s="1016" t="s">
        <v>33</v>
      </c>
      <c r="I10" s="146">
        <v>0</v>
      </c>
      <c r="J10" s="146">
        <v>14</v>
      </c>
      <c r="K10" s="598">
        <v>10</v>
      </c>
      <c r="L10" s="598">
        <v>0</v>
      </c>
      <c r="M10" s="598">
        <v>0</v>
      </c>
      <c r="N10" s="598">
        <v>0</v>
      </c>
      <c r="O10" s="147">
        <f t="shared" si="1"/>
        <v>10</v>
      </c>
      <c r="P10" s="607">
        <f t="shared" ref="P10" si="19">SUM(I10/O10)*10</f>
        <v>0</v>
      </c>
      <c r="Q10" s="605">
        <f t="shared" ref="Q10" si="20">SUM(J10/O10)*10</f>
        <v>14</v>
      </c>
      <c r="R10" t="s">
        <v>58</v>
      </c>
    </row>
    <row r="11" spans="1:18" ht="14.95" customHeight="1" thickBot="1" x14ac:dyDescent="0.3">
      <c r="A11" s="368" t="s">
        <v>90</v>
      </c>
      <c r="B11" s="582">
        <v>4</v>
      </c>
      <c r="C11" s="361" t="s">
        <v>803</v>
      </c>
      <c r="D11" s="127">
        <v>0</v>
      </c>
      <c r="E11" s="128"/>
      <c r="F11" s="129">
        <f t="shared" si="0"/>
        <v>4</v>
      </c>
      <c r="H11" s="604" t="s">
        <v>36</v>
      </c>
      <c r="I11" s="146">
        <v>0</v>
      </c>
      <c r="J11" s="146">
        <v>10</v>
      </c>
      <c r="K11" s="598">
        <v>21</v>
      </c>
      <c r="L11" s="598">
        <v>6</v>
      </c>
      <c r="M11" s="598">
        <v>0</v>
      </c>
      <c r="N11" s="598">
        <v>0</v>
      </c>
      <c r="O11" s="147">
        <f t="shared" ref="O11" si="21">SUM(K11:N11)</f>
        <v>27</v>
      </c>
      <c r="P11" s="607">
        <f t="shared" ref="P11" si="22">SUM(I11/O11)*10</f>
        <v>0</v>
      </c>
      <c r="Q11" s="605">
        <f t="shared" ref="Q11" si="23">SUM(J11/O11)*10</f>
        <v>3.7037037037037033</v>
      </c>
      <c r="R11" t="s">
        <v>58</v>
      </c>
    </row>
    <row r="12" spans="1:18" ht="14.95" customHeight="1" thickBot="1" x14ac:dyDescent="0.3">
      <c r="A12" s="8" t="s">
        <v>91</v>
      </c>
      <c r="B12" s="582">
        <v>3</v>
      </c>
      <c r="C12" s="132" t="s">
        <v>824</v>
      </c>
      <c r="D12" s="127">
        <v>1</v>
      </c>
      <c r="E12" s="128" t="s">
        <v>823</v>
      </c>
      <c r="F12" s="129">
        <f t="shared" si="0"/>
        <v>5</v>
      </c>
      <c r="H12" s="368" t="s">
        <v>90</v>
      </c>
      <c r="I12" s="146">
        <v>7</v>
      </c>
      <c r="J12" s="146">
        <v>21</v>
      </c>
      <c r="K12" s="598">
        <v>40</v>
      </c>
      <c r="L12" s="598">
        <v>0</v>
      </c>
      <c r="M12" s="598">
        <v>0</v>
      </c>
      <c r="N12" s="598">
        <v>0</v>
      </c>
      <c r="O12" s="147">
        <f t="shared" si="1"/>
        <v>40</v>
      </c>
      <c r="P12" s="607">
        <f t="shared" ref="P12" si="24">SUM(I12/O12)*10</f>
        <v>1.75</v>
      </c>
      <c r="Q12" s="605">
        <f t="shared" ref="Q12" si="25">SUM(J12/O12)*10</f>
        <v>5.25</v>
      </c>
    </row>
    <row r="13" spans="1:18" ht="14.95" customHeight="1" thickBot="1" x14ac:dyDescent="0.3">
      <c r="A13" s="8" t="s">
        <v>32</v>
      </c>
      <c r="B13" s="582">
        <v>6</v>
      </c>
      <c r="C13" s="197" t="s">
        <v>839</v>
      </c>
      <c r="D13" s="127">
        <v>1</v>
      </c>
      <c r="E13" s="128" t="s">
        <v>804</v>
      </c>
      <c r="F13" s="129">
        <f t="shared" si="0"/>
        <v>8</v>
      </c>
      <c r="H13" s="81" t="s">
        <v>35</v>
      </c>
      <c r="I13" s="146">
        <v>3</v>
      </c>
      <c r="J13" s="146">
        <v>12</v>
      </c>
      <c r="K13" s="598">
        <v>10</v>
      </c>
      <c r="L13" s="598">
        <v>0</v>
      </c>
      <c r="M13" s="598">
        <v>0</v>
      </c>
      <c r="N13" s="598">
        <v>0</v>
      </c>
      <c r="O13" s="147">
        <f t="shared" si="1"/>
        <v>10</v>
      </c>
      <c r="P13" s="607">
        <f t="shared" ref="P13" si="26">SUM(I13/O13)*10</f>
        <v>3</v>
      </c>
      <c r="Q13" s="605">
        <f t="shared" ref="Q13" si="27">SUM(J13/O13)*10</f>
        <v>12</v>
      </c>
    </row>
    <row r="14" spans="1:18" ht="14.95" customHeight="1" thickBot="1" x14ac:dyDescent="0.3">
      <c r="A14" s="31" t="s">
        <v>39</v>
      </c>
      <c r="B14" s="582">
        <v>4</v>
      </c>
      <c r="C14" s="197" t="s">
        <v>821</v>
      </c>
      <c r="D14" s="127">
        <v>2</v>
      </c>
      <c r="E14" s="128" t="s">
        <v>819</v>
      </c>
      <c r="F14" s="129">
        <f t="shared" si="0"/>
        <v>8</v>
      </c>
      <c r="H14" s="44" t="s">
        <v>97</v>
      </c>
      <c r="I14" s="146">
        <v>51</v>
      </c>
      <c r="J14" s="146">
        <v>17</v>
      </c>
      <c r="K14" s="598">
        <v>101</v>
      </c>
      <c r="L14" s="598">
        <v>10</v>
      </c>
      <c r="M14" s="598">
        <v>0</v>
      </c>
      <c r="N14" s="598">
        <v>0</v>
      </c>
      <c r="O14" s="147">
        <f t="shared" ref="O14:O15" si="28">SUM(K14:N14)</f>
        <v>111</v>
      </c>
      <c r="P14" s="607">
        <f t="shared" ref="P14:P15" si="29">SUM(I14/O14)*10</f>
        <v>4.5945945945945947</v>
      </c>
      <c r="Q14" s="605">
        <f t="shared" ref="Q14:Q15" si="30">SUM(J14/O14)*10</f>
        <v>1.5315315315315314</v>
      </c>
    </row>
    <row r="15" spans="1:18" ht="14.95" customHeight="1" thickBot="1" x14ac:dyDescent="0.3">
      <c r="A15" s="44" t="s">
        <v>97</v>
      </c>
      <c r="B15" s="582">
        <v>2</v>
      </c>
      <c r="C15" s="197" t="s">
        <v>820</v>
      </c>
      <c r="D15" s="127">
        <v>3</v>
      </c>
      <c r="E15" s="128" t="s">
        <v>849</v>
      </c>
      <c r="F15" s="129">
        <f t="shared" si="0"/>
        <v>8</v>
      </c>
      <c r="H15" s="8" t="s">
        <v>91</v>
      </c>
      <c r="I15" s="146">
        <v>0</v>
      </c>
      <c r="J15" s="146">
        <v>35</v>
      </c>
      <c r="K15" s="598">
        <v>44</v>
      </c>
      <c r="L15" s="598">
        <v>3</v>
      </c>
      <c r="M15" s="598">
        <v>0</v>
      </c>
      <c r="N15" s="598">
        <v>0</v>
      </c>
      <c r="O15" s="147">
        <f t="shared" si="28"/>
        <v>47</v>
      </c>
      <c r="P15" s="607">
        <f t="shared" si="29"/>
        <v>0</v>
      </c>
      <c r="Q15" s="605">
        <f t="shared" si="30"/>
        <v>7.4468085106382977</v>
      </c>
      <c r="R15" t="s">
        <v>58</v>
      </c>
    </row>
    <row r="16" spans="1:18" ht="14.95" customHeight="1" thickBot="1" x14ac:dyDescent="0.3">
      <c r="A16" s="158" t="s">
        <v>57</v>
      </c>
      <c r="B16" s="130">
        <f>SUM(B2:B15)</f>
        <v>39</v>
      </c>
      <c r="C16" s="133"/>
      <c r="D16" s="134">
        <f>SUM(D2:D15)</f>
        <v>7</v>
      </c>
      <c r="E16" s="135"/>
      <c r="F16" s="126" t="s">
        <v>58</v>
      </c>
      <c r="H16" s="8" t="s">
        <v>32</v>
      </c>
      <c r="I16" s="146">
        <v>19</v>
      </c>
      <c r="J16" s="146">
        <v>77</v>
      </c>
      <c r="K16" s="599">
        <v>78</v>
      </c>
      <c r="L16" s="598">
        <v>1</v>
      </c>
      <c r="M16" s="598">
        <v>0</v>
      </c>
      <c r="N16" s="599">
        <v>0</v>
      </c>
      <c r="O16" s="147">
        <f t="shared" ref="O16" si="31">SUM(K16:N16)</f>
        <v>79</v>
      </c>
      <c r="P16" s="608">
        <f t="shared" ref="P16" si="32">SUM(I16/O16)*10</f>
        <v>2.4050632911392404</v>
      </c>
      <c r="Q16" s="605">
        <f t="shared" ref="Q16" si="33">SUM(J16/O16)*10</f>
        <v>9.7468354430379751</v>
      </c>
      <c r="R16" t="s">
        <v>58</v>
      </c>
    </row>
    <row r="17" spans="1:18" ht="14.95" customHeight="1" thickBot="1" x14ac:dyDescent="0.3">
      <c r="A17" s="267" t="s">
        <v>848</v>
      </c>
      <c r="D17" s="136"/>
      <c r="E17" s="137"/>
      <c r="H17" s="151" t="s">
        <v>57</v>
      </c>
      <c r="I17" s="148">
        <f t="shared" ref="I17:O17" si="34">SUM(I6:I13)</f>
        <v>32</v>
      </c>
      <c r="J17" s="148">
        <f t="shared" si="34"/>
        <v>150</v>
      </c>
      <c r="K17" s="148">
        <f t="shared" si="34"/>
        <v>208</v>
      </c>
      <c r="L17" s="148">
        <f t="shared" si="34"/>
        <v>20</v>
      </c>
      <c r="M17" s="148">
        <f t="shared" si="34"/>
        <v>1</v>
      </c>
      <c r="N17" s="148">
        <f t="shared" si="34"/>
        <v>0</v>
      </c>
      <c r="O17" s="148">
        <f t="shared" si="34"/>
        <v>229</v>
      </c>
      <c r="P17" s="705">
        <f t="shared" ref="P17" si="35">SUM(I17/O17)*10</f>
        <v>1.3973799126637554</v>
      </c>
      <c r="Q17" s="706">
        <f t="shared" ref="Q17" si="36">SUM(J17/O17)*10</f>
        <v>6.5502183406113534</v>
      </c>
    </row>
    <row r="18" spans="1:18" ht="14.95" customHeight="1" x14ac:dyDescent="0.25">
      <c r="A18" s="138" t="s">
        <v>59</v>
      </c>
      <c r="B18" s="138"/>
    </row>
    <row r="19" spans="1:18" ht="14.95" customHeight="1" thickBot="1" x14ac:dyDescent="0.3">
      <c r="A19" s="852" t="s">
        <v>765</v>
      </c>
      <c r="B19" s="852"/>
      <c r="C19" s="138"/>
      <c r="D19" s="138"/>
      <c r="H19" s="138" t="s">
        <v>146</v>
      </c>
    </row>
    <row r="20" spans="1:18" ht="14.95" customHeight="1" thickBot="1" x14ac:dyDescent="0.35">
      <c r="A20" s="792" t="s">
        <v>28</v>
      </c>
      <c r="H20" s="1031" t="s">
        <v>58</v>
      </c>
      <c r="I20" s="1033" t="s">
        <v>66</v>
      </c>
      <c r="J20" s="1034"/>
      <c r="K20" s="1033" t="s">
        <v>58</v>
      </c>
      <c r="L20" s="1035"/>
      <c r="M20" s="1035"/>
      <c r="N20" s="1035"/>
      <c r="O20" s="1034"/>
      <c r="P20" s="1033" t="s">
        <v>69</v>
      </c>
      <c r="Q20" s="1034"/>
    </row>
    <row r="21" spans="1:18" ht="14.95" customHeight="1" thickBot="1" x14ac:dyDescent="0.3">
      <c r="H21" s="1032"/>
      <c r="I21" s="140" t="s">
        <v>4</v>
      </c>
      <c r="J21" s="140" t="s">
        <v>5</v>
      </c>
      <c r="K21" s="141" t="s">
        <v>76</v>
      </c>
      <c r="L21" s="142" t="s">
        <v>77</v>
      </c>
      <c r="M21" s="142" t="s">
        <v>274</v>
      </c>
      <c r="N21" s="143" t="s">
        <v>151</v>
      </c>
      <c r="O21" s="144" t="s">
        <v>74</v>
      </c>
      <c r="P21" s="141" t="s">
        <v>4</v>
      </c>
      <c r="Q21" s="144" t="s">
        <v>5</v>
      </c>
    </row>
    <row r="22" spans="1:18" ht="14.95" customHeight="1" thickBot="1" x14ac:dyDescent="0.3">
      <c r="H22" s="53" t="s">
        <v>37</v>
      </c>
      <c r="I22" s="146">
        <v>36</v>
      </c>
      <c r="J22" s="146">
        <v>10</v>
      </c>
      <c r="K22" s="146">
        <v>36</v>
      </c>
      <c r="L22" s="146">
        <v>0</v>
      </c>
      <c r="M22" s="146">
        <v>0</v>
      </c>
      <c r="N22" s="146">
        <v>0</v>
      </c>
      <c r="O22" s="147">
        <f t="shared" ref="O22" si="37">SUM(K22:N22)</f>
        <v>36</v>
      </c>
      <c r="P22" s="607">
        <f t="shared" ref="P22" si="38">SUM(I22/O22)*10</f>
        <v>10</v>
      </c>
      <c r="Q22" s="605">
        <f t="shared" ref="Q22" si="39">SUM(J22/O22)*10</f>
        <v>2.7777777777777777</v>
      </c>
    </row>
    <row r="23" spans="1:18" ht="14.95" customHeight="1" thickBot="1" x14ac:dyDescent="0.3">
      <c r="H23" s="369" t="s">
        <v>29</v>
      </c>
      <c r="I23" s="146">
        <v>7</v>
      </c>
      <c r="J23" s="146">
        <v>0</v>
      </c>
      <c r="K23" s="146">
        <v>11</v>
      </c>
      <c r="L23" s="146">
        <v>0</v>
      </c>
      <c r="M23" s="146">
        <v>0</v>
      </c>
      <c r="N23" s="146">
        <v>0</v>
      </c>
      <c r="O23" s="147">
        <f t="shared" ref="O23:O24" si="40">SUM(K23:N23)</f>
        <v>11</v>
      </c>
      <c r="P23" s="381">
        <f t="shared" ref="P23" si="41">SUM(I23/O23)*10</f>
        <v>6.3636363636363633</v>
      </c>
      <c r="Q23" s="382">
        <f t="shared" ref="Q23" si="42">SUM(J23/O23)*10</f>
        <v>0</v>
      </c>
    </row>
    <row r="24" spans="1:18" ht="14.95" customHeight="1" thickBot="1" x14ac:dyDescent="0.3">
      <c r="H24" s="863" t="s">
        <v>150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7">
        <f t="shared" si="40"/>
        <v>0</v>
      </c>
      <c r="P24" s="381" t="s">
        <v>157</v>
      </c>
      <c r="Q24" s="382" t="s">
        <v>157</v>
      </c>
      <c r="R24" t="s">
        <v>762</v>
      </c>
    </row>
    <row r="25" spans="1:18" ht="14.95" customHeight="1" thickBot="1" x14ac:dyDescent="0.3">
      <c r="H25" s="153" t="s">
        <v>30</v>
      </c>
      <c r="I25" s="146">
        <v>24</v>
      </c>
      <c r="J25" s="146">
        <v>0</v>
      </c>
      <c r="K25" s="146">
        <v>30</v>
      </c>
      <c r="L25" s="146">
        <v>0</v>
      </c>
      <c r="M25" s="146">
        <v>0</v>
      </c>
      <c r="N25" s="146">
        <v>0</v>
      </c>
      <c r="O25" s="147">
        <f t="shared" ref="O25:O32" si="43">SUM(K25:N25)</f>
        <v>30</v>
      </c>
      <c r="P25" s="381">
        <f t="shared" ref="P25" si="44">SUM(I25/O25)*10</f>
        <v>8</v>
      </c>
      <c r="Q25" s="382">
        <f t="shared" ref="Q25" si="45">SUM(J25/O25)*10</f>
        <v>0</v>
      </c>
      <c r="R25" t="s">
        <v>58</v>
      </c>
    </row>
    <row r="26" spans="1:18" ht="14.95" customHeight="1" thickBot="1" x14ac:dyDescent="0.3">
      <c r="H26" s="592" t="s">
        <v>31</v>
      </c>
      <c r="I26" s="146">
        <v>0</v>
      </c>
      <c r="J26" s="146">
        <v>0</v>
      </c>
      <c r="K26" s="146">
        <v>3</v>
      </c>
      <c r="L26" s="146">
        <v>0</v>
      </c>
      <c r="M26" s="146">
        <v>0</v>
      </c>
      <c r="N26" s="146">
        <v>0</v>
      </c>
      <c r="O26" s="147">
        <f t="shared" si="43"/>
        <v>3</v>
      </c>
      <c r="P26" s="381">
        <f t="shared" ref="P26" si="46">SUM(I26/O26)*10</f>
        <v>0</v>
      </c>
      <c r="Q26" s="382">
        <f t="shared" ref="Q26" si="47">SUM(J26/O26)*10</f>
        <v>0</v>
      </c>
      <c r="R26" t="s">
        <v>58</v>
      </c>
    </row>
    <row r="27" spans="1:18" ht="14.95" customHeight="1" thickBot="1" x14ac:dyDescent="0.3">
      <c r="H27" s="81" t="s">
        <v>34</v>
      </c>
      <c r="I27" s="146">
        <v>31</v>
      </c>
      <c r="J27" s="146">
        <v>7</v>
      </c>
      <c r="K27" s="146">
        <v>51</v>
      </c>
      <c r="L27" s="146">
        <v>0</v>
      </c>
      <c r="M27" s="146">
        <v>0</v>
      </c>
      <c r="N27" s="146">
        <v>0</v>
      </c>
      <c r="O27" s="147">
        <f t="shared" ref="O27" si="48">SUM(K27:N27)</f>
        <v>51</v>
      </c>
      <c r="P27" s="381">
        <f t="shared" ref="P27" si="49">SUM(I27/O27)*10</f>
        <v>6.0784313725490193</v>
      </c>
      <c r="Q27" s="382">
        <f t="shared" ref="Q27" si="50">SUM(J27/O27)*10</f>
        <v>1.3725490196078431</v>
      </c>
      <c r="R27" t="s">
        <v>58</v>
      </c>
    </row>
    <row r="28" spans="1:18" ht="14.95" customHeight="1" thickBot="1" x14ac:dyDescent="0.3">
      <c r="H28" s="31" t="s">
        <v>39</v>
      </c>
      <c r="I28" s="146">
        <v>21</v>
      </c>
      <c r="J28" s="146">
        <v>5</v>
      </c>
      <c r="K28" s="146">
        <v>20</v>
      </c>
      <c r="L28" s="146">
        <v>0</v>
      </c>
      <c r="M28" s="146">
        <v>0</v>
      </c>
      <c r="N28" s="146">
        <v>0</v>
      </c>
      <c r="O28" s="147">
        <f t="shared" ref="O28:O30" si="51">SUM(K28:N28)</f>
        <v>20</v>
      </c>
      <c r="P28" s="381">
        <f t="shared" ref="P28" si="52">SUM(I28/O28)*10</f>
        <v>10.5</v>
      </c>
      <c r="Q28" s="382">
        <f t="shared" ref="Q28" si="53">SUM(J28/O28)*10</f>
        <v>2.5</v>
      </c>
    </row>
    <row r="29" spans="1:18" ht="14.95" thickBot="1" x14ac:dyDescent="0.3">
      <c r="H29" s="1016" t="s">
        <v>33</v>
      </c>
      <c r="I29" s="146">
        <v>27</v>
      </c>
      <c r="J29" s="146">
        <v>34</v>
      </c>
      <c r="K29" s="146">
        <v>76</v>
      </c>
      <c r="L29" s="146">
        <v>3</v>
      </c>
      <c r="M29" s="146">
        <v>7</v>
      </c>
      <c r="N29" s="146">
        <v>0</v>
      </c>
      <c r="O29" s="147">
        <f t="shared" si="51"/>
        <v>86</v>
      </c>
      <c r="P29" s="381">
        <f t="shared" ref="P29" si="54">SUM(I29/O29)*10</f>
        <v>3.1395348837209305</v>
      </c>
      <c r="Q29" s="382">
        <f t="shared" ref="Q29" si="55">SUM(J29/O29)*10</f>
        <v>3.9534883720930232</v>
      </c>
      <c r="R29" t="s">
        <v>58</v>
      </c>
    </row>
    <row r="30" spans="1:18" ht="14.95" customHeight="1" thickBot="1" x14ac:dyDescent="0.3">
      <c r="H30" s="604" t="s">
        <v>36</v>
      </c>
      <c r="I30" s="146">
        <v>16</v>
      </c>
      <c r="J30" s="146">
        <v>12</v>
      </c>
      <c r="K30" s="146">
        <v>30</v>
      </c>
      <c r="L30" s="146">
        <v>0</v>
      </c>
      <c r="M30" s="146">
        <v>0</v>
      </c>
      <c r="N30" s="146">
        <v>0</v>
      </c>
      <c r="O30" s="147">
        <f t="shared" si="51"/>
        <v>30</v>
      </c>
      <c r="P30" s="381">
        <f t="shared" ref="P30" si="56">SUM(I30/O30)*10</f>
        <v>5.333333333333333</v>
      </c>
      <c r="Q30" s="382">
        <f t="shared" ref="Q30" si="57">SUM(J30/O30)*10</f>
        <v>4</v>
      </c>
    </row>
    <row r="31" spans="1:18" ht="14.95" customHeight="1" thickBot="1" x14ac:dyDescent="0.3">
      <c r="H31" s="368" t="s">
        <v>90</v>
      </c>
      <c r="I31" s="146">
        <v>28</v>
      </c>
      <c r="J31" s="146">
        <v>15</v>
      </c>
      <c r="K31" s="146">
        <v>48</v>
      </c>
      <c r="L31" s="146">
        <v>1</v>
      </c>
      <c r="M31" s="146">
        <v>0</v>
      </c>
      <c r="N31" s="146">
        <v>0</v>
      </c>
      <c r="O31" s="147">
        <f t="shared" si="43"/>
        <v>49</v>
      </c>
      <c r="P31" s="381">
        <f t="shared" ref="P31" si="58">SUM(I31/O31)*10</f>
        <v>5.7142857142857135</v>
      </c>
      <c r="Q31" s="382">
        <f t="shared" ref="Q31" si="59">SUM(J31/O31)*10</f>
        <v>3.0612244897959187</v>
      </c>
    </row>
    <row r="32" spans="1:18" ht="14.95" customHeight="1" thickBot="1" x14ac:dyDescent="0.3">
      <c r="H32" s="81" t="s">
        <v>35</v>
      </c>
      <c r="I32" s="146">
        <v>56</v>
      </c>
      <c r="J32" s="146">
        <v>7</v>
      </c>
      <c r="K32" s="146">
        <v>84</v>
      </c>
      <c r="L32" s="146">
        <v>3</v>
      </c>
      <c r="M32" s="146">
        <v>0</v>
      </c>
      <c r="N32" s="146">
        <v>0</v>
      </c>
      <c r="O32" s="147">
        <f t="shared" si="43"/>
        <v>87</v>
      </c>
      <c r="P32" s="381">
        <f t="shared" ref="P32" si="60">SUM(I32/O32)*10</f>
        <v>6.4367816091954024</v>
      </c>
      <c r="Q32" s="382">
        <f t="shared" ref="Q32" si="61">SUM(J32/O32)*10</f>
        <v>0.8045977011494253</v>
      </c>
      <c r="R32" t="s">
        <v>58</v>
      </c>
    </row>
    <row r="33" spans="1:18" ht="14.95" customHeight="1" thickBot="1" x14ac:dyDescent="0.3">
      <c r="H33" s="44" t="s">
        <v>97</v>
      </c>
      <c r="I33" s="146">
        <v>52</v>
      </c>
      <c r="J33" s="146">
        <v>7</v>
      </c>
      <c r="K33" s="146">
        <v>47</v>
      </c>
      <c r="L33" s="146">
        <v>14</v>
      </c>
      <c r="M33" s="146">
        <v>1</v>
      </c>
      <c r="N33" s="146">
        <v>0</v>
      </c>
      <c r="O33" s="147">
        <f t="shared" ref="O33:O34" si="62">SUM(K33:N33)</f>
        <v>62</v>
      </c>
      <c r="P33" s="381">
        <f t="shared" ref="P33" si="63">SUM(I33/O33)*10</f>
        <v>8.387096774193548</v>
      </c>
      <c r="Q33" s="382">
        <f t="shared" ref="Q33" si="64">SUM(J33/O33)*10</f>
        <v>1.129032258064516</v>
      </c>
      <c r="R33" t="s">
        <v>58</v>
      </c>
    </row>
    <row r="34" spans="1:18" ht="14.95" thickBot="1" x14ac:dyDescent="0.3">
      <c r="H34" s="8" t="s">
        <v>91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7">
        <f t="shared" si="62"/>
        <v>0</v>
      </c>
      <c r="P34" s="381" t="s">
        <v>157</v>
      </c>
      <c r="Q34" s="382" t="s">
        <v>157</v>
      </c>
      <c r="R34" t="s">
        <v>762</v>
      </c>
    </row>
    <row r="35" spans="1:18" ht="14.95" thickBot="1" x14ac:dyDescent="0.3">
      <c r="H35" s="8" t="s">
        <v>32</v>
      </c>
      <c r="I35" s="146">
        <v>3</v>
      </c>
      <c r="J35" s="146">
        <v>0</v>
      </c>
      <c r="K35" s="146">
        <v>12</v>
      </c>
      <c r="L35" s="146">
        <v>6</v>
      </c>
      <c r="M35" s="146">
        <v>0</v>
      </c>
      <c r="N35" s="146">
        <v>0</v>
      </c>
      <c r="O35" s="147">
        <f t="shared" ref="O35" si="65">SUM(K35:N35)</f>
        <v>18</v>
      </c>
      <c r="P35" s="381">
        <f t="shared" ref="P35" si="66">SUM(I35/O35)*10</f>
        <v>1.6666666666666665</v>
      </c>
      <c r="Q35" s="382">
        <f t="shared" ref="Q35" si="67">SUM(J35/O35)*10</f>
        <v>0</v>
      </c>
    </row>
    <row r="36" spans="1:18" ht="14.95" thickBot="1" x14ac:dyDescent="0.3">
      <c r="H36" s="151" t="s">
        <v>57</v>
      </c>
      <c r="I36" s="148">
        <f t="shared" ref="I36:O36" si="68">SUM(I25:I32)</f>
        <v>203</v>
      </c>
      <c r="J36" s="149">
        <f t="shared" si="68"/>
        <v>80</v>
      </c>
      <c r="K36" s="148">
        <f t="shared" si="68"/>
        <v>342</v>
      </c>
      <c r="L36" s="150">
        <f t="shared" si="68"/>
        <v>7</v>
      </c>
      <c r="M36" s="150">
        <f t="shared" si="68"/>
        <v>7</v>
      </c>
      <c r="N36" s="150">
        <f t="shared" si="68"/>
        <v>0</v>
      </c>
      <c r="O36" s="149">
        <f t="shared" si="68"/>
        <v>356</v>
      </c>
      <c r="P36" s="515">
        <f t="shared" ref="P36" si="69">SUM(I36/O36)*10</f>
        <v>5.702247191011236</v>
      </c>
      <c r="Q36" s="516">
        <f t="shared" ref="Q36" si="70">SUM(J36/O36)*10</f>
        <v>2.2471910112359552</v>
      </c>
    </row>
    <row r="37" spans="1:18" x14ac:dyDescent="0.25">
      <c r="H37" t="s">
        <v>58</v>
      </c>
    </row>
    <row r="38" spans="1:18" x14ac:dyDescent="0.25">
      <c r="A38" s="251"/>
      <c r="H38" s="267" t="s">
        <v>149</v>
      </c>
      <c r="I38" s="138"/>
      <c r="J38" s="138"/>
      <c r="K38" s="138"/>
    </row>
    <row r="39" spans="1:18" x14ac:dyDescent="0.25">
      <c r="H39" s="138" t="s">
        <v>840</v>
      </c>
      <c r="I39" s="138"/>
      <c r="J39" s="138"/>
      <c r="K39" s="138"/>
    </row>
    <row r="40" spans="1:18" x14ac:dyDescent="0.25">
      <c r="H40" s="138" t="s">
        <v>841</v>
      </c>
      <c r="I40" s="138"/>
      <c r="J40" s="138"/>
      <c r="K40" s="138"/>
    </row>
    <row r="41" spans="1:18" x14ac:dyDescent="0.25">
      <c r="H41" s="138" t="s">
        <v>842</v>
      </c>
      <c r="J41" s="138"/>
      <c r="K41" s="138"/>
      <c r="L41" s="138"/>
    </row>
    <row r="42" spans="1:18" x14ac:dyDescent="0.25">
      <c r="H42" s="138"/>
      <c r="J42" s="138"/>
      <c r="K42" s="138"/>
      <c r="L42" s="138"/>
    </row>
    <row r="43" spans="1:18" x14ac:dyDescent="0.25">
      <c r="H43" s="267" t="s">
        <v>811</v>
      </c>
      <c r="J43" s="138"/>
      <c r="K43" s="138"/>
      <c r="L43" s="138"/>
      <c r="M43" s="138"/>
      <c r="N43" s="138"/>
      <c r="O43" s="267" t="s">
        <v>812</v>
      </c>
    </row>
    <row r="44" spans="1:18" x14ac:dyDescent="0.25">
      <c r="H44" s="138" t="s">
        <v>843</v>
      </c>
      <c r="J44" s="138"/>
      <c r="K44" s="138"/>
      <c r="L44" s="138"/>
      <c r="O44" t="s">
        <v>847</v>
      </c>
    </row>
    <row r="45" spans="1:18" x14ac:dyDescent="0.25">
      <c r="H45" s="138" t="s">
        <v>844</v>
      </c>
    </row>
    <row r="46" spans="1:18" x14ac:dyDescent="0.25">
      <c r="H46" s="138" t="s">
        <v>845</v>
      </c>
    </row>
    <row r="47" spans="1:18" x14ac:dyDescent="0.25">
      <c r="H47" s="138" t="s">
        <v>846</v>
      </c>
    </row>
  </sheetData>
  <sortState xmlns:xlrd2="http://schemas.microsoft.com/office/spreadsheetml/2017/richdata2" ref="A2:F15">
    <sortCondition ref="F2:F15"/>
    <sortCondition ref="D2:D15"/>
    <sortCondition ref="A2:A15"/>
  </sortState>
  <mergeCells count="10">
    <mergeCell ref="B1:C1"/>
    <mergeCell ref="D1:E1"/>
    <mergeCell ref="H1:H2"/>
    <mergeCell ref="I1:J1"/>
    <mergeCell ref="K1:O1"/>
    <mergeCell ref="H20:H21"/>
    <mergeCell ref="I20:J20"/>
    <mergeCell ref="K20:O20"/>
    <mergeCell ref="P20:Q20"/>
    <mergeCell ref="P1:Q1"/>
  </mergeCells>
  <pageMargins left="0.7" right="0.7" top="0.75" bottom="0.75" header="0.3" footer="0.3"/>
  <ignoredErrors>
    <ignoredError sqref="I36:O36 I17:O19 O22 O3 O13 O16 O26 O28:O32 O35 I21:K21 N21:O21 O14:O15 O33:O34 O12 O25 I20:O20 O5" formulaRange="1"/>
    <ignoredError sqref="O6:O11 O27 O23 O4" formula="1" formulaRange="1"/>
    <ignoredError sqref="P21:Q21 P17:Q19 P36:Q36 P20:Q20" evalError="1" formulaRange="1"/>
    <ignoredError sqref="P6:Q6 P23:Q23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32"/>
  <sheetViews>
    <sheetView zoomScale="90" zoomScaleNormal="90" workbookViewId="0">
      <pane ySplit="2" topLeftCell="A3" activePane="bottomLeft" state="frozen"/>
      <selection activeCell="D8" sqref="A8:AO21"/>
      <selection pane="bottomLeft" activeCell="A20" sqref="A20"/>
    </sheetView>
  </sheetViews>
  <sheetFormatPr defaultRowHeight="14.3" x14ac:dyDescent="0.25"/>
  <cols>
    <col min="1" max="1" width="7.375" customWidth="1"/>
    <col min="2" max="2" width="5.125" bestFit="1" customWidth="1"/>
    <col min="3" max="3" width="11.37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0.125" bestFit="1" customWidth="1"/>
    <col min="22" max="22" width="28.375" bestFit="1" customWidth="1"/>
    <col min="23" max="23" width="19.125" bestFit="1" customWidth="1"/>
    <col min="24" max="24" width="21.125" bestFit="1" customWidth="1"/>
    <col min="25" max="25" width="23.125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068" t="s">
        <v>397</v>
      </c>
      <c r="B1" s="1069"/>
      <c r="C1" s="1069"/>
      <c r="D1" s="477"/>
      <c r="E1" s="1065" t="s">
        <v>24</v>
      </c>
      <c r="F1" s="1067"/>
      <c r="G1" s="1066"/>
      <c r="H1" s="1065" t="s">
        <v>23</v>
      </c>
      <c r="I1" s="1066"/>
      <c r="J1" s="1070" t="s">
        <v>6</v>
      </c>
      <c r="K1" s="1071"/>
      <c r="L1" s="1071"/>
      <c r="M1" s="1072"/>
      <c r="N1" s="1070" t="s">
        <v>7</v>
      </c>
      <c r="O1" s="1072"/>
      <c r="P1" s="1070" t="s">
        <v>25</v>
      </c>
      <c r="Q1" s="1071"/>
      <c r="R1" s="1072"/>
      <c r="S1" s="478" t="s">
        <v>8</v>
      </c>
      <c r="T1" s="478" t="s">
        <v>9</v>
      </c>
      <c r="U1" s="479" t="s">
        <v>10</v>
      </c>
      <c r="V1" s="480" t="s">
        <v>11</v>
      </c>
      <c r="W1" s="479" t="s">
        <v>211</v>
      </c>
      <c r="X1" s="481" t="s">
        <v>26</v>
      </c>
      <c r="Y1" s="482" t="s">
        <v>27</v>
      </c>
      <c r="Z1" s="1073" t="s">
        <v>20</v>
      </c>
      <c r="AA1" s="1074"/>
      <c r="AB1" s="1074"/>
      <c r="AC1" s="1075"/>
      <c r="AD1" s="1073" t="s">
        <v>61</v>
      </c>
      <c r="AE1" s="1074"/>
      <c r="AF1" s="1074"/>
      <c r="AG1" s="1075"/>
      <c r="AH1" s="1073" t="s">
        <v>62</v>
      </c>
      <c r="AI1" s="1074"/>
      <c r="AJ1" s="1074"/>
      <c r="AK1" s="1075"/>
      <c r="AL1" s="1076" t="s">
        <v>63</v>
      </c>
      <c r="AM1" s="1077"/>
      <c r="AN1" s="1077"/>
      <c r="AO1" s="1077"/>
      <c r="AQ1" s="494" t="s">
        <v>110</v>
      </c>
      <c r="AR1" s="14"/>
      <c r="AT1" s="494" t="s">
        <v>110</v>
      </c>
    </row>
    <row r="2" spans="1:47" ht="14.95" customHeight="1" thickBot="1" x14ac:dyDescent="0.3">
      <c r="A2" s="483" t="s">
        <v>19</v>
      </c>
      <c r="B2" s="484" t="s">
        <v>18</v>
      </c>
      <c r="C2" s="485" t="s">
        <v>17</v>
      </c>
      <c r="D2" s="486" t="s">
        <v>41</v>
      </c>
      <c r="E2" s="486" t="s">
        <v>16</v>
      </c>
      <c r="F2" s="486" t="s">
        <v>4</v>
      </c>
      <c r="G2" s="486" t="s">
        <v>5</v>
      </c>
      <c r="H2" s="487" t="s">
        <v>12</v>
      </c>
      <c r="I2" s="487" t="s">
        <v>3</v>
      </c>
      <c r="J2" s="487" t="s">
        <v>12</v>
      </c>
      <c r="K2" s="487" t="s">
        <v>13</v>
      </c>
      <c r="L2" s="487" t="s">
        <v>2</v>
      </c>
      <c r="M2" s="487" t="s">
        <v>14</v>
      </c>
      <c r="N2" s="487" t="s">
        <v>15</v>
      </c>
      <c r="O2" s="487" t="s">
        <v>16</v>
      </c>
      <c r="P2" s="487" t="s">
        <v>21</v>
      </c>
      <c r="Q2" s="487" t="s">
        <v>22</v>
      </c>
      <c r="R2" s="487" t="s">
        <v>12</v>
      </c>
      <c r="S2" s="488"/>
      <c r="T2" s="489"/>
      <c r="U2" s="490"/>
      <c r="V2" s="488"/>
      <c r="W2" s="490"/>
      <c r="X2" s="491"/>
      <c r="Y2" s="492"/>
      <c r="Z2" s="493" t="s">
        <v>0</v>
      </c>
      <c r="AA2" s="493" t="s">
        <v>1</v>
      </c>
      <c r="AB2" s="493" t="s">
        <v>2</v>
      </c>
      <c r="AC2" s="493" t="s">
        <v>3</v>
      </c>
      <c r="AD2" s="493" t="s">
        <v>0</v>
      </c>
      <c r="AE2" s="493" t="s">
        <v>1</v>
      </c>
      <c r="AF2" s="493" t="s">
        <v>2</v>
      </c>
      <c r="AG2" s="493" t="s">
        <v>3</v>
      </c>
      <c r="AH2" s="493" t="s">
        <v>0</v>
      </c>
      <c r="AI2" s="493" t="s">
        <v>1</v>
      </c>
      <c r="AJ2" s="493" t="s">
        <v>2</v>
      </c>
      <c r="AK2" s="493" t="s">
        <v>3</v>
      </c>
      <c r="AL2" s="493" t="s">
        <v>0</v>
      </c>
      <c r="AM2" s="493" t="s">
        <v>1</v>
      </c>
      <c r="AN2" s="493" t="s">
        <v>2</v>
      </c>
      <c r="AO2" s="493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">
      <c r="A3" s="289" t="s">
        <v>229</v>
      </c>
      <c r="B3" s="290" t="s">
        <v>45</v>
      </c>
      <c r="C3" s="290" t="s">
        <v>30</v>
      </c>
      <c r="D3" s="290" t="s">
        <v>250</v>
      </c>
      <c r="E3" s="291" t="s">
        <v>3</v>
      </c>
      <c r="F3" s="291">
        <v>12</v>
      </c>
      <c r="G3" s="291">
        <v>35</v>
      </c>
      <c r="H3" s="692" t="s">
        <v>80</v>
      </c>
      <c r="I3" s="692" t="s">
        <v>80</v>
      </c>
      <c r="J3" s="692">
        <v>2</v>
      </c>
      <c r="K3" s="692">
        <v>1</v>
      </c>
      <c r="L3" s="692">
        <v>0</v>
      </c>
      <c r="M3" s="692">
        <v>0</v>
      </c>
      <c r="N3" s="692">
        <v>0</v>
      </c>
      <c r="O3" s="692">
        <v>0</v>
      </c>
      <c r="P3" s="692" t="s">
        <v>80</v>
      </c>
      <c r="Q3" s="692" t="s">
        <v>80</v>
      </c>
      <c r="R3" s="692">
        <v>4</v>
      </c>
      <c r="S3" s="292">
        <v>32000</v>
      </c>
      <c r="T3" s="293" t="s">
        <v>429</v>
      </c>
      <c r="U3" s="294" t="s">
        <v>162</v>
      </c>
      <c r="V3" s="292" t="s">
        <v>430</v>
      </c>
      <c r="W3" s="292" t="s">
        <v>235</v>
      </c>
      <c r="X3" s="295" t="s">
        <v>194</v>
      </c>
      <c r="Y3" s="296" t="s">
        <v>214</v>
      </c>
      <c r="Z3" s="295">
        <v>1</v>
      </c>
      <c r="AA3" s="295">
        <v>0</v>
      </c>
      <c r="AB3" s="295">
        <v>0</v>
      </c>
      <c r="AC3" s="307">
        <v>1</v>
      </c>
      <c r="AD3" s="295">
        <v>1</v>
      </c>
      <c r="AE3" s="295">
        <v>0</v>
      </c>
      <c r="AF3" s="295">
        <v>0</v>
      </c>
      <c r="AG3" s="307">
        <v>1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Argentinaalltestsplayed</f>
        <v>513</v>
      </c>
      <c r="AT3" s="214" t="s">
        <v>101</v>
      </c>
      <c r="AU3" s="215">
        <f>ArgentinaWChistplayed</f>
        <v>48</v>
      </c>
    </row>
    <row r="4" spans="1:47" ht="14.95" customHeight="1" thickBot="1" x14ac:dyDescent="0.35">
      <c r="A4" s="289" t="s">
        <v>232</v>
      </c>
      <c r="B4" s="290" t="s">
        <v>45</v>
      </c>
      <c r="C4" s="290" t="s">
        <v>30</v>
      </c>
      <c r="D4" s="290" t="s">
        <v>288</v>
      </c>
      <c r="E4" s="291" t="s">
        <v>3</v>
      </c>
      <c r="F4" s="291">
        <v>17</v>
      </c>
      <c r="G4" s="291">
        <v>22</v>
      </c>
      <c r="H4" s="692" t="s">
        <v>80</v>
      </c>
      <c r="I4" s="692" t="s">
        <v>80</v>
      </c>
      <c r="J4" s="692">
        <v>2</v>
      </c>
      <c r="K4" s="692">
        <v>2</v>
      </c>
      <c r="L4" s="692">
        <v>0</v>
      </c>
      <c r="M4" s="692">
        <v>1</v>
      </c>
      <c r="N4" s="692">
        <v>1</v>
      </c>
      <c r="O4" s="692">
        <v>0</v>
      </c>
      <c r="P4" s="692" t="s">
        <v>80</v>
      </c>
      <c r="Q4" s="692" t="s">
        <v>80</v>
      </c>
      <c r="R4" s="692">
        <v>3</v>
      </c>
      <c r="S4" s="292">
        <v>20000</v>
      </c>
      <c r="T4" s="710" t="s">
        <v>462</v>
      </c>
      <c r="U4" s="295" t="s">
        <v>194</v>
      </c>
      <c r="V4" s="292" t="s">
        <v>235</v>
      </c>
      <c r="W4" s="292" t="s">
        <v>430</v>
      </c>
      <c r="X4" s="294" t="s">
        <v>162</v>
      </c>
      <c r="Y4" s="296" t="s">
        <v>214</v>
      </c>
      <c r="Z4" s="295">
        <v>1</v>
      </c>
      <c r="AA4" s="295">
        <v>0</v>
      </c>
      <c r="AB4" s="295">
        <v>0</v>
      </c>
      <c r="AC4" s="307">
        <v>1</v>
      </c>
      <c r="AD4" s="295">
        <v>0</v>
      </c>
      <c r="AE4" s="295">
        <v>0</v>
      </c>
      <c r="AF4" s="295">
        <v>0</v>
      </c>
      <c r="AG4" s="307">
        <v>0</v>
      </c>
      <c r="AH4" s="295">
        <v>1</v>
      </c>
      <c r="AI4" s="295">
        <v>0</v>
      </c>
      <c r="AJ4" s="295">
        <v>0</v>
      </c>
      <c r="AK4" s="307">
        <v>1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Argentinaalltestswon</f>
        <v>255</v>
      </c>
      <c r="AT4" s="216" t="s">
        <v>102</v>
      </c>
      <c r="AU4" s="217">
        <f>ArgentinaWChistwon</f>
        <v>25</v>
      </c>
    </row>
    <row r="5" spans="1:47" ht="14.95" customHeight="1" thickBot="1" x14ac:dyDescent="0.35">
      <c r="A5" s="289" t="s">
        <v>239</v>
      </c>
      <c r="B5" s="344" t="s">
        <v>45</v>
      </c>
      <c r="C5" s="290" t="s">
        <v>79</v>
      </c>
      <c r="D5" s="300" t="s">
        <v>508</v>
      </c>
      <c r="E5" s="291" t="s">
        <v>1</v>
      </c>
      <c r="F5" s="291">
        <v>52</v>
      </c>
      <c r="G5" s="291">
        <v>17</v>
      </c>
      <c r="H5" s="692" t="s">
        <v>80</v>
      </c>
      <c r="I5" s="692" t="s">
        <v>80</v>
      </c>
      <c r="J5" s="692">
        <v>8</v>
      </c>
      <c r="K5" s="692">
        <v>5</v>
      </c>
      <c r="L5" s="692">
        <v>0</v>
      </c>
      <c r="M5" s="692">
        <v>0</v>
      </c>
      <c r="N5" s="692">
        <v>0</v>
      </c>
      <c r="O5" s="692">
        <v>1</v>
      </c>
      <c r="P5" s="692" t="s">
        <v>80</v>
      </c>
      <c r="Q5" s="692" t="s">
        <v>80</v>
      </c>
      <c r="R5" s="692">
        <v>2</v>
      </c>
      <c r="S5" s="292">
        <v>22000</v>
      </c>
      <c r="T5" s="302" t="s">
        <v>509</v>
      </c>
      <c r="U5" s="295" t="s">
        <v>214</v>
      </c>
      <c r="V5" s="292" t="s">
        <v>235</v>
      </c>
      <c r="W5" s="292" t="s">
        <v>157</v>
      </c>
      <c r="X5" s="292" t="s">
        <v>186</v>
      </c>
      <c r="Y5" s="296" t="s">
        <v>510</v>
      </c>
      <c r="Z5" s="295">
        <v>1</v>
      </c>
      <c r="AA5" s="295">
        <v>1</v>
      </c>
      <c r="AB5" s="295">
        <v>0</v>
      </c>
      <c r="AC5" s="307">
        <v>0</v>
      </c>
      <c r="AD5" s="295">
        <v>1</v>
      </c>
      <c r="AE5" s="295">
        <v>1</v>
      </c>
      <c r="AF5" s="295">
        <v>0</v>
      </c>
      <c r="AG5" s="307">
        <v>0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Argentinaalltestsdrawn</f>
        <v>13</v>
      </c>
      <c r="AT5" s="216" t="s">
        <v>107</v>
      </c>
      <c r="AU5" s="217">
        <f>ArgentinaWChistdrawn</f>
        <v>0</v>
      </c>
    </row>
    <row r="6" spans="1:47" ht="14.95" customHeight="1" thickBot="1" x14ac:dyDescent="0.3">
      <c r="A6" s="289" t="s">
        <v>537</v>
      </c>
      <c r="B6" s="290" t="s">
        <v>199</v>
      </c>
      <c r="C6" s="290" t="s">
        <v>90</v>
      </c>
      <c r="D6" s="290" t="s">
        <v>541</v>
      </c>
      <c r="E6" s="291" t="s">
        <v>3</v>
      </c>
      <c r="F6" s="291">
        <v>24</v>
      </c>
      <c r="G6" s="291">
        <v>41</v>
      </c>
      <c r="H6" s="692" t="s">
        <v>80</v>
      </c>
      <c r="I6" s="692" t="s">
        <v>80</v>
      </c>
      <c r="J6" s="692">
        <v>3</v>
      </c>
      <c r="K6" s="692">
        <v>3</v>
      </c>
      <c r="L6" s="692">
        <v>0</v>
      </c>
      <c r="M6" s="692">
        <v>1</v>
      </c>
      <c r="N6" s="692">
        <v>1</v>
      </c>
      <c r="O6" s="692">
        <v>0</v>
      </c>
      <c r="P6" s="692">
        <v>1</v>
      </c>
      <c r="Q6" s="692">
        <v>0</v>
      </c>
      <c r="R6" s="692">
        <v>6</v>
      </c>
      <c r="S6" s="295">
        <v>55740</v>
      </c>
      <c r="T6" s="577" t="s">
        <v>543</v>
      </c>
      <c r="U6" s="298" t="s">
        <v>190</v>
      </c>
      <c r="V6" s="295" t="s">
        <v>215</v>
      </c>
      <c r="W6" s="295" t="s">
        <v>237</v>
      </c>
      <c r="X6" s="295" t="s">
        <v>169</v>
      </c>
      <c r="Y6" s="299" t="s">
        <v>216</v>
      </c>
      <c r="Z6" s="295">
        <v>1</v>
      </c>
      <c r="AA6" s="295">
        <v>0</v>
      </c>
      <c r="AB6" s="295">
        <v>0</v>
      </c>
      <c r="AC6" s="307">
        <v>1</v>
      </c>
      <c r="AD6" s="295">
        <v>1</v>
      </c>
      <c r="AE6" s="295">
        <v>0</v>
      </c>
      <c r="AF6" s="295">
        <v>0</v>
      </c>
      <c r="AG6" s="307">
        <v>1</v>
      </c>
      <c r="AH6" s="295">
        <v>0</v>
      </c>
      <c r="AI6" s="295">
        <v>0</v>
      </c>
      <c r="AJ6" s="295">
        <v>0</v>
      </c>
      <c r="AK6" s="307">
        <v>0</v>
      </c>
      <c r="AL6" s="295">
        <v>0</v>
      </c>
      <c r="AM6" s="295">
        <v>0</v>
      </c>
      <c r="AN6" s="295">
        <v>0</v>
      </c>
      <c r="AO6" s="307">
        <v>0</v>
      </c>
      <c r="AQ6" s="216" t="s">
        <v>103</v>
      </c>
      <c r="AR6" s="217">
        <f>Argentinaalltestslost</f>
        <v>245</v>
      </c>
      <c r="AT6" s="216" t="s">
        <v>103</v>
      </c>
      <c r="AU6" s="217">
        <f>ArgentinaWChistlost</f>
        <v>23</v>
      </c>
    </row>
    <row r="7" spans="1:47" ht="14.95" customHeight="1" thickBot="1" x14ac:dyDescent="0.3">
      <c r="A7" s="289" t="s">
        <v>243</v>
      </c>
      <c r="B7" s="290" t="s">
        <v>199</v>
      </c>
      <c r="C7" s="290" t="s">
        <v>90</v>
      </c>
      <c r="D7" s="290" t="s">
        <v>556</v>
      </c>
      <c r="E7" s="229" t="s">
        <v>1</v>
      </c>
      <c r="F7" s="229">
        <v>29</v>
      </c>
      <c r="G7" s="229">
        <v>23</v>
      </c>
      <c r="H7" s="729">
        <v>0</v>
      </c>
      <c r="I7" s="729">
        <v>0</v>
      </c>
      <c r="J7" s="729">
        <v>2</v>
      </c>
      <c r="K7" s="729">
        <v>2</v>
      </c>
      <c r="L7" s="729">
        <v>0</v>
      </c>
      <c r="M7" s="729">
        <v>5</v>
      </c>
      <c r="N7" s="729">
        <v>0</v>
      </c>
      <c r="O7" s="729">
        <v>0</v>
      </c>
      <c r="P7" s="729">
        <v>0</v>
      </c>
      <c r="Q7" s="729">
        <v>1</v>
      </c>
      <c r="R7" s="729">
        <v>3</v>
      </c>
      <c r="S7" s="295">
        <v>48000</v>
      </c>
      <c r="T7" s="730" t="s">
        <v>557</v>
      </c>
      <c r="U7" s="295" t="s">
        <v>169</v>
      </c>
      <c r="V7" s="295" t="s">
        <v>215</v>
      </c>
      <c r="W7" s="298" t="s">
        <v>237</v>
      </c>
      <c r="X7" s="298" t="s">
        <v>190</v>
      </c>
      <c r="Y7" s="299" t="s">
        <v>216</v>
      </c>
      <c r="Z7" s="295">
        <v>1</v>
      </c>
      <c r="AA7" s="307">
        <v>1</v>
      </c>
      <c r="AB7" s="307">
        <v>0</v>
      </c>
      <c r="AC7" s="307">
        <v>0</v>
      </c>
      <c r="AD7" s="307">
        <v>1</v>
      </c>
      <c r="AE7" s="307">
        <v>1</v>
      </c>
      <c r="AF7" s="307">
        <v>0</v>
      </c>
      <c r="AG7" s="307">
        <v>0</v>
      </c>
      <c r="AH7" s="307">
        <v>0</v>
      </c>
      <c r="AI7" s="307">
        <v>0</v>
      </c>
      <c r="AJ7" s="307">
        <v>0</v>
      </c>
      <c r="AK7" s="307">
        <v>0</v>
      </c>
      <c r="AL7" s="307">
        <v>0</v>
      </c>
      <c r="AM7" s="307">
        <v>0</v>
      </c>
      <c r="AN7" s="307">
        <v>0</v>
      </c>
      <c r="AO7" s="307">
        <v>0</v>
      </c>
      <c r="AQ7" s="216" t="s">
        <v>108</v>
      </c>
      <c r="AR7" s="217">
        <f>Argentinaalltestsptsscored</f>
        <v>14310</v>
      </c>
      <c r="AT7" s="216" t="s">
        <v>108</v>
      </c>
      <c r="AU7" s="217">
        <f>ArgentinaWChistptsscored</f>
        <v>1283</v>
      </c>
    </row>
    <row r="8" spans="1:47" ht="14.95" customHeight="1" thickBot="1" x14ac:dyDescent="0.35">
      <c r="A8" s="284" t="s">
        <v>233</v>
      </c>
      <c r="B8" s="283" t="s">
        <v>199</v>
      </c>
      <c r="C8" s="283" t="s">
        <v>29</v>
      </c>
      <c r="D8" s="495" t="s">
        <v>599</v>
      </c>
      <c r="E8" s="271" t="s">
        <v>3</v>
      </c>
      <c r="F8" s="271">
        <v>24</v>
      </c>
      <c r="G8" s="271">
        <v>28</v>
      </c>
      <c r="H8" s="691">
        <v>0</v>
      </c>
      <c r="I8" s="691">
        <v>1</v>
      </c>
      <c r="J8" s="691">
        <v>2</v>
      </c>
      <c r="K8" s="691">
        <v>1</v>
      </c>
      <c r="L8" s="691">
        <v>0</v>
      </c>
      <c r="M8" s="691">
        <v>4</v>
      </c>
      <c r="N8" s="691">
        <v>1</v>
      </c>
      <c r="O8" s="691">
        <v>0</v>
      </c>
      <c r="P8" s="691">
        <v>0</v>
      </c>
      <c r="Q8" s="691">
        <v>0</v>
      </c>
      <c r="R8" s="691">
        <v>4</v>
      </c>
      <c r="S8" s="273">
        <v>20163</v>
      </c>
      <c r="T8" s="575" t="s">
        <v>603</v>
      </c>
      <c r="U8" s="273" t="s">
        <v>164</v>
      </c>
      <c r="V8" s="273" t="s">
        <v>235</v>
      </c>
      <c r="W8" s="277" t="s">
        <v>234</v>
      </c>
      <c r="X8" s="273" t="s">
        <v>189</v>
      </c>
      <c r="Y8" s="770" t="s">
        <v>254</v>
      </c>
      <c r="Z8" s="273">
        <v>1</v>
      </c>
      <c r="AA8" s="287">
        <v>0</v>
      </c>
      <c r="AB8" s="287">
        <v>0</v>
      </c>
      <c r="AC8" s="287">
        <v>1</v>
      </c>
      <c r="AD8" s="287">
        <v>0</v>
      </c>
      <c r="AE8" s="287">
        <v>0</v>
      </c>
      <c r="AF8" s="287">
        <v>0</v>
      </c>
      <c r="AG8" s="287">
        <v>0</v>
      </c>
      <c r="AH8" s="287">
        <v>1</v>
      </c>
      <c r="AI8" s="287">
        <v>0</v>
      </c>
      <c r="AJ8" s="287">
        <v>0</v>
      </c>
      <c r="AK8" s="287">
        <v>1</v>
      </c>
      <c r="AL8" s="287">
        <v>0</v>
      </c>
      <c r="AM8" s="287">
        <v>0</v>
      </c>
      <c r="AN8" s="287">
        <v>0</v>
      </c>
      <c r="AO8" s="287">
        <v>0</v>
      </c>
      <c r="AQ8" s="216" t="s">
        <v>109</v>
      </c>
      <c r="AR8" s="217">
        <f>Argentinaalltestsptsagainst</f>
        <v>10964</v>
      </c>
      <c r="AT8" s="216" t="s">
        <v>109</v>
      </c>
      <c r="AU8" s="217">
        <f>ArgentinaWChistptsagainst</f>
        <v>995</v>
      </c>
    </row>
    <row r="9" spans="1:47" ht="14.95" customHeight="1" thickBot="1" x14ac:dyDescent="0.35">
      <c r="A9" s="284" t="s">
        <v>634</v>
      </c>
      <c r="B9" s="283" t="s">
        <v>199</v>
      </c>
      <c r="C9" s="283" t="s">
        <v>29</v>
      </c>
      <c r="D9" s="495" t="s">
        <v>635</v>
      </c>
      <c r="E9" s="271" t="s">
        <v>1</v>
      </c>
      <c r="F9" s="271">
        <v>28</v>
      </c>
      <c r="G9" s="271">
        <v>26</v>
      </c>
      <c r="H9" s="691">
        <v>0</v>
      </c>
      <c r="I9" s="691">
        <v>0</v>
      </c>
      <c r="J9" s="691">
        <v>1</v>
      </c>
      <c r="K9" s="691">
        <v>1</v>
      </c>
      <c r="L9" s="691">
        <v>0</v>
      </c>
      <c r="M9" s="691">
        <v>7</v>
      </c>
      <c r="N9" s="691">
        <v>1</v>
      </c>
      <c r="O9" s="691">
        <v>0</v>
      </c>
      <c r="P9" s="691">
        <v>1</v>
      </c>
      <c r="Q9" s="691">
        <v>1</v>
      </c>
      <c r="R9" s="691">
        <v>4</v>
      </c>
      <c r="S9" s="273">
        <v>41912</v>
      </c>
      <c r="T9" s="316" t="s">
        <v>415</v>
      </c>
      <c r="U9" s="273" t="s">
        <v>189</v>
      </c>
      <c r="V9" s="273" t="s">
        <v>235</v>
      </c>
      <c r="W9" s="273" t="s">
        <v>234</v>
      </c>
      <c r="X9" s="273" t="s">
        <v>164</v>
      </c>
      <c r="Y9" s="273" t="s">
        <v>254</v>
      </c>
      <c r="Z9" s="273">
        <v>1</v>
      </c>
      <c r="AA9" s="287">
        <v>1</v>
      </c>
      <c r="AB9" s="287">
        <v>0</v>
      </c>
      <c r="AC9" s="287">
        <v>0</v>
      </c>
      <c r="AD9" s="287">
        <v>0</v>
      </c>
      <c r="AE9" s="287">
        <v>0</v>
      </c>
      <c r="AF9" s="287">
        <v>0</v>
      </c>
      <c r="AG9" s="287">
        <v>0</v>
      </c>
      <c r="AH9" s="287">
        <v>1</v>
      </c>
      <c r="AI9" s="287">
        <v>1</v>
      </c>
      <c r="AJ9" s="287">
        <v>0</v>
      </c>
      <c r="AK9" s="287">
        <v>0</v>
      </c>
      <c r="AL9" s="287">
        <v>0</v>
      </c>
      <c r="AM9" s="287">
        <v>0</v>
      </c>
      <c r="AN9" s="287">
        <v>0</v>
      </c>
      <c r="AO9" s="287">
        <v>0</v>
      </c>
      <c r="AQ9" s="216" t="s">
        <v>100</v>
      </c>
      <c r="AR9" s="217">
        <f>Argentinaallteststriesscored</f>
        <v>1772</v>
      </c>
      <c r="AT9" s="216" t="s">
        <v>100</v>
      </c>
      <c r="AU9" s="217">
        <f>ArgentinaWChisttriesscored</f>
        <v>134</v>
      </c>
    </row>
    <row r="10" spans="1:47" ht="14.95" customHeight="1" thickBot="1" x14ac:dyDescent="0.3">
      <c r="A10" s="284" t="s">
        <v>683</v>
      </c>
      <c r="B10" s="283" t="s">
        <v>199</v>
      </c>
      <c r="C10" s="283" t="s">
        <v>138</v>
      </c>
      <c r="D10" s="495" t="s">
        <v>696</v>
      </c>
      <c r="E10" s="271" t="s">
        <v>3</v>
      </c>
      <c r="F10" s="271">
        <v>30</v>
      </c>
      <c r="G10" s="271">
        <v>67</v>
      </c>
      <c r="H10" s="691">
        <v>0</v>
      </c>
      <c r="I10" s="691">
        <v>0</v>
      </c>
      <c r="J10" s="691">
        <v>3</v>
      </c>
      <c r="K10" s="691">
        <v>2</v>
      </c>
      <c r="L10" s="691">
        <v>0</v>
      </c>
      <c r="M10" s="691">
        <v>3</v>
      </c>
      <c r="N10" s="691">
        <v>0</v>
      </c>
      <c r="O10" s="691">
        <v>0</v>
      </c>
      <c r="P10" s="691">
        <v>1</v>
      </c>
      <c r="Q10" s="691">
        <v>0</v>
      </c>
      <c r="R10" s="691">
        <v>9</v>
      </c>
      <c r="S10" s="273">
        <v>45158</v>
      </c>
      <c r="T10" s="286" t="s">
        <v>698</v>
      </c>
      <c r="U10" s="590" t="s">
        <v>162</v>
      </c>
      <c r="V10" s="273" t="s">
        <v>188</v>
      </c>
      <c r="W10" s="273" t="s">
        <v>214</v>
      </c>
      <c r="X10" s="273" t="s">
        <v>190</v>
      </c>
      <c r="Y10" s="275" t="s">
        <v>438</v>
      </c>
      <c r="Z10" s="273">
        <v>1</v>
      </c>
      <c r="AA10" s="287">
        <v>0</v>
      </c>
      <c r="AB10" s="287">
        <v>0</v>
      </c>
      <c r="AC10" s="287">
        <v>1</v>
      </c>
      <c r="AD10" s="287">
        <v>0</v>
      </c>
      <c r="AE10" s="287">
        <v>0</v>
      </c>
      <c r="AF10" s="287">
        <v>0</v>
      </c>
      <c r="AG10" s="287">
        <v>0</v>
      </c>
      <c r="AH10" s="287">
        <v>1</v>
      </c>
      <c r="AI10" s="287">
        <v>0</v>
      </c>
      <c r="AJ10" s="287">
        <v>0</v>
      </c>
      <c r="AK10" s="287">
        <v>1</v>
      </c>
      <c r="AL10" s="287">
        <v>0</v>
      </c>
      <c r="AM10" s="287">
        <v>0</v>
      </c>
      <c r="AN10" s="287">
        <v>0</v>
      </c>
      <c r="AO10" s="287">
        <v>0</v>
      </c>
    </row>
    <row r="11" spans="1:47" ht="14.95" customHeight="1" thickBot="1" x14ac:dyDescent="0.35">
      <c r="A11" s="340" t="s">
        <v>702</v>
      </c>
      <c r="B11" s="341" t="s">
        <v>199</v>
      </c>
      <c r="C11" s="341" t="s">
        <v>138</v>
      </c>
      <c r="D11" s="373" t="s">
        <v>88</v>
      </c>
      <c r="E11" s="314" t="s">
        <v>3</v>
      </c>
      <c r="F11" s="314">
        <v>27</v>
      </c>
      <c r="G11" s="314">
        <v>29</v>
      </c>
      <c r="H11" s="699">
        <v>0</v>
      </c>
      <c r="I11" s="699">
        <v>1</v>
      </c>
      <c r="J11" s="699">
        <v>3</v>
      </c>
      <c r="K11" s="699">
        <v>3</v>
      </c>
      <c r="L11" s="699">
        <v>0</v>
      </c>
      <c r="M11" s="699">
        <v>2</v>
      </c>
      <c r="N11" s="699">
        <v>1</v>
      </c>
      <c r="O11" s="699">
        <v>0</v>
      </c>
      <c r="P11" s="699">
        <v>0</v>
      </c>
      <c r="Q11" s="699">
        <v>0</v>
      </c>
      <c r="R11" s="699">
        <v>4</v>
      </c>
      <c r="S11" s="317">
        <v>70360</v>
      </c>
      <c r="T11" s="812" t="s">
        <v>213</v>
      </c>
      <c r="U11" s="317" t="s">
        <v>187</v>
      </c>
      <c r="V11" s="317" t="s">
        <v>196</v>
      </c>
      <c r="W11" s="317" t="s">
        <v>251</v>
      </c>
      <c r="X11" s="317" t="s">
        <v>184</v>
      </c>
      <c r="Y11" s="811" t="s">
        <v>182</v>
      </c>
      <c r="Z11" s="317">
        <v>1</v>
      </c>
      <c r="AA11" s="725">
        <v>0</v>
      </c>
      <c r="AB11" s="725">
        <v>0</v>
      </c>
      <c r="AC11" s="725">
        <v>1</v>
      </c>
      <c r="AD11" s="725">
        <v>0</v>
      </c>
      <c r="AE11" s="725">
        <v>0</v>
      </c>
      <c r="AF11" s="725">
        <v>0</v>
      </c>
      <c r="AG11" s="725">
        <v>0</v>
      </c>
      <c r="AH11" s="725">
        <v>0</v>
      </c>
      <c r="AI11" s="725">
        <v>0</v>
      </c>
      <c r="AJ11" s="725">
        <v>0</v>
      </c>
      <c r="AK11" s="725">
        <v>0</v>
      </c>
      <c r="AL11" s="725">
        <v>1</v>
      </c>
      <c r="AM11" s="725">
        <v>0</v>
      </c>
      <c r="AN11" s="725">
        <v>0</v>
      </c>
      <c r="AO11" s="725">
        <v>1</v>
      </c>
    </row>
    <row r="12" spans="1:47" ht="14.95" customHeight="1" thickBot="1" x14ac:dyDescent="0.35">
      <c r="A12" s="284" t="s">
        <v>205</v>
      </c>
      <c r="B12" s="283" t="s">
        <v>605</v>
      </c>
      <c r="C12" s="283" t="s">
        <v>32</v>
      </c>
      <c r="D12" s="495" t="s">
        <v>84</v>
      </c>
      <c r="E12" s="271" t="s">
        <v>1</v>
      </c>
      <c r="F12" s="271">
        <v>52</v>
      </c>
      <c r="G12" s="271">
        <v>28</v>
      </c>
      <c r="H12" s="691" t="s">
        <v>80</v>
      </c>
      <c r="I12" s="691" t="s">
        <v>80</v>
      </c>
      <c r="J12" s="691">
        <v>7</v>
      </c>
      <c r="K12" s="691">
        <v>7</v>
      </c>
      <c r="L12" s="691">
        <v>0</v>
      </c>
      <c r="M12" s="691">
        <v>1</v>
      </c>
      <c r="N12" s="691">
        <v>0</v>
      </c>
      <c r="O12" s="691">
        <v>0</v>
      </c>
      <c r="P12" s="691" t="s">
        <v>80</v>
      </c>
      <c r="Q12" s="691" t="s">
        <v>80</v>
      </c>
      <c r="R12" s="691">
        <v>4</v>
      </c>
      <c r="S12" s="273">
        <v>50185</v>
      </c>
      <c r="T12" s="316" t="s">
        <v>789</v>
      </c>
      <c r="U12" s="590" t="s">
        <v>165</v>
      </c>
      <c r="V12" s="273" t="s">
        <v>236</v>
      </c>
      <c r="W12" s="273" t="s">
        <v>181</v>
      </c>
      <c r="X12" s="273" t="s">
        <v>161</v>
      </c>
      <c r="Y12" s="275" t="s">
        <v>456</v>
      </c>
      <c r="Z12" s="273">
        <v>1</v>
      </c>
      <c r="AA12" s="287">
        <v>1</v>
      </c>
      <c r="AB12" s="287">
        <v>0</v>
      </c>
      <c r="AC12" s="287">
        <v>0</v>
      </c>
      <c r="AD12" s="287">
        <v>0</v>
      </c>
      <c r="AE12" s="287">
        <v>0</v>
      </c>
      <c r="AF12" s="287">
        <v>0</v>
      </c>
      <c r="AG12" s="287">
        <v>0</v>
      </c>
      <c r="AH12" s="287">
        <v>1</v>
      </c>
      <c r="AI12" s="287">
        <v>1</v>
      </c>
      <c r="AJ12" s="287">
        <v>0</v>
      </c>
      <c r="AK12" s="287">
        <v>0</v>
      </c>
      <c r="AL12" s="287">
        <v>0</v>
      </c>
      <c r="AM12" s="287">
        <v>0</v>
      </c>
      <c r="AN12" s="287">
        <v>0</v>
      </c>
      <c r="AO12" s="287">
        <v>0</v>
      </c>
    </row>
    <row r="13" spans="1:47" ht="14.95" customHeight="1" thickBot="1" x14ac:dyDescent="0.3">
      <c r="A13" s="578" t="s">
        <v>766</v>
      </c>
      <c r="B13" s="283" t="s">
        <v>605</v>
      </c>
      <c r="C13" s="283" t="s">
        <v>35</v>
      </c>
      <c r="D13" s="495" t="s">
        <v>89</v>
      </c>
      <c r="E13" s="271" t="s">
        <v>1</v>
      </c>
      <c r="F13" s="271">
        <v>33</v>
      </c>
      <c r="G13" s="271">
        <v>24</v>
      </c>
      <c r="H13" s="691" t="s">
        <v>80</v>
      </c>
      <c r="I13" s="691" t="s">
        <v>80</v>
      </c>
      <c r="J13" s="691">
        <v>5</v>
      </c>
      <c r="K13" s="691">
        <v>4</v>
      </c>
      <c r="L13" s="691">
        <v>0</v>
      </c>
      <c r="M13" s="691">
        <v>0</v>
      </c>
      <c r="N13" s="691">
        <v>1</v>
      </c>
      <c r="O13" s="691">
        <v>0</v>
      </c>
      <c r="P13" s="691" t="s">
        <v>80</v>
      </c>
      <c r="Q13" s="691" t="s">
        <v>80</v>
      </c>
      <c r="R13" s="691">
        <v>3</v>
      </c>
      <c r="S13" s="273">
        <v>67144</v>
      </c>
      <c r="T13" s="442" t="s">
        <v>809</v>
      </c>
      <c r="U13" s="273" t="s">
        <v>177</v>
      </c>
      <c r="V13" s="273" t="s">
        <v>430</v>
      </c>
      <c r="W13" s="273" t="s">
        <v>763</v>
      </c>
      <c r="X13" s="273" t="s">
        <v>162</v>
      </c>
      <c r="Y13" s="275" t="s">
        <v>163</v>
      </c>
      <c r="Z13" s="273">
        <v>1</v>
      </c>
      <c r="AA13" s="287">
        <v>1</v>
      </c>
      <c r="AB13" s="287">
        <v>0</v>
      </c>
      <c r="AC13" s="287">
        <v>0</v>
      </c>
      <c r="AD13" s="287">
        <v>0</v>
      </c>
      <c r="AE13" s="287">
        <v>0</v>
      </c>
      <c r="AF13" s="287">
        <v>0</v>
      </c>
      <c r="AG13" s="287">
        <v>0</v>
      </c>
      <c r="AH13" s="287">
        <v>1</v>
      </c>
      <c r="AI13" s="287">
        <v>1</v>
      </c>
      <c r="AJ13" s="287">
        <v>0</v>
      </c>
      <c r="AK13" s="287">
        <v>0</v>
      </c>
      <c r="AL13" s="287">
        <v>0</v>
      </c>
      <c r="AM13" s="287">
        <v>0</v>
      </c>
      <c r="AN13" s="287">
        <v>0</v>
      </c>
      <c r="AO13" s="287">
        <v>0</v>
      </c>
    </row>
    <row r="14" spans="1:47" ht="14.95" customHeight="1" thickBot="1" x14ac:dyDescent="0.3">
      <c r="A14" s="284" t="s">
        <v>767</v>
      </c>
      <c r="B14" s="283" t="s">
        <v>204</v>
      </c>
      <c r="C14" s="283" t="s">
        <v>30</v>
      </c>
      <c r="D14" s="495" t="s">
        <v>88</v>
      </c>
      <c r="E14" s="271" t="s">
        <v>3</v>
      </c>
      <c r="F14" s="271">
        <v>23</v>
      </c>
      <c r="G14" s="271">
        <v>27</v>
      </c>
      <c r="H14" s="691" t="s">
        <v>80</v>
      </c>
      <c r="I14" s="691" t="s">
        <v>80</v>
      </c>
      <c r="J14" s="691">
        <v>2</v>
      </c>
      <c r="K14" s="691">
        <v>2</v>
      </c>
      <c r="L14" s="691">
        <v>0</v>
      </c>
      <c r="M14" s="691">
        <v>3</v>
      </c>
      <c r="N14" s="691">
        <v>0</v>
      </c>
      <c r="O14" s="691">
        <v>0</v>
      </c>
      <c r="P14" s="691" t="s">
        <v>80</v>
      </c>
      <c r="Q14" s="691" t="s">
        <v>80</v>
      </c>
      <c r="R14" s="691">
        <v>3</v>
      </c>
      <c r="S14" s="273">
        <v>80807</v>
      </c>
      <c r="T14" s="286" t="s">
        <v>788</v>
      </c>
      <c r="U14" s="273" t="s">
        <v>190</v>
      </c>
      <c r="V14" s="273" t="s">
        <v>181</v>
      </c>
      <c r="W14" s="273" t="s">
        <v>251</v>
      </c>
      <c r="X14" s="273" t="s">
        <v>184</v>
      </c>
      <c r="Y14" s="273" t="s">
        <v>254</v>
      </c>
      <c r="Z14" s="591">
        <v>1</v>
      </c>
      <c r="AA14" s="722">
        <v>0</v>
      </c>
      <c r="AB14" s="722">
        <v>0</v>
      </c>
      <c r="AC14" s="722">
        <v>1</v>
      </c>
      <c r="AD14" s="722">
        <v>0</v>
      </c>
      <c r="AE14" s="722">
        <v>0</v>
      </c>
      <c r="AF14" s="722">
        <v>0</v>
      </c>
      <c r="AG14" s="722">
        <v>0</v>
      </c>
      <c r="AH14" s="722">
        <v>1</v>
      </c>
      <c r="AI14" s="722">
        <v>0</v>
      </c>
      <c r="AJ14" s="722">
        <v>0</v>
      </c>
      <c r="AK14" s="722">
        <v>1</v>
      </c>
      <c r="AL14" s="722">
        <v>0</v>
      </c>
      <c r="AM14" s="722">
        <v>0</v>
      </c>
      <c r="AN14" s="722">
        <v>0</v>
      </c>
      <c r="AO14" s="722">
        <v>0</v>
      </c>
    </row>
    <row r="15" spans="1:47" ht="14.95" thickBot="1" x14ac:dyDescent="0.3">
      <c r="A15" s="179"/>
      <c r="B15" s="180"/>
      <c r="C15" s="1078" t="s">
        <v>144</v>
      </c>
      <c r="D15" s="1079"/>
      <c r="E15" s="1080"/>
      <c r="F15" s="325">
        <f>SUM(F6:F11)</f>
        <v>162</v>
      </c>
      <c r="G15" s="325">
        <f>SUM(G6:G11)</f>
        <v>214</v>
      </c>
      <c r="H15" s="325">
        <f>SUM(H6:H12)</f>
        <v>0</v>
      </c>
      <c r="I15" s="325">
        <f>SUM(I6:I12)</f>
        <v>2</v>
      </c>
      <c r="J15" s="325">
        <f t="shared" ref="J15:Q15" si="0">SUM(J6:J11)</f>
        <v>14</v>
      </c>
      <c r="K15" s="325">
        <f t="shared" si="0"/>
        <v>12</v>
      </c>
      <c r="L15" s="325">
        <f t="shared" si="0"/>
        <v>0</v>
      </c>
      <c r="M15" s="325">
        <f t="shared" si="0"/>
        <v>22</v>
      </c>
      <c r="N15" s="325">
        <f t="shared" si="0"/>
        <v>4</v>
      </c>
      <c r="O15" s="325">
        <f t="shared" si="0"/>
        <v>0</v>
      </c>
      <c r="P15" s="325">
        <f t="shared" si="0"/>
        <v>3</v>
      </c>
      <c r="Q15" s="325">
        <f t="shared" si="0"/>
        <v>2</v>
      </c>
      <c r="R15" s="325">
        <f>SUM(R6:R11)</f>
        <v>30</v>
      </c>
      <c r="S15" s="326"/>
      <c r="T15" s="326"/>
      <c r="U15" s="221"/>
      <c r="V15" s="326"/>
      <c r="W15" s="326"/>
      <c r="X15" s="327"/>
      <c r="Y15" s="328" t="s">
        <v>144</v>
      </c>
      <c r="Z15" s="336">
        <f t="shared" ref="Z15:AO15" si="1">SUM(Z6:Z11)</f>
        <v>6</v>
      </c>
      <c r="AA15" s="325">
        <f t="shared" si="1"/>
        <v>2</v>
      </c>
      <c r="AB15" s="325">
        <f t="shared" si="1"/>
        <v>0</v>
      </c>
      <c r="AC15" s="325">
        <f t="shared" si="1"/>
        <v>4</v>
      </c>
      <c r="AD15" s="337">
        <f t="shared" si="1"/>
        <v>2</v>
      </c>
      <c r="AE15" s="337">
        <f t="shared" si="1"/>
        <v>1</v>
      </c>
      <c r="AF15" s="337">
        <f t="shared" si="1"/>
        <v>0</v>
      </c>
      <c r="AG15" s="337">
        <f t="shared" si="1"/>
        <v>1</v>
      </c>
      <c r="AH15" s="338">
        <f t="shared" si="1"/>
        <v>3</v>
      </c>
      <c r="AI15" s="338">
        <f t="shared" si="1"/>
        <v>1</v>
      </c>
      <c r="AJ15" s="338">
        <f t="shared" si="1"/>
        <v>0</v>
      </c>
      <c r="AK15" s="338">
        <f t="shared" si="1"/>
        <v>2</v>
      </c>
      <c r="AL15" s="325">
        <f t="shared" si="1"/>
        <v>1</v>
      </c>
      <c r="AM15" s="325">
        <f t="shared" si="1"/>
        <v>0</v>
      </c>
      <c r="AN15" s="325">
        <f t="shared" si="1"/>
        <v>0</v>
      </c>
      <c r="AO15" s="325">
        <f t="shared" si="1"/>
        <v>1</v>
      </c>
    </row>
    <row r="16" spans="1:47" ht="14.95" thickBot="1" x14ac:dyDescent="0.3">
      <c r="A16" s="179"/>
      <c r="B16" s="180"/>
      <c r="C16" s="1081" t="s">
        <v>238</v>
      </c>
      <c r="D16" s="1082"/>
      <c r="E16" s="1083"/>
      <c r="F16" s="410">
        <f>SUM(F3:F5)</f>
        <v>81</v>
      </c>
      <c r="G16" s="410">
        <f>SUM(G3:G5)</f>
        <v>74</v>
      </c>
      <c r="H16" s="410" t="s">
        <v>80</v>
      </c>
      <c r="I16" s="410" t="s">
        <v>80</v>
      </c>
      <c r="J16" s="410">
        <f t="shared" ref="J16:O16" si="2">SUM(J3:J5)</f>
        <v>12</v>
      </c>
      <c r="K16" s="410">
        <f t="shared" si="2"/>
        <v>8</v>
      </c>
      <c r="L16" s="410">
        <f t="shared" si="2"/>
        <v>0</v>
      </c>
      <c r="M16" s="410">
        <f t="shared" si="2"/>
        <v>1</v>
      </c>
      <c r="N16" s="410">
        <f t="shared" si="2"/>
        <v>1</v>
      </c>
      <c r="O16" s="410">
        <f t="shared" si="2"/>
        <v>1</v>
      </c>
      <c r="P16" s="410" t="s">
        <v>80</v>
      </c>
      <c r="Q16" s="410" t="s">
        <v>80</v>
      </c>
      <c r="R16" s="410">
        <f>SUM(R3:R5)</f>
        <v>9</v>
      </c>
      <c r="S16" s="411"/>
      <c r="T16" s="411"/>
      <c r="U16" s="411"/>
      <c r="V16" s="411"/>
      <c r="W16" s="411"/>
      <c r="X16" s="412"/>
      <c r="Y16" s="413" t="s">
        <v>238</v>
      </c>
      <c r="Z16" s="414">
        <f t="shared" ref="Z16:AO16" si="3">SUM(Z3:Z5)</f>
        <v>3</v>
      </c>
      <c r="AA16" s="410">
        <f t="shared" si="3"/>
        <v>1</v>
      </c>
      <c r="AB16" s="410">
        <f t="shared" si="3"/>
        <v>0</v>
      </c>
      <c r="AC16" s="410">
        <f t="shared" si="3"/>
        <v>2</v>
      </c>
      <c r="AD16" s="415">
        <f t="shared" si="3"/>
        <v>2</v>
      </c>
      <c r="AE16" s="415">
        <f t="shared" si="3"/>
        <v>1</v>
      </c>
      <c r="AF16" s="415">
        <f t="shared" si="3"/>
        <v>0</v>
      </c>
      <c r="AG16" s="415">
        <f t="shared" si="3"/>
        <v>1</v>
      </c>
      <c r="AH16" s="416">
        <f t="shared" si="3"/>
        <v>1</v>
      </c>
      <c r="AI16" s="416">
        <f t="shared" si="3"/>
        <v>0</v>
      </c>
      <c r="AJ16" s="416">
        <f t="shared" si="3"/>
        <v>0</v>
      </c>
      <c r="AK16" s="416">
        <f t="shared" si="3"/>
        <v>1</v>
      </c>
      <c r="AL16" s="410">
        <f t="shared" si="3"/>
        <v>0</v>
      </c>
      <c r="AM16" s="410">
        <f t="shared" si="3"/>
        <v>0</v>
      </c>
      <c r="AN16" s="410">
        <f t="shared" si="3"/>
        <v>0</v>
      </c>
      <c r="AO16" s="410">
        <f t="shared" si="3"/>
        <v>0</v>
      </c>
    </row>
    <row r="17" spans="1:41" ht="14.95" customHeight="1" thickBot="1" x14ac:dyDescent="0.3">
      <c r="A17" s="179"/>
      <c r="B17" s="180"/>
      <c r="C17" s="1084" t="s">
        <v>231</v>
      </c>
      <c r="D17" s="1085"/>
      <c r="E17" s="1086"/>
      <c r="F17" s="539">
        <f t="shared" ref="F17:R17" si="4">SUM(F12:F14)</f>
        <v>108</v>
      </c>
      <c r="G17" s="539">
        <f t="shared" si="4"/>
        <v>79</v>
      </c>
      <c r="H17" s="539" t="s">
        <v>80</v>
      </c>
      <c r="I17" s="539" t="s">
        <v>80</v>
      </c>
      <c r="J17" s="539">
        <f t="shared" si="4"/>
        <v>14</v>
      </c>
      <c r="K17" s="539">
        <f t="shared" si="4"/>
        <v>13</v>
      </c>
      <c r="L17" s="539">
        <f t="shared" si="4"/>
        <v>0</v>
      </c>
      <c r="M17" s="539">
        <f t="shared" si="4"/>
        <v>4</v>
      </c>
      <c r="N17" s="539">
        <f t="shared" si="4"/>
        <v>1</v>
      </c>
      <c r="O17" s="539">
        <f t="shared" si="4"/>
        <v>0</v>
      </c>
      <c r="P17" s="539" t="s">
        <v>80</v>
      </c>
      <c r="Q17" s="539" t="s">
        <v>80</v>
      </c>
      <c r="R17" s="539">
        <f t="shared" si="4"/>
        <v>10</v>
      </c>
      <c r="S17" s="540"/>
      <c r="T17" s="540"/>
      <c r="U17" s="540"/>
      <c r="V17" s="540"/>
      <c r="W17" s="540"/>
      <c r="X17" s="541"/>
      <c r="Y17" s="542" t="s">
        <v>231</v>
      </c>
      <c r="Z17" s="543">
        <f t="shared" ref="Z17:AO17" si="5">SUM(Z12:Z14)</f>
        <v>3</v>
      </c>
      <c r="AA17" s="539">
        <f t="shared" si="5"/>
        <v>2</v>
      </c>
      <c r="AB17" s="539">
        <f t="shared" si="5"/>
        <v>0</v>
      </c>
      <c r="AC17" s="539">
        <f t="shared" si="5"/>
        <v>1</v>
      </c>
      <c r="AD17" s="544">
        <f t="shared" si="5"/>
        <v>0</v>
      </c>
      <c r="AE17" s="544">
        <f t="shared" si="5"/>
        <v>0</v>
      </c>
      <c r="AF17" s="544">
        <f t="shared" si="5"/>
        <v>0</v>
      </c>
      <c r="AG17" s="544">
        <f t="shared" si="5"/>
        <v>0</v>
      </c>
      <c r="AH17" s="545">
        <f t="shared" si="5"/>
        <v>3</v>
      </c>
      <c r="AI17" s="545">
        <f t="shared" si="5"/>
        <v>2</v>
      </c>
      <c r="AJ17" s="545">
        <f t="shared" si="5"/>
        <v>0</v>
      </c>
      <c r="AK17" s="545">
        <f t="shared" si="5"/>
        <v>1</v>
      </c>
      <c r="AL17" s="539">
        <f t="shared" si="5"/>
        <v>0</v>
      </c>
      <c r="AM17" s="539">
        <f t="shared" si="5"/>
        <v>0</v>
      </c>
      <c r="AN17" s="539">
        <f t="shared" si="5"/>
        <v>0</v>
      </c>
      <c r="AO17" s="539">
        <f t="shared" si="5"/>
        <v>0</v>
      </c>
    </row>
    <row r="18" spans="1:41" ht="14.95" thickBot="1" x14ac:dyDescent="0.3">
      <c r="A18" s="179"/>
      <c r="B18" s="180"/>
      <c r="C18" s="1087" t="s">
        <v>81</v>
      </c>
      <c r="D18" s="1088"/>
      <c r="E18" s="1089"/>
      <c r="F18" s="231">
        <f>SUM(F3:F14)</f>
        <v>351</v>
      </c>
      <c r="G18" s="231">
        <f t="shared" ref="G18:R18" si="6">SUM(G3:G14)</f>
        <v>367</v>
      </c>
      <c r="H18" s="231">
        <f t="shared" si="6"/>
        <v>0</v>
      </c>
      <c r="I18" s="231">
        <f t="shared" si="6"/>
        <v>2</v>
      </c>
      <c r="J18" s="231">
        <f t="shared" si="6"/>
        <v>40</v>
      </c>
      <c r="K18" s="231">
        <f t="shared" si="6"/>
        <v>33</v>
      </c>
      <c r="L18" s="231">
        <f t="shared" si="6"/>
        <v>0</v>
      </c>
      <c r="M18" s="231">
        <f t="shared" si="6"/>
        <v>27</v>
      </c>
      <c r="N18" s="231">
        <f t="shared" si="6"/>
        <v>6</v>
      </c>
      <c r="O18" s="231">
        <f t="shared" si="6"/>
        <v>1</v>
      </c>
      <c r="P18" s="231">
        <f t="shared" si="6"/>
        <v>3</v>
      </c>
      <c r="Q18" s="231">
        <f t="shared" si="6"/>
        <v>2</v>
      </c>
      <c r="R18" s="231">
        <f t="shared" si="6"/>
        <v>49</v>
      </c>
      <c r="S18" s="228"/>
      <c r="T18" s="228"/>
      <c r="U18" s="228"/>
      <c r="V18" s="228"/>
      <c r="W18" s="228"/>
      <c r="X18" s="13"/>
      <c r="Y18" s="246" t="s">
        <v>81</v>
      </c>
      <c r="Z18" s="247">
        <f t="shared" ref="Z18:AO18" si="7">SUM(Z3:Z14)</f>
        <v>12</v>
      </c>
      <c r="AA18" s="231">
        <f t="shared" si="7"/>
        <v>5</v>
      </c>
      <c r="AB18" s="231">
        <f t="shared" si="7"/>
        <v>0</v>
      </c>
      <c r="AC18" s="231">
        <f t="shared" si="7"/>
        <v>7</v>
      </c>
      <c r="AD18" s="229">
        <f t="shared" si="7"/>
        <v>4</v>
      </c>
      <c r="AE18" s="229">
        <f t="shared" si="7"/>
        <v>2</v>
      </c>
      <c r="AF18" s="229">
        <f t="shared" si="7"/>
        <v>0</v>
      </c>
      <c r="AG18" s="229">
        <f t="shared" si="7"/>
        <v>2</v>
      </c>
      <c r="AH18" s="230">
        <f t="shared" si="7"/>
        <v>7</v>
      </c>
      <c r="AI18" s="230">
        <f t="shared" si="7"/>
        <v>3</v>
      </c>
      <c r="AJ18" s="230">
        <f t="shared" si="7"/>
        <v>0</v>
      </c>
      <c r="AK18" s="230">
        <f t="shared" si="7"/>
        <v>4</v>
      </c>
      <c r="AL18" s="231">
        <f t="shared" si="7"/>
        <v>1</v>
      </c>
      <c r="AM18" s="231">
        <f t="shared" si="7"/>
        <v>0</v>
      </c>
      <c r="AN18" s="231">
        <f t="shared" si="7"/>
        <v>0</v>
      </c>
      <c r="AO18" s="231">
        <f t="shared" si="7"/>
        <v>1</v>
      </c>
    </row>
    <row r="19" spans="1:41" x14ac:dyDescent="0.25">
      <c r="A19" s="179"/>
      <c r="B19" s="180"/>
      <c r="C19" s="402"/>
      <c r="D19" s="402"/>
      <c r="E19" s="402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4"/>
      <c r="T19" s="404"/>
      <c r="U19" s="404"/>
      <c r="V19" s="404"/>
      <c r="W19" s="404"/>
      <c r="X19" s="13"/>
      <c r="Y19" s="1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  <c r="AJ19" s="403"/>
      <c r="AK19" s="403"/>
      <c r="AL19" s="403"/>
      <c r="AM19" s="403"/>
      <c r="AN19" s="403"/>
      <c r="AO19" s="403"/>
    </row>
    <row r="20" spans="1:41" x14ac:dyDescent="0.25">
      <c r="A20" s="313" t="s">
        <v>555</v>
      </c>
    </row>
    <row r="21" spans="1:41" x14ac:dyDescent="0.25">
      <c r="A21" s="313" t="s">
        <v>542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</row>
    <row r="22" spans="1:41" x14ac:dyDescent="0.25">
      <c r="A22" s="313" t="s">
        <v>604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</row>
    <row r="23" spans="1:41" x14ac:dyDescent="0.25">
      <c r="A23" s="313" t="s">
        <v>701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</row>
    <row r="24" spans="1:41" x14ac:dyDescent="0.25">
      <c r="A24" s="1064" t="s">
        <v>723</v>
      </c>
      <c r="B24" s="1063"/>
      <c r="C24" s="1063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  <c r="O24" s="1063"/>
      <c r="P24" s="1063"/>
      <c r="Q24" s="1063"/>
      <c r="R24" s="1063"/>
      <c r="S24" s="1063"/>
      <c r="T24" s="1063"/>
      <c r="U24" s="1063"/>
      <c r="V24" s="1063"/>
      <c r="W24" s="1063"/>
      <c r="X24" s="1063"/>
      <c r="Y24" s="1063"/>
      <c r="Z24" s="1063"/>
      <c r="AA24" s="1063"/>
      <c r="AB24" s="1063"/>
      <c r="AC24" s="1063"/>
      <c r="AD24" s="1063"/>
      <c r="AE24" s="1063"/>
      <c r="AF24" s="1063"/>
      <c r="AG24" s="1063"/>
      <c r="AH24" s="1063"/>
      <c r="AI24" s="1063"/>
      <c r="AJ24" s="1063"/>
      <c r="AK24" s="1063"/>
      <c r="AL24" s="1063"/>
      <c r="AM24" s="1063"/>
      <c r="AN24" s="1063"/>
      <c r="AO24" s="1063"/>
    </row>
    <row r="25" spans="1:41" x14ac:dyDescent="0.25">
      <c r="A25" s="1064" t="s">
        <v>552</v>
      </c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  <c r="S25" s="1063"/>
      <c r="T25" s="1063"/>
      <c r="U25" s="1063"/>
      <c r="V25" s="1063"/>
      <c r="W25" s="1063"/>
      <c r="X25" s="1063"/>
      <c r="Y25" s="1063"/>
      <c r="Z25" s="1063"/>
      <c r="AA25" s="1063"/>
      <c r="AB25" s="1063"/>
      <c r="AC25" s="1063"/>
      <c r="AD25" s="1063"/>
      <c r="AE25" s="1063"/>
      <c r="AF25" s="1063"/>
      <c r="AG25" s="1063"/>
      <c r="AH25" s="1063"/>
      <c r="AI25" s="1063"/>
      <c r="AJ25" s="1063"/>
      <c r="AK25" s="1063"/>
      <c r="AL25" s="1063"/>
      <c r="AM25" s="1063"/>
      <c r="AN25" s="1063"/>
      <c r="AO25" s="1063"/>
    </row>
    <row r="26" spans="1:41" x14ac:dyDescent="0.25">
      <c r="A26" t="s">
        <v>606</v>
      </c>
    </row>
    <row r="28" spans="1:41" x14ac:dyDescent="0.25">
      <c r="A28" t="s">
        <v>699</v>
      </c>
    </row>
    <row r="29" spans="1:41" x14ac:dyDescent="0.25">
      <c r="A29" s="376"/>
      <c r="B29" t="s">
        <v>44</v>
      </c>
    </row>
    <row r="30" spans="1:41" x14ac:dyDescent="0.25">
      <c r="A30" s="377"/>
      <c r="B30" t="s">
        <v>42</v>
      </c>
    </row>
    <row r="31" spans="1:41" x14ac:dyDescent="0.25">
      <c r="A31" s="378"/>
      <c r="B31" t="s">
        <v>43</v>
      </c>
    </row>
    <row r="32" spans="1:41" ht="16.3" x14ac:dyDescent="0.3">
      <c r="A32" s="792" t="s">
        <v>28</v>
      </c>
    </row>
  </sheetData>
  <mergeCells count="16">
    <mergeCell ref="A25:AO25"/>
    <mergeCell ref="H1:I1"/>
    <mergeCell ref="E1:G1"/>
    <mergeCell ref="A1:C1"/>
    <mergeCell ref="J1:M1"/>
    <mergeCell ref="Z1:AC1"/>
    <mergeCell ref="AD1:AG1"/>
    <mergeCell ref="AH1:AK1"/>
    <mergeCell ref="AL1:AO1"/>
    <mergeCell ref="N1:O1"/>
    <mergeCell ref="P1:R1"/>
    <mergeCell ref="C15:E15"/>
    <mergeCell ref="C16:E16"/>
    <mergeCell ref="C17:E17"/>
    <mergeCell ref="A24:AO24"/>
    <mergeCell ref="C18:E18"/>
  </mergeCells>
  <pageMargins left="0.7" right="0.7" top="0.75" bottom="0.75" header="0.3" footer="0.3"/>
  <pageSetup paperSize="9" orientation="portrait" r:id="rId1"/>
  <ignoredErrors>
    <ignoredError sqref="F16:G16 J16:O16 R16:AO16 F15:G15 F17:G17 J15:AO15 J17:O17 R17:AO17" formulaRange="1"/>
    <ignoredError sqref="T6 T14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36"/>
  <sheetViews>
    <sheetView zoomScale="90" zoomScaleNormal="90" workbookViewId="0">
      <pane ySplit="2" topLeftCell="A3" activePane="bottomLeft" state="frozen"/>
      <selection activeCell="D8" sqref="A8:AO21"/>
      <selection pane="bottomLeft" activeCell="U21" sqref="U21"/>
    </sheetView>
  </sheetViews>
  <sheetFormatPr defaultRowHeight="14.95" customHeight="1" x14ac:dyDescent="0.25"/>
  <cols>
    <col min="1" max="1" width="7.375" customWidth="1"/>
    <col min="2" max="2" width="5.125" bestFit="1" customWidth="1"/>
    <col min="3" max="3" width="11.37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0.125" bestFit="1" customWidth="1"/>
    <col min="22" max="23" width="18.75" bestFit="1" customWidth="1"/>
    <col min="24" max="24" width="20.125" bestFit="1" customWidth="1"/>
    <col min="25" max="25" width="19.75" bestFit="1" customWidth="1"/>
    <col min="26" max="41" width="3.625" customWidth="1"/>
    <col min="42" max="42" width="1.625" customWidth="1"/>
    <col min="43" max="43" width="13.125" bestFit="1" customWidth="1"/>
    <col min="46" max="46" width="13.125" bestFit="1" customWidth="1"/>
  </cols>
  <sheetData>
    <row r="1" spans="1:47" ht="14.95" customHeight="1" thickBot="1" x14ac:dyDescent="0.3">
      <c r="A1" s="1103" t="s">
        <v>398</v>
      </c>
      <c r="B1" s="1104"/>
      <c r="C1" s="1104"/>
      <c r="D1" s="831"/>
      <c r="E1" s="1105" t="s">
        <v>24</v>
      </c>
      <c r="F1" s="1106"/>
      <c r="G1" s="1107"/>
      <c r="H1" s="1105" t="s">
        <v>23</v>
      </c>
      <c r="I1" s="1107"/>
      <c r="J1" s="1100" t="s">
        <v>6</v>
      </c>
      <c r="K1" s="1101"/>
      <c r="L1" s="1101"/>
      <c r="M1" s="1102"/>
      <c r="N1" s="1100" t="s">
        <v>7</v>
      </c>
      <c r="O1" s="1102"/>
      <c r="P1" s="1100" t="s">
        <v>25</v>
      </c>
      <c r="Q1" s="1101"/>
      <c r="R1" s="1102"/>
      <c r="S1" s="832" t="s">
        <v>8</v>
      </c>
      <c r="T1" s="832" t="s">
        <v>9</v>
      </c>
      <c r="U1" s="833" t="s">
        <v>10</v>
      </c>
      <c r="V1" s="834" t="s">
        <v>11</v>
      </c>
      <c r="W1" s="833" t="s">
        <v>211</v>
      </c>
      <c r="X1" s="835" t="s">
        <v>26</v>
      </c>
      <c r="Y1" s="836" t="s">
        <v>27</v>
      </c>
      <c r="Z1" s="1090" t="s">
        <v>20</v>
      </c>
      <c r="AA1" s="1091"/>
      <c r="AB1" s="1091"/>
      <c r="AC1" s="1092"/>
      <c r="AD1" s="1090" t="s">
        <v>61</v>
      </c>
      <c r="AE1" s="1091"/>
      <c r="AF1" s="1091"/>
      <c r="AG1" s="1092"/>
      <c r="AH1" s="1090" t="s">
        <v>62</v>
      </c>
      <c r="AI1" s="1091"/>
      <c r="AJ1" s="1091"/>
      <c r="AK1" s="1092"/>
      <c r="AL1" s="1090" t="s">
        <v>63</v>
      </c>
      <c r="AM1" s="1096"/>
      <c r="AN1" s="1096"/>
      <c r="AO1" s="1097"/>
      <c r="AQ1" s="848" t="s">
        <v>111</v>
      </c>
      <c r="AR1" s="14"/>
      <c r="AT1" s="848" t="s">
        <v>111</v>
      </c>
    </row>
    <row r="2" spans="1:47" ht="14.95" customHeight="1" thickBot="1" x14ac:dyDescent="0.3">
      <c r="A2" s="837" t="s">
        <v>19</v>
      </c>
      <c r="B2" s="838" t="s">
        <v>18</v>
      </c>
      <c r="C2" s="839" t="s">
        <v>17</v>
      </c>
      <c r="D2" s="839" t="s">
        <v>41</v>
      </c>
      <c r="E2" s="840" t="s">
        <v>16</v>
      </c>
      <c r="F2" s="840" t="s">
        <v>4</v>
      </c>
      <c r="G2" s="840" t="s">
        <v>5</v>
      </c>
      <c r="H2" s="841" t="s">
        <v>12</v>
      </c>
      <c r="I2" s="841" t="s">
        <v>3</v>
      </c>
      <c r="J2" s="841" t="s">
        <v>12</v>
      </c>
      <c r="K2" s="841" t="s">
        <v>13</v>
      </c>
      <c r="L2" s="841" t="s">
        <v>2</v>
      </c>
      <c r="M2" s="841" t="s">
        <v>14</v>
      </c>
      <c r="N2" s="841" t="s">
        <v>15</v>
      </c>
      <c r="O2" s="841" t="s">
        <v>16</v>
      </c>
      <c r="P2" s="841" t="s">
        <v>21</v>
      </c>
      <c r="Q2" s="841" t="s">
        <v>22</v>
      </c>
      <c r="R2" s="841" t="s">
        <v>12</v>
      </c>
      <c r="S2" s="842"/>
      <c r="T2" s="843"/>
      <c r="U2" s="844"/>
      <c r="V2" s="842"/>
      <c r="W2" s="842"/>
      <c r="X2" s="845"/>
      <c r="Y2" s="846"/>
      <c r="Z2" s="847" t="s">
        <v>0</v>
      </c>
      <c r="AA2" s="847" t="s">
        <v>1</v>
      </c>
      <c r="AB2" s="847" t="s">
        <v>2</v>
      </c>
      <c r="AC2" s="847" t="s">
        <v>3</v>
      </c>
      <c r="AD2" s="847" t="s">
        <v>0</v>
      </c>
      <c r="AE2" s="847" t="s">
        <v>1</v>
      </c>
      <c r="AF2" s="847" t="s">
        <v>2</v>
      </c>
      <c r="AG2" s="847" t="s">
        <v>3</v>
      </c>
      <c r="AH2" s="847" t="s">
        <v>0</v>
      </c>
      <c r="AI2" s="847" t="s">
        <v>1</v>
      </c>
      <c r="AJ2" s="847" t="s">
        <v>2</v>
      </c>
      <c r="AK2" s="847" t="s">
        <v>3</v>
      </c>
      <c r="AL2" s="847" t="s">
        <v>0</v>
      </c>
      <c r="AM2" s="847" t="s">
        <v>1</v>
      </c>
      <c r="AN2" s="847" t="s">
        <v>2</v>
      </c>
      <c r="AO2" s="847" t="s">
        <v>3</v>
      </c>
      <c r="AQ2" s="205" t="s">
        <v>81</v>
      </c>
      <c r="AR2" s="138"/>
      <c r="AT2" s="225" t="s">
        <v>99</v>
      </c>
      <c r="AU2" s="138"/>
    </row>
    <row r="3" spans="1:47" ht="14.95" customHeight="1" thickBot="1" x14ac:dyDescent="0.35">
      <c r="A3" s="289" t="s">
        <v>207</v>
      </c>
      <c r="B3" s="290" t="s">
        <v>436</v>
      </c>
      <c r="C3" s="290" t="s">
        <v>31</v>
      </c>
      <c r="D3" s="290" t="s">
        <v>437</v>
      </c>
      <c r="E3" s="291" t="s">
        <v>1</v>
      </c>
      <c r="F3" s="291">
        <v>21</v>
      </c>
      <c r="G3" s="291">
        <v>18</v>
      </c>
      <c r="H3" s="692" t="s">
        <v>80</v>
      </c>
      <c r="I3" s="692" t="s">
        <v>80</v>
      </c>
      <c r="J3" s="692">
        <v>3</v>
      </c>
      <c r="K3" s="692">
        <v>3</v>
      </c>
      <c r="L3" s="692">
        <v>0</v>
      </c>
      <c r="M3" s="692">
        <v>0</v>
      </c>
      <c r="N3" s="692">
        <v>0</v>
      </c>
      <c r="O3" s="692">
        <v>0</v>
      </c>
      <c r="P3" s="692" t="s">
        <v>80</v>
      </c>
      <c r="Q3" s="692" t="s">
        <v>80</v>
      </c>
      <c r="R3" s="692">
        <v>2</v>
      </c>
      <c r="S3" s="292">
        <v>28122</v>
      </c>
      <c r="T3" s="302" t="s">
        <v>422</v>
      </c>
      <c r="U3" s="294" t="s">
        <v>190</v>
      </c>
      <c r="V3" s="292" t="s">
        <v>181</v>
      </c>
      <c r="W3" s="292" t="s">
        <v>240</v>
      </c>
      <c r="X3" s="295" t="s">
        <v>165</v>
      </c>
      <c r="Y3" s="296" t="s">
        <v>438</v>
      </c>
      <c r="Z3" s="295">
        <v>1</v>
      </c>
      <c r="AA3" s="295">
        <v>1</v>
      </c>
      <c r="AB3" s="295">
        <v>0</v>
      </c>
      <c r="AC3" s="307">
        <v>0</v>
      </c>
      <c r="AD3" s="295">
        <v>1</v>
      </c>
      <c r="AE3" s="295">
        <v>1</v>
      </c>
      <c r="AF3" s="295">
        <v>0</v>
      </c>
      <c r="AG3" s="307">
        <v>0</v>
      </c>
      <c r="AH3" s="295">
        <v>0</v>
      </c>
      <c r="AI3" s="295">
        <v>0</v>
      </c>
      <c r="AJ3" s="295">
        <v>0</v>
      </c>
      <c r="AK3" s="307">
        <v>0</v>
      </c>
      <c r="AL3" s="295">
        <v>0</v>
      </c>
      <c r="AM3" s="295">
        <v>0</v>
      </c>
      <c r="AN3" s="295">
        <v>0</v>
      </c>
      <c r="AO3" s="307">
        <v>0</v>
      </c>
      <c r="AQ3" s="214" t="s">
        <v>101</v>
      </c>
      <c r="AR3" s="215">
        <f>Australiaalltestshistplayed</f>
        <v>712</v>
      </c>
      <c r="AT3" s="214" t="s">
        <v>101</v>
      </c>
      <c r="AU3" s="215">
        <f>AustraliaWChistplayed</f>
        <v>57</v>
      </c>
    </row>
    <row r="4" spans="1:47" ht="14.95" customHeight="1" thickBot="1" x14ac:dyDescent="0.3">
      <c r="A4" s="289" t="s">
        <v>239</v>
      </c>
      <c r="B4" s="290" t="s">
        <v>481</v>
      </c>
      <c r="C4" s="290" t="s">
        <v>482</v>
      </c>
      <c r="D4" s="290" t="s">
        <v>483</v>
      </c>
      <c r="E4" s="291" t="s">
        <v>3</v>
      </c>
      <c r="F4" s="291">
        <v>19</v>
      </c>
      <c r="G4" s="291">
        <v>27</v>
      </c>
      <c r="H4" s="692" t="s">
        <v>80</v>
      </c>
      <c r="I4" s="692" t="s">
        <v>80</v>
      </c>
      <c r="J4" s="692">
        <v>3</v>
      </c>
      <c r="K4" s="692">
        <v>2</v>
      </c>
      <c r="L4" s="692">
        <v>0</v>
      </c>
      <c r="M4" s="692">
        <v>0</v>
      </c>
      <c r="N4" s="692">
        <v>0</v>
      </c>
      <c r="O4" s="692">
        <v>0</v>
      </c>
      <c r="P4" s="692" t="s">
        <v>80</v>
      </c>
      <c r="Q4" s="692" t="s">
        <v>80</v>
      </c>
      <c r="R4" s="692">
        <v>3</v>
      </c>
      <c r="S4" s="295">
        <v>52229</v>
      </c>
      <c r="T4" s="297" t="s">
        <v>321</v>
      </c>
      <c r="U4" s="292" t="s">
        <v>165</v>
      </c>
      <c r="V4" s="292" t="s">
        <v>240</v>
      </c>
      <c r="W4" s="292" t="s">
        <v>181</v>
      </c>
      <c r="X4" s="295" t="s">
        <v>184</v>
      </c>
      <c r="Y4" s="296" t="s">
        <v>187</v>
      </c>
      <c r="Z4" s="295">
        <v>1</v>
      </c>
      <c r="AA4" s="295">
        <v>0</v>
      </c>
      <c r="AB4" s="295">
        <v>0</v>
      </c>
      <c r="AC4" s="307">
        <v>1</v>
      </c>
      <c r="AD4" s="295">
        <v>1</v>
      </c>
      <c r="AE4" s="295">
        <v>0</v>
      </c>
      <c r="AF4" s="295">
        <v>0</v>
      </c>
      <c r="AG4" s="307">
        <v>1</v>
      </c>
      <c r="AH4" s="295">
        <v>0</v>
      </c>
      <c r="AI4" s="295">
        <v>0</v>
      </c>
      <c r="AJ4" s="295">
        <v>0</v>
      </c>
      <c r="AK4" s="307">
        <v>0</v>
      </c>
      <c r="AL4" s="295">
        <v>0</v>
      </c>
      <c r="AM4" s="295">
        <v>0</v>
      </c>
      <c r="AN4" s="295">
        <v>0</v>
      </c>
      <c r="AO4" s="307">
        <v>0</v>
      </c>
      <c r="AQ4" s="216" t="s">
        <v>102</v>
      </c>
      <c r="AR4" s="217">
        <f>Australiaalltestshistwon</f>
        <v>352</v>
      </c>
      <c r="AT4" s="216" t="s">
        <v>102</v>
      </c>
      <c r="AU4" s="217">
        <f>AustraliaWChistwon</f>
        <v>44</v>
      </c>
    </row>
    <row r="5" spans="1:47" ht="14.95" customHeight="1" thickBot="1" x14ac:dyDescent="0.35">
      <c r="A5" s="289" t="s">
        <v>517</v>
      </c>
      <c r="B5" s="300" t="s">
        <v>481</v>
      </c>
      <c r="C5" s="290" t="s">
        <v>482</v>
      </c>
      <c r="D5" s="290" t="s">
        <v>518</v>
      </c>
      <c r="E5" s="291" t="s">
        <v>3</v>
      </c>
      <c r="F5" s="291">
        <v>26</v>
      </c>
      <c r="G5" s="301">
        <v>29</v>
      </c>
      <c r="H5" s="714" t="s">
        <v>80</v>
      </c>
      <c r="I5" s="692" t="s">
        <v>80</v>
      </c>
      <c r="J5" s="692">
        <v>3</v>
      </c>
      <c r="K5" s="692">
        <v>1</v>
      </c>
      <c r="L5" s="692">
        <v>0</v>
      </c>
      <c r="M5" s="692">
        <v>3</v>
      </c>
      <c r="N5" s="692">
        <v>0</v>
      </c>
      <c r="O5" s="692">
        <v>0</v>
      </c>
      <c r="P5" s="692" t="s">
        <v>80</v>
      </c>
      <c r="Q5" s="692" t="s">
        <v>80</v>
      </c>
      <c r="R5" s="692">
        <v>5</v>
      </c>
      <c r="S5" s="295">
        <v>90307</v>
      </c>
      <c r="T5" s="473" t="s">
        <v>378</v>
      </c>
      <c r="U5" s="296" t="s">
        <v>187</v>
      </c>
      <c r="V5" s="292" t="s">
        <v>181</v>
      </c>
      <c r="W5" s="295" t="s">
        <v>185</v>
      </c>
      <c r="X5" s="295" t="s">
        <v>184</v>
      </c>
      <c r="Y5" s="295" t="s">
        <v>165</v>
      </c>
      <c r="Z5" s="295">
        <v>1</v>
      </c>
      <c r="AA5" s="295">
        <v>0</v>
      </c>
      <c r="AB5" s="295">
        <v>0</v>
      </c>
      <c r="AC5" s="307">
        <v>1</v>
      </c>
      <c r="AD5" s="295">
        <v>1</v>
      </c>
      <c r="AE5" s="295">
        <v>0</v>
      </c>
      <c r="AF5" s="295">
        <v>0</v>
      </c>
      <c r="AG5" s="307">
        <v>1</v>
      </c>
      <c r="AH5" s="295">
        <v>0</v>
      </c>
      <c r="AI5" s="295">
        <v>0</v>
      </c>
      <c r="AJ5" s="295">
        <v>0</v>
      </c>
      <c r="AK5" s="307">
        <v>0</v>
      </c>
      <c r="AL5" s="295">
        <v>0</v>
      </c>
      <c r="AM5" s="295">
        <v>0</v>
      </c>
      <c r="AN5" s="295">
        <v>0</v>
      </c>
      <c r="AO5" s="307">
        <v>0</v>
      </c>
      <c r="AQ5" s="216" t="s">
        <v>107</v>
      </c>
      <c r="AR5" s="217">
        <f>Australiaalltestshistdrawn</f>
        <v>22</v>
      </c>
      <c r="AT5" s="216" t="s">
        <v>107</v>
      </c>
      <c r="AU5" s="217">
        <f>AustraliaWChistdrawn</f>
        <v>0</v>
      </c>
    </row>
    <row r="6" spans="1:47" ht="14.95" customHeight="1" thickBot="1" x14ac:dyDescent="0.35">
      <c r="A6" s="289" t="s">
        <v>535</v>
      </c>
      <c r="B6" s="290" t="s">
        <v>481</v>
      </c>
      <c r="C6" s="290" t="s">
        <v>482</v>
      </c>
      <c r="D6" s="290" t="s">
        <v>600</v>
      </c>
      <c r="E6" s="291" t="s">
        <v>1</v>
      </c>
      <c r="F6" s="291">
        <v>22</v>
      </c>
      <c r="G6" s="301">
        <v>12</v>
      </c>
      <c r="H6" s="714" t="s">
        <v>80</v>
      </c>
      <c r="I6" s="692" t="s">
        <v>80</v>
      </c>
      <c r="J6" s="692">
        <v>3</v>
      </c>
      <c r="K6" s="692">
        <v>2</v>
      </c>
      <c r="L6" s="692">
        <v>0</v>
      </c>
      <c r="M6" s="692">
        <v>1</v>
      </c>
      <c r="N6" s="692">
        <v>0</v>
      </c>
      <c r="O6" s="692">
        <v>0</v>
      </c>
      <c r="P6" s="692" t="s">
        <v>80</v>
      </c>
      <c r="Q6" s="692" t="s">
        <v>80</v>
      </c>
      <c r="R6" s="692">
        <v>2</v>
      </c>
      <c r="S6" s="295">
        <v>80312</v>
      </c>
      <c r="T6" s="310" t="s">
        <v>536</v>
      </c>
      <c r="U6" s="295" t="s">
        <v>184</v>
      </c>
      <c r="V6" s="295" t="s">
        <v>185</v>
      </c>
      <c r="W6" s="295" t="s">
        <v>240</v>
      </c>
      <c r="X6" s="295" t="s">
        <v>165</v>
      </c>
      <c r="Y6" s="296" t="s">
        <v>187</v>
      </c>
      <c r="Z6" s="295">
        <v>1</v>
      </c>
      <c r="AA6" s="295">
        <v>1</v>
      </c>
      <c r="AB6" s="295">
        <v>0</v>
      </c>
      <c r="AC6" s="307">
        <v>0</v>
      </c>
      <c r="AD6" s="295">
        <v>1</v>
      </c>
      <c r="AE6" s="295">
        <v>1</v>
      </c>
      <c r="AF6" s="295">
        <v>0</v>
      </c>
      <c r="AG6" s="307">
        <v>0</v>
      </c>
      <c r="AH6" s="295">
        <v>0</v>
      </c>
      <c r="AI6" s="295">
        <v>0</v>
      </c>
      <c r="AJ6" s="295">
        <v>0</v>
      </c>
      <c r="AK6" s="307">
        <v>0</v>
      </c>
      <c r="AL6" s="295">
        <v>0</v>
      </c>
      <c r="AM6" s="295">
        <v>0</v>
      </c>
      <c r="AN6" s="295">
        <v>0</v>
      </c>
      <c r="AO6" s="307">
        <v>0</v>
      </c>
      <c r="AQ6" s="216" t="s">
        <v>103</v>
      </c>
      <c r="AR6" s="217">
        <f>Australiaalltestshistlost</f>
        <v>338</v>
      </c>
      <c r="AT6" s="216" t="s">
        <v>103</v>
      </c>
      <c r="AU6" s="217">
        <f>AustraliaWChistlost</f>
        <v>13</v>
      </c>
    </row>
    <row r="7" spans="1:47" ht="14.95" customHeight="1" thickBot="1" x14ac:dyDescent="0.3">
      <c r="A7" s="268" t="s">
        <v>537</v>
      </c>
      <c r="B7" s="270" t="s">
        <v>199</v>
      </c>
      <c r="C7" s="270" t="s">
        <v>138</v>
      </c>
      <c r="D7" s="270" t="s">
        <v>538</v>
      </c>
      <c r="E7" s="271" t="s">
        <v>1</v>
      </c>
      <c r="F7" s="271">
        <v>38</v>
      </c>
      <c r="G7" s="272">
        <v>22</v>
      </c>
      <c r="H7" s="726">
        <v>1</v>
      </c>
      <c r="I7" s="715">
        <v>0</v>
      </c>
      <c r="J7" s="691">
        <v>6</v>
      </c>
      <c r="K7" s="691">
        <v>4</v>
      </c>
      <c r="L7" s="691">
        <v>0</v>
      </c>
      <c r="M7" s="691">
        <v>0</v>
      </c>
      <c r="N7" s="691">
        <v>0</v>
      </c>
      <c r="O7" s="691">
        <v>0</v>
      </c>
      <c r="P7" s="691">
        <v>0</v>
      </c>
      <c r="Q7" s="691">
        <v>0</v>
      </c>
      <c r="R7" s="691">
        <v>3</v>
      </c>
      <c r="S7" s="273">
        <v>51327</v>
      </c>
      <c r="T7" s="442" t="s">
        <v>540</v>
      </c>
      <c r="U7" s="273" t="s">
        <v>165</v>
      </c>
      <c r="V7" s="273" t="s">
        <v>256</v>
      </c>
      <c r="W7" s="273" t="s">
        <v>240</v>
      </c>
      <c r="X7" s="273" t="s">
        <v>166</v>
      </c>
      <c r="Y7" s="275" t="s">
        <v>214</v>
      </c>
      <c r="Z7" s="273">
        <v>1</v>
      </c>
      <c r="AA7" s="273">
        <v>1</v>
      </c>
      <c r="AB7" s="273">
        <v>0</v>
      </c>
      <c r="AC7" s="287">
        <v>0</v>
      </c>
      <c r="AD7" s="273">
        <v>0</v>
      </c>
      <c r="AE7" s="273">
        <v>0</v>
      </c>
      <c r="AF7" s="273">
        <v>0</v>
      </c>
      <c r="AG7" s="287">
        <v>0</v>
      </c>
      <c r="AH7" s="273">
        <v>1</v>
      </c>
      <c r="AI7" s="273">
        <v>1</v>
      </c>
      <c r="AJ7" s="273">
        <v>0</v>
      </c>
      <c r="AK7" s="287">
        <v>0</v>
      </c>
      <c r="AL7" s="273">
        <v>0</v>
      </c>
      <c r="AM7" s="273">
        <v>0</v>
      </c>
      <c r="AN7" s="273">
        <v>0</v>
      </c>
      <c r="AO7" s="287">
        <v>0</v>
      </c>
      <c r="AQ7" s="216" t="s">
        <v>108</v>
      </c>
      <c r="AR7" s="217">
        <f>Australiaalltestshistptsscored</f>
        <v>15153</v>
      </c>
      <c r="AT7" s="216" t="s">
        <v>108</v>
      </c>
      <c r="AU7" s="217">
        <f>AustraliaWChistptsscored</f>
        <v>1887</v>
      </c>
    </row>
    <row r="8" spans="1:47" ht="14.95" customHeight="1" thickBot="1" x14ac:dyDescent="0.3">
      <c r="A8" s="268" t="s">
        <v>243</v>
      </c>
      <c r="B8" s="495" t="s">
        <v>199</v>
      </c>
      <c r="C8" s="270" t="s">
        <v>138</v>
      </c>
      <c r="D8" s="269" t="s">
        <v>550</v>
      </c>
      <c r="E8" s="271" t="s">
        <v>3</v>
      </c>
      <c r="F8" s="271">
        <v>22</v>
      </c>
      <c r="G8" s="271">
        <v>30</v>
      </c>
      <c r="H8" s="691">
        <v>0</v>
      </c>
      <c r="I8" s="691">
        <v>0</v>
      </c>
      <c r="J8" s="691">
        <v>3</v>
      </c>
      <c r="K8" s="691">
        <v>2</v>
      </c>
      <c r="L8" s="691">
        <v>0</v>
      </c>
      <c r="M8" s="691">
        <v>1</v>
      </c>
      <c r="N8" s="691">
        <v>0</v>
      </c>
      <c r="O8" s="691">
        <v>0</v>
      </c>
      <c r="P8" s="691">
        <v>0</v>
      </c>
      <c r="Q8" s="691">
        <v>0</v>
      </c>
      <c r="R8" s="691">
        <v>3</v>
      </c>
      <c r="S8" s="273">
        <v>56350</v>
      </c>
      <c r="T8" s="286" t="s">
        <v>554</v>
      </c>
      <c r="U8" s="273" t="s">
        <v>166</v>
      </c>
      <c r="V8" s="273" t="s">
        <v>240</v>
      </c>
      <c r="W8" s="273" t="s">
        <v>256</v>
      </c>
      <c r="X8" s="273" t="s">
        <v>177</v>
      </c>
      <c r="Y8" s="275" t="s">
        <v>214</v>
      </c>
      <c r="Z8" s="273">
        <v>1</v>
      </c>
      <c r="AA8" s="273">
        <v>0</v>
      </c>
      <c r="AB8" s="273">
        <v>0</v>
      </c>
      <c r="AC8" s="287">
        <v>1</v>
      </c>
      <c r="AD8" s="273">
        <v>0</v>
      </c>
      <c r="AE8" s="273">
        <v>0</v>
      </c>
      <c r="AF8" s="273">
        <v>0</v>
      </c>
      <c r="AG8" s="287">
        <v>0</v>
      </c>
      <c r="AH8" s="273">
        <v>1</v>
      </c>
      <c r="AI8" s="273">
        <v>0</v>
      </c>
      <c r="AJ8" s="273">
        <v>0</v>
      </c>
      <c r="AK8" s="287">
        <v>1</v>
      </c>
      <c r="AL8" s="273">
        <v>0</v>
      </c>
      <c r="AM8" s="273">
        <v>0</v>
      </c>
      <c r="AN8" s="273">
        <v>0</v>
      </c>
      <c r="AO8" s="287">
        <v>0</v>
      </c>
      <c r="AQ8" s="216" t="s">
        <v>109</v>
      </c>
      <c r="AR8" s="217">
        <f>Australiaalltestshistptsagainst</f>
        <v>13315</v>
      </c>
      <c r="AT8" s="216" t="s">
        <v>109</v>
      </c>
      <c r="AU8" s="217">
        <f>AustraliaWChistptsagainst</f>
        <v>845</v>
      </c>
    </row>
    <row r="9" spans="1:47" ht="14.95" customHeight="1" thickBot="1" x14ac:dyDescent="0.3">
      <c r="A9" s="304" t="s">
        <v>253</v>
      </c>
      <c r="B9" s="576" t="s">
        <v>199</v>
      </c>
      <c r="C9" s="305" t="s">
        <v>37</v>
      </c>
      <c r="D9" s="576" t="s">
        <v>599</v>
      </c>
      <c r="E9" s="291" t="s">
        <v>1</v>
      </c>
      <c r="F9" s="291">
        <v>28</v>
      </c>
      <c r="G9" s="291">
        <v>24</v>
      </c>
      <c r="H9" s="692">
        <v>0</v>
      </c>
      <c r="I9" s="692">
        <v>0</v>
      </c>
      <c r="J9" s="692">
        <v>4</v>
      </c>
      <c r="K9" s="692">
        <v>4</v>
      </c>
      <c r="L9" s="692">
        <v>0</v>
      </c>
      <c r="M9" s="692">
        <v>0</v>
      </c>
      <c r="N9" s="692">
        <v>0</v>
      </c>
      <c r="O9" s="692">
        <v>0</v>
      </c>
      <c r="P9" s="692">
        <v>0</v>
      </c>
      <c r="Q9" s="692">
        <v>1</v>
      </c>
      <c r="R9" s="692">
        <v>2</v>
      </c>
      <c r="S9" s="295">
        <v>20163</v>
      </c>
      <c r="T9" s="577" t="s">
        <v>602</v>
      </c>
      <c r="U9" s="295" t="s">
        <v>164</v>
      </c>
      <c r="V9" s="295" t="s">
        <v>235</v>
      </c>
      <c r="W9" s="295" t="s">
        <v>234</v>
      </c>
      <c r="X9" s="295" t="s">
        <v>189</v>
      </c>
      <c r="Y9" s="299" t="s">
        <v>254</v>
      </c>
      <c r="Z9" s="295">
        <v>1</v>
      </c>
      <c r="AA9" s="307">
        <v>1</v>
      </c>
      <c r="AB9" s="307">
        <v>0</v>
      </c>
      <c r="AC9" s="307">
        <v>0</v>
      </c>
      <c r="AD9" s="307">
        <v>1</v>
      </c>
      <c r="AE9" s="307">
        <v>1</v>
      </c>
      <c r="AF9" s="307">
        <v>0</v>
      </c>
      <c r="AG9" s="307">
        <v>0</v>
      </c>
      <c r="AH9" s="307">
        <v>0</v>
      </c>
      <c r="AI9" s="307">
        <v>0</v>
      </c>
      <c r="AJ9" s="307">
        <v>0</v>
      </c>
      <c r="AK9" s="307">
        <v>0</v>
      </c>
      <c r="AL9" s="307">
        <v>0</v>
      </c>
      <c r="AM9" s="307">
        <v>0</v>
      </c>
      <c r="AN9" s="307">
        <v>0</v>
      </c>
      <c r="AO9" s="307">
        <v>0</v>
      </c>
      <c r="AQ9" s="216" t="s">
        <v>100</v>
      </c>
      <c r="AR9" s="217">
        <f>Australiaalltestshisttriesscored</f>
        <v>1883</v>
      </c>
      <c r="AT9" s="216" t="s">
        <v>100</v>
      </c>
      <c r="AU9" s="217">
        <f>AustraliaWChisttriesscored</f>
        <v>241</v>
      </c>
    </row>
    <row r="10" spans="1:47" ht="14.95" customHeight="1" thickBot="1" x14ac:dyDescent="0.3">
      <c r="A10" s="304" t="s">
        <v>634</v>
      </c>
      <c r="B10" s="576" t="s">
        <v>199</v>
      </c>
      <c r="C10" s="305" t="s">
        <v>37</v>
      </c>
      <c r="D10" s="586" t="s">
        <v>635</v>
      </c>
      <c r="E10" s="306" t="s">
        <v>3</v>
      </c>
      <c r="F10" s="291">
        <v>26</v>
      </c>
      <c r="G10" s="291">
        <v>28</v>
      </c>
      <c r="H10" s="692">
        <v>1</v>
      </c>
      <c r="I10" s="692">
        <v>1</v>
      </c>
      <c r="J10" s="692">
        <v>4</v>
      </c>
      <c r="K10" s="692">
        <v>3</v>
      </c>
      <c r="L10" s="692">
        <v>0</v>
      </c>
      <c r="M10" s="692">
        <v>0</v>
      </c>
      <c r="N10" s="692">
        <v>1</v>
      </c>
      <c r="O10" s="692">
        <v>0</v>
      </c>
      <c r="P10" s="692">
        <v>0</v>
      </c>
      <c r="Q10" s="692">
        <v>0</v>
      </c>
      <c r="R10" s="692">
        <v>1</v>
      </c>
      <c r="S10" s="295">
        <v>41912</v>
      </c>
      <c r="T10" s="297" t="s">
        <v>414</v>
      </c>
      <c r="U10" s="295" t="s">
        <v>189</v>
      </c>
      <c r="V10" s="295" t="s">
        <v>235</v>
      </c>
      <c r="W10" s="295" t="s">
        <v>234</v>
      </c>
      <c r="X10" s="295" t="s">
        <v>164</v>
      </c>
      <c r="Y10" s="295" t="s">
        <v>254</v>
      </c>
      <c r="Z10" s="295">
        <v>1</v>
      </c>
      <c r="AA10" s="307">
        <v>0</v>
      </c>
      <c r="AB10" s="307">
        <v>0</v>
      </c>
      <c r="AC10" s="307">
        <v>1</v>
      </c>
      <c r="AD10" s="307">
        <v>1</v>
      </c>
      <c r="AE10" s="307">
        <v>0</v>
      </c>
      <c r="AF10" s="307">
        <v>0</v>
      </c>
      <c r="AG10" s="307">
        <v>1</v>
      </c>
      <c r="AH10" s="307">
        <v>0</v>
      </c>
      <c r="AI10" s="307">
        <v>0</v>
      </c>
      <c r="AJ10" s="307">
        <v>0</v>
      </c>
      <c r="AK10" s="307">
        <v>0</v>
      </c>
      <c r="AL10" s="307">
        <v>0</v>
      </c>
      <c r="AM10" s="307">
        <v>0</v>
      </c>
      <c r="AN10" s="307">
        <v>0</v>
      </c>
      <c r="AO10" s="307">
        <v>0</v>
      </c>
    </row>
    <row r="11" spans="1:47" ht="14.95" customHeight="1" thickBot="1" x14ac:dyDescent="0.3">
      <c r="A11" s="284" t="s">
        <v>683</v>
      </c>
      <c r="B11" s="495" t="s">
        <v>199</v>
      </c>
      <c r="C11" s="283" t="s">
        <v>90</v>
      </c>
      <c r="D11" s="495" t="s">
        <v>495</v>
      </c>
      <c r="E11" s="285" t="s">
        <v>3</v>
      </c>
      <c r="F11" s="271">
        <v>24</v>
      </c>
      <c r="G11" s="271">
        <v>33</v>
      </c>
      <c r="H11" s="691">
        <v>0</v>
      </c>
      <c r="I11" s="691">
        <v>0</v>
      </c>
      <c r="J11" s="691">
        <v>3</v>
      </c>
      <c r="K11" s="691">
        <v>3</v>
      </c>
      <c r="L11" s="691">
        <v>0</v>
      </c>
      <c r="M11" s="691">
        <v>1</v>
      </c>
      <c r="N11" s="691">
        <v>1</v>
      </c>
      <c r="O11" s="691">
        <v>0</v>
      </c>
      <c r="P11" s="691">
        <v>0</v>
      </c>
      <c r="Q11" s="691">
        <v>0</v>
      </c>
      <c r="R11" s="691">
        <v>4</v>
      </c>
      <c r="S11" s="273">
        <v>46437</v>
      </c>
      <c r="T11" s="286" t="s">
        <v>695</v>
      </c>
      <c r="U11" s="273" t="s">
        <v>187</v>
      </c>
      <c r="V11" s="273" t="s">
        <v>185</v>
      </c>
      <c r="W11" s="273" t="s">
        <v>228</v>
      </c>
      <c r="X11" s="590" t="s">
        <v>167</v>
      </c>
      <c r="Y11" s="273" t="s">
        <v>216</v>
      </c>
      <c r="Z11" s="273">
        <v>1</v>
      </c>
      <c r="AA11" s="287">
        <v>0</v>
      </c>
      <c r="AB11" s="287">
        <v>0</v>
      </c>
      <c r="AC11" s="287">
        <v>1</v>
      </c>
      <c r="AD11" s="287">
        <v>0</v>
      </c>
      <c r="AE11" s="287">
        <v>0</v>
      </c>
      <c r="AF11" s="287">
        <v>0</v>
      </c>
      <c r="AG11" s="287">
        <v>0</v>
      </c>
      <c r="AH11" s="287">
        <v>1</v>
      </c>
      <c r="AI11" s="287">
        <v>0</v>
      </c>
      <c r="AJ11" s="287">
        <v>0</v>
      </c>
      <c r="AK11" s="287">
        <v>1</v>
      </c>
      <c r="AL11" s="287">
        <v>0</v>
      </c>
      <c r="AM11" s="287">
        <v>0</v>
      </c>
      <c r="AN11" s="287">
        <v>0</v>
      </c>
      <c r="AO11" s="287">
        <v>0</v>
      </c>
    </row>
    <row r="12" spans="1:47" ht="14.95" customHeight="1" thickBot="1" x14ac:dyDescent="0.3">
      <c r="A12" s="304" t="s">
        <v>702</v>
      </c>
      <c r="B12" s="305" t="s">
        <v>199</v>
      </c>
      <c r="C12" s="305" t="s">
        <v>90</v>
      </c>
      <c r="D12" s="576" t="s">
        <v>703</v>
      </c>
      <c r="E12" s="306" t="s">
        <v>3</v>
      </c>
      <c r="F12" s="291">
        <v>14</v>
      </c>
      <c r="G12" s="291">
        <v>28</v>
      </c>
      <c r="H12" s="692">
        <v>0</v>
      </c>
      <c r="I12" s="692">
        <v>0</v>
      </c>
      <c r="J12" s="692">
        <v>1</v>
      </c>
      <c r="K12" s="692">
        <v>0</v>
      </c>
      <c r="L12" s="692">
        <v>0</v>
      </c>
      <c r="M12" s="692">
        <v>3</v>
      </c>
      <c r="N12" s="692">
        <v>2</v>
      </c>
      <c r="O12" s="692">
        <v>0</v>
      </c>
      <c r="P12" s="692">
        <v>1</v>
      </c>
      <c r="Q12" s="692">
        <v>0</v>
      </c>
      <c r="R12" s="810">
        <v>4</v>
      </c>
      <c r="S12" s="298">
        <v>60113</v>
      </c>
      <c r="T12" s="297" t="s">
        <v>704</v>
      </c>
      <c r="U12" s="295" t="s">
        <v>167</v>
      </c>
      <c r="V12" s="295" t="s">
        <v>228</v>
      </c>
      <c r="W12" s="295" t="s">
        <v>185</v>
      </c>
      <c r="X12" s="295" t="s">
        <v>161</v>
      </c>
      <c r="Y12" s="295" t="s">
        <v>216</v>
      </c>
      <c r="Z12" s="295">
        <v>1</v>
      </c>
      <c r="AA12" s="307">
        <v>0</v>
      </c>
      <c r="AB12" s="307">
        <v>0</v>
      </c>
      <c r="AC12" s="307">
        <v>1</v>
      </c>
      <c r="AD12" s="307">
        <v>1</v>
      </c>
      <c r="AE12" s="307">
        <v>0</v>
      </c>
      <c r="AF12" s="307">
        <v>0</v>
      </c>
      <c r="AG12" s="307">
        <v>1</v>
      </c>
      <c r="AH12" s="307">
        <v>0</v>
      </c>
      <c r="AI12" s="307">
        <v>0</v>
      </c>
      <c r="AJ12" s="307">
        <v>0</v>
      </c>
      <c r="AK12" s="307">
        <v>0</v>
      </c>
      <c r="AL12" s="307">
        <v>0</v>
      </c>
      <c r="AM12" s="307">
        <v>0</v>
      </c>
      <c r="AN12" s="307">
        <v>0</v>
      </c>
      <c r="AO12" s="307">
        <v>0</v>
      </c>
    </row>
    <row r="13" spans="1:47" ht="14.95" customHeight="1" thickBot="1" x14ac:dyDescent="0.35">
      <c r="A13" s="284" t="s">
        <v>711</v>
      </c>
      <c r="B13" s="283" t="s">
        <v>45</v>
      </c>
      <c r="C13" s="283" t="s">
        <v>36</v>
      </c>
      <c r="D13" s="495" t="s">
        <v>712</v>
      </c>
      <c r="E13" s="271" t="s">
        <v>1</v>
      </c>
      <c r="F13" s="271">
        <v>19</v>
      </c>
      <c r="G13" s="271">
        <v>15</v>
      </c>
      <c r="H13" s="691" t="s">
        <v>80</v>
      </c>
      <c r="I13" s="691" t="s">
        <v>80</v>
      </c>
      <c r="J13" s="691">
        <v>3</v>
      </c>
      <c r="K13" s="691">
        <v>2</v>
      </c>
      <c r="L13" s="691">
        <v>0</v>
      </c>
      <c r="M13" s="691">
        <v>0</v>
      </c>
      <c r="N13" s="691">
        <v>0</v>
      </c>
      <c r="O13" s="691">
        <v>0</v>
      </c>
      <c r="P13" s="691" t="s">
        <v>80</v>
      </c>
      <c r="Q13" s="691" t="s">
        <v>80</v>
      </c>
      <c r="R13" s="691">
        <v>2</v>
      </c>
      <c r="S13" s="273">
        <v>41612</v>
      </c>
      <c r="T13" s="609" t="s">
        <v>433</v>
      </c>
      <c r="U13" s="273" t="s">
        <v>165</v>
      </c>
      <c r="V13" s="591" t="s">
        <v>240</v>
      </c>
      <c r="W13" s="591" t="s">
        <v>715</v>
      </c>
      <c r="X13" s="591" t="s">
        <v>438</v>
      </c>
      <c r="Y13" s="591" t="s">
        <v>714</v>
      </c>
      <c r="Z13" s="273">
        <v>1</v>
      </c>
      <c r="AA13" s="287">
        <v>1</v>
      </c>
      <c r="AB13" s="287">
        <v>0</v>
      </c>
      <c r="AC13" s="287">
        <v>0</v>
      </c>
      <c r="AD13" s="287">
        <v>0</v>
      </c>
      <c r="AE13" s="287">
        <v>0</v>
      </c>
      <c r="AF13" s="287">
        <v>0</v>
      </c>
      <c r="AG13" s="287">
        <v>0</v>
      </c>
      <c r="AH13" s="287">
        <v>1</v>
      </c>
      <c r="AI13" s="287">
        <v>1</v>
      </c>
      <c r="AJ13" s="287">
        <v>0</v>
      </c>
      <c r="AK13" s="287">
        <v>0</v>
      </c>
      <c r="AL13" s="287">
        <v>0</v>
      </c>
      <c r="AM13" s="287">
        <v>0</v>
      </c>
      <c r="AN13" s="287">
        <v>0</v>
      </c>
      <c r="AO13" s="287">
        <v>0</v>
      </c>
    </row>
    <row r="14" spans="1:47" ht="14.95" customHeight="1" thickBot="1" x14ac:dyDescent="0.3">
      <c r="A14" s="268" t="s">
        <v>330</v>
      </c>
      <c r="B14" s="283" t="s">
        <v>515</v>
      </c>
      <c r="C14" s="283" t="s">
        <v>30</v>
      </c>
      <c r="D14" s="495" t="s">
        <v>88</v>
      </c>
      <c r="E14" s="271" t="s">
        <v>3</v>
      </c>
      <c r="F14" s="271">
        <v>7</v>
      </c>
      <c r="G14" s="271">
        <v>25</v>
      </c>
      <c r="H14" s="691" t="s">
        <v>80</v>
      </c>
      <c r="I14" s="691" t="s">
        <v>80</v>
      </c>
      <c r="J14" s="691">
        <v>1</v>
      </c>
      <c r="K14" s="691">
        <v>1</v>
      </c>
      <c r="L14" s="691">
        <v>0</v>
      </c>
      <c r="M14" s="691">
        <v>0</v>
      </c>
      <c r="N14" s="691">
        <v>0</v>
      </c>
      <c r="O14" s="691">
        <v>0</v>
      </c>
      <c r="P14" s="691" t="s">
        <v>80</v>
      </c>
      <c r="Q14" s="691" t="s">
        <v>80</v>
      </c>
      <c r="R14" s="691">
        <v>4</v>
      </c>
      <c r="S14" s="591">
        <v>81468</v>
      </c>
      <c r="T14" s="853" t="s">
        <v>276</v>
      </c>
      <c r="U14" s="591" t="s">
        <v>184</v>
      </c>
      <c r="V14" s="591" t="s">
        <v>181</v>
      </c>
      <c r="W14" s="591" t="s">
        <v>251</v>
      </c>
      <c r="X14" s="591" t="s">
        <v>166</v>
      </c>
      <c r="Y14" s="591" t="s">
        <v>186</v>
      </c>
      <c r="Z14" s="273">
        <v>1</v>
      </c>
      <c r="AA14" s="287">
        <v>0</v>
      </c>
      <c r="AB14" s="287">
        <v>0</v>
      </c>
      <c r="AC14" s="287">
        <v>1</v>
      </c>
      <c r="AD14" s="287">
        <v>0</v>
      </c>
      <c r="AE14" s="287">
        <v>0</v>
      </c>
      <c r="AF14" s="287">
        <v>0</v>
      </c>
      <c r="AG14" s="287">
        <v>0</v>
      </c>
      <c r="AH14" s="287">
        <v>1</v>
      </c>
      <c r="AI14" s="287">
        <v>0</v>
      </c>
      <c r="AJ14" s="287">
        <v>0</v>
      </c>
      <c r="AK14" s="287">
        <v>1</v>
      </c>
      <c r="AL14" s="287">
        <v>0</v>
      </c>
      <c r="AM14" s="287">
        <v>0</v>
      </c>
      <c r="AN14" s="287">
        <v>0</v>
      </c>
      <c r="AO14" s="287">
        <v>0</v>
      </c>
    </row>
    <row r="15" spans="1:47" ht="14.95" customHeight="1" thickBot="1" x14ac:dyDescent="0.35">
      <c r="A15" s="578" t="s">
        <v>263</v>
      </c>
      <c r="B15" s="283" t="s">
        <v>45</v>
      </c>
      <c r="C15" s="283" t="s">
        <v>33</v>
      </c>
      <c r="D15" s="495" t="s">
        <v>452</v>
      </c>
      <c r="E15" s="271" t="s">
        <v>3</v>
      </c>
      <c r="F15" s="271">
        <v>19</v>
      </c>
      <c r="G15" s="271">
        <v>26</v>
      </c>
      <c r="H15" s="691" t="s">
        <v>80</v>
      </c>
      <c r="I15" s="691" t="s">
        <v>80</v>
      </c>
      <c r="J15" s="691">
        <v>3</v>
      </c>
      <c r="K15" s="691">
        <v>2</v>
      </c>
      <c r="L15" s="691">
        <v>0</v>
      </c>
      <c r="M15" s="691">
        <v>0</v>
      </c>
      <c r="N15" s="691">
        <v>1</v>
      </c>
      <c r="O15" s="691">
        <v>0</v>
      </c>
      <c r="P15" s="691" t="s">
        <v>80</v>
      </c>
      <c r="Q15" s="691" t="s">
        <v>80</v>
      </c>
      <c r="R15" s="691">
        <v>2</v>
      </c>
      <c r="S15" s="590">
        <v>23191</v>
      </c>
      <c r="T15" s="857" t="s">
        <v>785</v>
      </c>
      <c r="U15" s="590" t="s">
        <v>177</v>
      </c>
      <c r="V15" s="591" t="s">
        <v>784</v>
      </c>
      <c r="W15" s="591" t="s">
        <v>763</v>
      </c>
      <c r="X15" s="591" t="s">
        <v>175</v>
      </c>
      <c r="Y15" s="591" t="s">
        <v>254</v>
      </c>
      <c r="Z15" s="273">
        <v>1</v>
      </c>
      <c r="AA15" s="287">
        <v>0</v>
      </c>
      <c r="AB15" s="287">
        <v>0</v>
      </c>
      <c r="AC15" s="287">
        <v>1</v>
      </c>
      <c r="AD15" s="287">
        <v>0</v>
      </c>
      <c r="AE15" s="287">
        <v>0</v>
      </c>
      <c r="AF15" s="287">
        <v>0</v>
      </c>
      <c r="AG15" s="287">
        <v>0</v>
      </c>
      <c r="AH15" s="287">
        <v>1</v>
      </c>
      <c r="AI15" s="287">
        <v>0</v>
      </c>
      <c r="AJ15" s="287">
        <v>0</v>
      </c>
      <c r="AK15" s="287">
        <v>1</v>
      </c>
      <c r="AL15" s="287">
        <v>0</v>
      </c>
      <c r="AM15" s="287">
        <v>0</v>
      </c>
      <c r="AN15" s="287">
        <v>0</v>
      </c>
      <c r="AO15" s="287">
        <v>0</v>
      </c>
    </row>
    <row r="16" spans="1:47" ht="14.95" customHeight="1" thickBot="1" x14ac:dyDescent="0.3">
      <c r="A16" s="284" t="s">
        <v>264</v>
      </c>
      <c r="B16" s="283" t="s">
        <v>729</v>
      </c>
      <c r="C16" s="283" t="s">
        <v>39</v>
      </c>
      <c r="D16" s="495" t="s">
        <v>87</v>
      </c>
      <c r="E16" s="271" t="s">
        <v>3</v>
      </c>
      <c r="F16" s="271">
        <v>19</v>
      </c>
      <c r="G16" s="271">
        <v>46</v>
      </c>
      <c r="H16" s="691" t="s">
        <v>80</v>
      </c>
      <c r="I16" s="691" t="s">
        <v>80</v>
      </c>
      <c r="J16" s="691">
        <v>3</v>
      </c>
      <c r="K16" s="691">
        <v>2</v>
      </c>
      <c r="L16" s="691">
        <v>0</v>
      </c>
      <c r="M16" s="691">
        <v>0</v>
      </c>
      <c r="N16" s="691">
        <v>1</v>
      </c>
      <c r="O16" s="691">
        <v>0</v>
      </c>
      <c r="P16" s="691" t="s">
        <v>80</v>
      </c>
      <c r="Q16" s="691" t="s">
        <v>80</v>
      </c>
      <c r="R16" s="691">
        <v>6</v>
      </c>
      <c r="S16" s="273">
        <v>51700</v>
      </c>
      <c r="T16" s="286" t="s">
        <v>808</v>
      </c>
      <c r="U16" s="273" t="s">
        <v>161</v>
      </c>
      <c r="V16" s="273" t="s">
        <v>196</v>
      </c>
      <c r="W16" s="273" t="s">
        <v>251</v>
      </c>
      <c r="X16" s="273" t="s">
        <v>190</v>
      </c>
      <c r="Y16" s="273" t="s">
        <v>421</v>
      </c>
      <c r="Z16" s="273">
        <v>1</v>
      </c>
      <c r="AA16" s="287">
        <v>0</v>
      </c>
      <c r="AB16" s="287">
        <v>0</v>
      </c>
      <c r="AC16" s="287">
        <v>1</v>
      </c>
      <c r="AD16" s="287">
        <v>0</v>
      </c>
      <c r="AE16" s="287">
        <v>0</v>
      </c>
      <c r="AF16" s="287">
        <v>0</v>
      </c>
      <c r="AG16" s="287">
        <v>0</v>
      </c>
      <c r="AH16" s="287">
        <v>1</v>
      </c>
      <c r="AI16" s="287">
        <v>0</v>
      </c>
      <c r="AJ16" s="287">
        <v>0</v>
      </c>
      <c r="AK16" s="287">
        <v>1</v>
      </c>
      <c r="AL16" s="287">
        <v>0</v>
      </c>
      <c r="AM16" s="287">
        <v>0</v>
      </c>
      <c r="AN16" s="287">
        <v>0</v>
      </c>
      <c r="AO16" s="287">
        <v>0</v>
      </c>
    </row>
    <row r="17" spans="1:41" ht="14.95" customHeight="1" thickBot="1" x14ac:dyDescent="0.3">
      <c r="A17" s="284" t="s">
        <v>266</v>
      </c>
      <c r="B17" s="283" t="s">
        <v>21</v>
      </c>
      <c r="C17" s="283" t="s">
        <v>34</v>
      </c>
      <c r="D17" s="495" t="s">
        <v>85</v>
      </c>
      <c r="E17" s="285" t="s">
        <v>3</v>
      </c>
      <c r="F17" s="271">
        <v>33</v>
      </c>
      <c r="G17" s="271">
        <v>48</v>
      </c>
      <c r="H17" s="691" t="s">
        <v>80</v>
      </c>
      <c r="I17" s="691" t="s">
        <v>80</v>
      </c>
      <c r="J17" s="691">
        <v>5</v>
      </c>
      <c r="K17" s="691">
        <v>4</v>
      </c>
      <c r="L17" s="691">
        <v>0</v>
      </c>
      <c r="M17" s="691">
        <v>0</v>
      </c>
      <c r="N17" s="691">
        <v>1</v>
      </c>
      <c r="O17" s="691">
        <v>0</v>
      </c>
      <c r="P17" s="691" t="s">
        <v>80</v>
      </c>
      <c r="Q17" s="691" t="s">
        <v>80</v>
      </c>
      <c r="R17" s="691">
        <v>7</v>
      </c>
      <c r="S17" s="273">
        <v>80000</v>
      </c>
      <c r="T17" s="624" t="s">
        <v>834</v>
      </c>
      <c r="U17" s="273" t="s">
        <v>163</v>
      </c>
      <c r="V17" s="273" t="s">
        <v>215</v>
      </c>
      <c r="W17" s="273" t="s">
        <v>235</v>
      </c>
      <c r="X17" s="273" t="s">
        <v>177</v>
      </c>
      <c r="Y17" s="273" t="s">
        <v>186</v>
      </c>
      <c r="Z17" s="273">
        <v>1</v>
      </c>
      <c r="AA17" s="287">
        <v>0</v>
      </c>
      <c r="AB17" s="287">
        <v>0</v>
      </c>
      <c r="AC17" s="287">
        <v>1</v>
      </c>
      <c r="AD17" s="287">
        <v>0</v>
      </c>
      <c r="AE17" s="287">
        <v>0</v>
      </c>
      <c r="AF17" s="287">
        <v>0</v>
      </c>
      <c r="AG17" s="287">
        <v>0</v>
      </c>
      <c r="AH17" s="287">
        <v>1</v>
      </c>
      <c r="AI17" s="287">
        <v>0</v>
      </c>
      <c r="AJ17" s="287">
        <v>0</v>
      </c>
      <c r="AK17" s="287">
        <v>1</v>
      </c>
      <c r="AL17" s="287">
        <v>0</v>
      </c>
      <c r="AM17" s="287">
        <v>0</v>
      </c>
      <c r="AN17" s="287">
        <v>0</v>
      </c>
      <c r="AO17" s="287">
        <v>0</v>
      </c>
    </row>
    <row r="18" spans="1:41" ht="14.95" customHeight="1" thickBot="1" x14ac:dyDescent="0.3">
      <c r="A18" s="179"/>
      <c r="B18" s="180"/>
      <c r="C18" s="1078" t="s">
        <v>144</v>
      </c>
      <c r="D18" s="1098"/>
      <c r="E18" s="1099"/>
      <c r="F18" s="329">
        <f>SUM(F7:F12)</f>
        <v>152</v>
      </c>
      <c r="G18" s="329">
        <f t="shared" ref="G18:R18" si="0">SUM(G7:G12)</f>
        <v>165</v>
      </c>
      <c r="H18" s="329">
        <f t="shared" si="0"/>
        <v>2</v>
      </c>
      <c r="I18" s="329">
        <f t="shared" si="0"/>
        <v>1</v>
      </c>
      <c r="J18" s="329">
        <f t="shared" si="0"/>
        <v>21</v>
      </c>
      <c r="K18" s="329">
        <f t="shared" si="0"/>
        <v>16</v>
      </c>
      <c r="L18" s="329">
        <f t="shared" si="0"/>
        <v>0</v>
      </c>
      <c r="M18" s="329">
        <f t="shared" si="0"/>
        <v>5</v>
      </c>
      <c r="N18" s="329">
        <f t="shared" si="0"/>
        <v>4</v>
      </c>
      <c r="O18" s="329">
        <f t="shared" si="0"/>
        <v>0</v>
      </c>
      <c r="P18" s="329">
        <f t="shared" si="0"/>
        <v>1</v>
      </c>
      <c r="Q18" s="329">
        <f t="shared" si="0"/>
        <v>1</v>
      </c>
      <c r="R18" s="329">
        <f t="shared" si="0"/>
        <v>17</v>
      </c>
      <c r="S18" s="326"/>
      <c r="T18" s="326"/>
      <c r="U18" s="326"/>
      <c r="V18" s="326"/>
      <c r="W18" s="326"/>
      <c r="X18" s="327"/>
      <c r="Y18" s="334" t="s">
        <v>144</v>
      </c>
      <c r="Z18" s="538">
        <f t="shared" ref="Z18:AO18" si="1">SUM(Z7:Z12)</f>
        <v>6</v>
      </c>
      <c r="AA18" s="329">
        <f t="shared" si="1"/>
        <v>2</v>
      </c>
      <c r="AB18" s="329">
        <f t="shared" si="1"/>
        <v>0</v>
      </c>
      <c r="AC18" s="329">
        <f t="shared" si="1"/>
        <v>4</v>
      </c>
      <c r="AD18" s="330">
        <f t="shared" si="1"/>
        <v>3</v>
      </c>
      <c r="AE18" s="330">
        <f t="shared" si="1"/>
        <v>1</v>
      </c>
      <c r="AF18" s="330">
        <f t="shared" si="1"/>
        <v>0</v>
      </c>
      <c r="AG18" s="330">
        <f t="shared" si="1"/>
        <v>2</v>
      </c>
      <c r="AH18" s="331">
        <f t="shared" si="1"/>
        <v>3</v>
      </c>
      <c r="AI18" s="331">
        <f t="shared" si="1"/>
        <v>1</v>
      </c>
      <c r="AJ18" s="331">
        <f t="shared" si="1"/>
        <v>0</v>
      </c>
      <c r="AK18" s="331">
        <f t="shared" si="1"/>
        <v>2</v>
      </c>
      <c r="AL18" s="329">
        <f t="shared" si="1"/>
        <v>0</v>
      </c>
      <c r="AM18" s="329">
        <f t="shared" si="1"/>
        <v>0</v>
      </c>
      <c r="AN18" s="329">
        <f t="shared" si="1"/>
        <v>0</v>
      </c>
      <c r="AO18" s="329">
        <f t="shared" si="1"/>
        <v>0</v>
      </c>
    </row>
    <row r="19" spans="1:41" ht="14.95" customHeight="1" thickBot="1" x14ac:dyDescent="0.3">
      <c r="A19" s="179"/>
      <c r="B19" s="180"/>
      <c r="C19" s="1093" t="s">
        <v>238</v>
      </c>
      <c r="D19" s="1094"/>
      <c r="E19" s="1095"/>
      <c r="F19" s="410">
        <f>F3+F4+F5+F6</f>
        <v>88</v>
      </c>
      <c r="G19" s="410">
        <f>G3+G4+G5+G6</f>
        <v>86</v>
      </c>
      <c r="H19" s="410" t="s">
        <v>80</v>
      </c>
      <c r="I19" s="410" t="s">
        <v>80</v>
      </c>
      <c r="J19" s="410">
        <f t="shared" ref="J19:O19" si="2">J3+J4+J5+J6</f>
        <v>12</v>
      </c>
      <c r="K19" s="410">
        <f t="shared" si="2"/>
        <v>8</v>
      </c>
      <c r="L19" s="410">
        <f t="shared" si="2"/>
        <v>0</v>
      </c>
      <c r="M19" s="410">
        <f t="shared" si="2"/>
        <v>4</v>
      </c>
      <c r="N19" s="410">
        <f t="shared" si="2"/>
        <v>0</v>
      </c>
      <c r="O19" s="410">
        <f t="shared" si="2"/>
        <v>0</v>
      </c>
      <c r="P19" s="410" t="s">
        <v>80</v>
      </c>
      <c r="Q19" s="410" t="s">
        <v>80</v>
      </c>
      <c r="R19" s="410">
        <f>R3+R4+R5+R6</f>
        <v>12</v>
      </c>
      <c r="S19" s="411"/>
      <c r="T19" s="411"/>
      <c r="U19" s="411"/>
      <c r="V19" s="411"/>
      <c r="W19" s="411"/>
      <c r="X19" s="412"/>
      <c r="Y19" s="413" t="s">
        <v>238</v>
      </c>
      <c r="Z19" s="414">
        <f t="shared" ref="Z19:AO19" si="3">Z3+Z4+Z5+Z6</f>
        <v>4</v>
      </c>
      <c r="AA19" s="410">
        <f t="shared" si="3"/>
        <v>2</v>
      </c>
      <c r="AB19" s="410">
        <f t="shared" si="3"/>
        <v>0</v>
      </c>
      <c r="AC19" s="410">
        <f t="shared" si="3"/>
        <v>2</v>
      </c>
      <c r="AD19" s="415">
        <f t="shared" si="3"/>
        <v>4</v>
      </c>
      <c r="AE19" s="415">
        <f t="shared" si="3"/>
        <v>2</v>
      </c>
      <c r="AF19" s="415">
        <f t="shared" si="3"/>
        <v>0</v>
      </c>
      <c r="AG19" s="415">
        <f t="shared" si="3"/>
        <v>2</v>
      </c>
      <c r="AH19" s="416">
        <f t="shared" si="3"/>
        <v>0</v>
      </c>
      <c r="AI19" s="416">
        <f t="shared" si="3"/>
        <v>0</v>
      </c>
      <c r="AJ19" s="416">
        <f t="shared" si="3"/>
        <v>0</v>
      </c>
      <c r="AK19" s="416">
        <f t="shared" si="3"/>
        <v>0</v>
      </c>
      <c r="AL19" s="410">
        <f t="shared" si="3"/>
        <v>0</v>
      </c>
      <c r="AM19" s="410">
        <f t="shared" si="3"/>
        <v>0</v>
      </c>
      <c r="AN19" s="410">
        <f t="shared" si="3"/>
        <v>0</v>
      </c>
      <c r="AO19" s="410">
        <f t="shared" si="3"/>
        <v>0</v>
      </c>
    </row>
    <row r="20" spans="1:41" ht="14.95" customHeight="1" thickBot="1" x14ac:dyDescent="0.3">
      <c r="A20" s="179"/>
      <c r="B20" s="180"/>
      <c r="C20" s="1084" t="s">
        <v>231</v>
      </c>
      <c r="D20" s="1085"/>
      <c r="E20" s="1086"/>
      <c r="F20" s="539">
        <f>SUM(F14:F17)</f>
        <v>78</v>
      </c>
      <c r="G20" s="539">
        <f>SUM(G14:G17)</f>
        <v>145</v>
      </c>
      <c r="H20" s="539" t="s">
        <v>80</v>
      </c>
      <c r="I20" s="539" t="s">
        <v>80</v>
      </c>
      <c r="J20" s="539">
        <f t="shared" ref="J20:O20" si="4">SUM(J14:J17)</f>
        <v>12</v>
      </c>
      <c r="K20" s="539">
        <f t="shared" si="4"/>
        <v>9</v>
      </c>
      <c r="L20" s="539">
        <f t="shared" si="4"/>
        <v>0</v>
      </c>
      <c r="M20" s="539">
        <f t="shared" si="4"/>
        <v>0</v>
      </c>
      <c r="N20" s="539">
        <f t="shared" si="4"/>
        <v>3</v>
      </c>
      <c r="O20" s="539">
        <f t="shared" si="4"/>
        <v>0</v>
      </c>
      <c r="P20" s="539" t="s">
        <v>80</v>
      </c>
      <c r="Q20" s="539" t="s">
        <v>80</v>
      </c>
      <c r="R20" s="539">
        <f>SUM(R14:R17)</f>
        <v>19</v>
      </c>
      <c r="S20" s="540"/>
      <c r="T20" s="540"/>
      <c r="U20" s="540"/>
      <c r="V20" s="540"/>
      <c r="W20" s="540"/>
      <c r="X20" s="541"/>
      <c r="Y20" s="542" t="s">
        <v>231</v>
      </c>
      <c r="Z20" s="543">
        <f t="shared" ref="Z20:AO20" si="5">SUM(Z14:Z17)</f>
        <v>4</v>
      </c>
      <c r="AA20" s="539">
        <f t="shared" si="5"/>
        <v>0</v>
      </c>
      <c r="AB20" s="539">
        <f t="shared" si="5"/>
        <v>0</v>
      </c>
      <c r="AC20" s="539">
        <f t="shared" si="5"/>
        <v>4</v>
      </c>
      <c r="AD20" s="544">
        <f t="shared" si="5"/>
        <v>0</v>
      </c>
      <c r="AE20" s="544">
        <f t="shared" si="5"/>
        <v>0</v>
      </c>
      <c r="AF20" s="544">
        <f t="shared" si="5"/>
        <v>0</v>
      </c>
      <c r="AG20" s="544">
        <f t="shared" si="5"/>
        <v>0</v>
      </c>
      <c r="AH20" s="545">
        <f t="shared" si="5"/>
        <v>4</v>
      </c>
      <c r="AI20" s="545">
        <f t="shared" si="5"/>
        <v>0</v>
      </c>
      <c r="AJ20" s="545">
        <f t="shared" si="5"/>
        <v>0</v>
      </c>
      <c r="AK20" s="545">
        <f t="shared" si="5"/>
        <v>4</v>
      </c>
      <c r="AL20" s="539">
        <f t="shared" si="5"/>
        <v>0</v>
      </c>
      <c r="AM20" s="539">
        <f t="shared" si="5"/>
        <v>0</v>
      </c>
      <c r="AN20" s="539">
        <f t="shared" si="5"/>
        <v>0</v>
      </c>
      <c r="AO20" s="539">
        <f t="shared" si="5"/>
        <v>0</v>
      </c>
    </row>
    <row r="21" spans="1:41" ht="14.95" customHeight="1" thickBot="1" x14ac:dyDescent="0.3">
      <c r="A21" s="179"/>
      <c r="B21" s="180"/>
      <c r="C21" s="1087" t="s">
        <v>81</v>
      </c>
      <c r="D21" s="1088"/>
      <c r="E21" s="1089"/>
      <c r="F21" s="231">
        <f>SUM(F3:F17)</f>
        <v>337</v>
      </c>
      <c r="G21" s="231">
        <f t="shared" ref="G21:R21" si="6">SUM(G3:G17)</f>
        <v>411</v>
      </c>
      <c r="H21" s="231">
        <f t="shared" si="6"/>
        <v>2</v>
      </c>
      <c r="I21" s="231">
        <f t="shared" si="6"/>
        <v>1</v>
      </c>
      <c r="J21" s="231">
        <f t="shared" si="6"/>
        <v>48</v>
      </c>
      <c r="K21" s="231">
        <f t="shared" si="6"/>
        <v>35</v>
      </c>
      <c r="L21" s="231">
        <f t="shared" si="6"/>
        <v>0</v>
      </c>
      <c r="M21" s="231">
        <f t="shared" si="6"/>
        <v>9</v>
      </c>
      <c r="N21" s="231">
        <f t="shared" si="6"/>
        <v>7</v>
      </c>
      <c r="O21" s="231">
        <f t="shared" si="6"/>
        <v>0</v>
      </c>
      <c r="P21" s="231">
        <f t="shared" si="6"/>
        <v>1</v>
      </c>
      <c r="Q21" s="231">
        <f t="shared" si="6"/>
        <v>1</v>
      </c>
      <c r="R21" s="231">
        <f t="shared" si="6"/>
        <v>50</v>
      </c>
      <c r="S21" s="228"/>
      <c r="T21" s="228"/>
      <c r="U21" s="228"/>
      <c r="V21" s="228"/>
      <c r="W21" s="228"/>
      <c r="X21" s="13"/>
      <c r="Y21" s="246" t="s">
        <v>81</v>
      </c>
      <c r="Z21" s="247">
        <f t="shared" ref="Z21:AO21" si="7">SUM(Z3:Z17)</f>
        <v>15</v>
      </c>
      <c r="AA21" s="231">
        <f t="shared" si="7"/>
        <v>5</v>
      </c>
      <c r="AB21" s="231">
        <f t="shared" si="7"/>
        <v>0</v>
      </c>
      <c r="AC21" s="231">
        <f t="shared" si="7"/>
        <v>10</v>
      </c>
      <c r="AD21" s="229">
        <f t="shared" si="7"/>
        <v>7</v>
      </c>
      <c r="AE21" s="229">
        <f t="shared" si="7"/>
        <v>3</v>
      </c>
      <c r="AF21" s="229">
        <f t="shared" si="7"/>
        <v>0</v>
      </c>
      <c r="AG21" s="229">
        <f t="shared" si="7"/>
        <v>4</v>
      </c>
      <c r="AH21" s="230">
        <f t="shared" si="7"/>
        <v>8</v>
      </c>
      <c r="AI21" s="230">
        <f t="shared" si="7"/>
        <v>2</v>
      </c>
      <c r="AJ21" s="230">
        <f t="shared" si="7"/>
        <v>0</v>
      </c>
      <c r="AK21" s="230">
        <f t="shared" si="7"/>
        <v>6</v>
      </c>
      <c r="AL21" s="231">
        <f t="shared" si="7"/>
        <v>0</v>
      </c>
      <c r="AM21" s="231">
        <f t="shared" si="7"/>
        <v>0</v>
      </c>
      <c r="AN21" s="231">
        <f t="shared" si="7"/>
        <v>0</v>
      </c>
      <c r="AO21" s="231">
        <f t="shared" si="7"/>
        <v>0</v>
      </c>
    </row>
    <row r="23" spans="1:41" ht="14.95" customHeight="1" x14ac:dyDescent="0.25">
      <c r="A23" t="s">
        <v>519</v>
      </c>
    </row>
    <row r="24" spans="1:41" ht="14.95" customHeight="1" x14ac:dyDescent="0.25">
      <c r="A24" t="s">
        <v>601</v>
      </c>
    </row>
    <row r="25" spans="1:41" ht="14.95" customHeight="1" x14ac:dyDescent="0.25">
      <c r="A25" t="s">
        <v>255</v>
      </c>
      <c r="U25" s="851"/>
    </row>
    <row r="26" spans="1:41" ht="14.95" customHeight="1" x14ac:dyDescent="0.25">
      <c r="A26" t="s">
        <v>636</v>
      </c>
    </row>
    <row r="27" spans="1:41" ht="14.95" customHeight="1" x14ac:dyDescent="0.25">
      <c r="A27" t="s">
        <v>753</v>
      </c>
    </row>
    <row r="28" spans="1:41" ht="14.95" customHeight="1" x14ac:dyDescent="0.25">
      <c r="A28" t="s">
        <v>722</v>
      </c>
    </row>
    <row r="29" spans="1:41" ht="14.95" customHeight="1" x14ac:dyDescent="0.25">
      <c r="A29" t="s">
        <v>739</v>
      </c>
    </row>
    <row r="30" spans="1:41" ht="14.95" customHeight="1" x14ac:dyDescent="0.25">
      <c r="A30" t="s">
        <v>740</v>
      </c>
    </row>
    <row r="31" spans="1:41" ht="14.95" customHeight="1" x14ac:dyDescent="0.25">
      <c r="A31" t="s">
        <v>728</v>
      </c>
    </row>
    <row r="32" spans="1:41" ht="14.95" customHeight="1" x14ac:dyDescent="0.25">
      <c r="A32" t="s">
        <v>741</v>
      </c>
    </row>
    <row r="33" spans="1:2" ht="14.95" customHeight="1" x14ac:dyDescent="0.25">
      <c r="A33" s="376"/>
      <c r="B33" t="s">
        <v>44</v>
      </c>
    </row>
    <row r="34" spans="1:2" ht="14.95" customHeight="1" x14ac:dyDescent="0.25">
      <c r="A34" s="377"/>
      <c r="B34" t="s">
        <v>42</v>
      </c>
    </row>
    <row r="35" spans="1:2" ht="14.95" customHeight="1" x14ac:dyDescent="0.25">
      <c r="A35" s="378"/>
      <c r="B35" t="s">
        <v>43</v>
      </c>
    </row>
    <row r="36" spans="1:2" ht="14.95" customHeight="1" x14ac:dyDescent="0.3">
      <c r="A36" s="792" t="s">
        <v>28</v>
      </c>
    </row>
  </sheetData>
  <mergeCells count="14">
    <mergeCell ref="AL1:AO1"/>
    <mergeCell ref="C18:E18"/>
    <mergeCell ref="J1:M1"/>
    <mergeCell ref="N1:O1"/>
    <mergeCell ref="P1:R1"/>
    <mergeCell ref="A1:C1"/>
    <mergeCell ref="E1:G1"/>
    <mergeCell ref="H1:I1"/>
    <mergeCell ref="C21:E21"/>
    <mergeCell ref="Z1:AC1"/>
    <mergeCell ref="AD1:AG1"/>
    <mergeCell ref="AH1:AK1"/>
    <mergeCell ref="C19:E19"/>
    <mergeCell ref="C20:E20"/>
  </mergeCells>
  <pageMargins left="0.7" right="0.7" top="0.75" bottom="0.75" header="0.3" footer="0.3"/>
  <pageSetup paperSize="9" orientation="portrait" r:id="rId1"/>
  <ignoredErrors>
    <ignoredError sqref="C20:E20 S18:Y18 F18:R18 Z18:AO18 S20:Y20 F20:R20 Z20:AO20" formulaRange="1"/>
    <ignoredError sqref="T4 T7:T10 T1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795</vt:i4>
      </vt:variant>
    </vt:vector>
  </HeadingPairs>
  <TitlesOfParts>
    <vt:vector size="828" baseType="lpstr">
      <vt:lpstr>Sum</vt:lpstr>
      <vt:lpstr>Res</vt:lpstr>
      <vt:lpstr>6N Stats</vt:lpstr>
      <vt:lpstr>6N Cds</vt:lpstr>
      <vt:lpstr>NC Res &amp; Tabs</vt:lpstr>
      <vt:lpstr>NC Stats</vt:lpstr>
      <vt:lpstr>NC Cds</vt:lpstr>
      <vt:lpstr>ARG</vt:lpstr>
      <vt:lpstr>AUS</vt:lpstr>
      <vt:lpstr>CAN</vt:lpstr>
      <vt:lpstr>CHI</vt:lpstr>
      <vt:lpstr>ENG</vt:lpstr>
      <vt:lpstr>FIJ</vt:lpstr>
      <vt:lpstr>FRA</vt:lpstr>
      <vt:lpstr>GEO</vt:lpstr>
      <vt:lpstr>IRE</vt:lpstr>
      <vt:lpstr>ITA</vt:lpstr>
      <vt:lpstr>JPN</vt:lpstr>
      <vt:lpstr>NAM</vt:lpstr>
      <vt:lpstr>NZL</vt:lpstr>
      <vt:lpstr>POR</vt:lpstr>
      <vt:lpstr>ROM</vt:lpstr>
      <vt:lpstr>SAM</vt:lpstr>
      <vt:lpstr>SCO</vt:lpstr>
      <vt:lpstr>RSA</vt:lpstr>
      <vt:lpstr>ESP</vt:lpstr>
      <vt:lpstr>TGA</vt:lpstr>
      <vt:lpstr>USA</vt:lpstr>
      <vt:lpstr>URU</vt:lpstr>
      <vt:lpstr>WAL</vt:lpstr>
      <vt:lpstr>RC Cds</vt:lpstr>
      <vt:lpstr>PN Cds</vt:lpstr>
      <vt:lpstr>PN Stats</vt:lpstr>
      <vt:lpstr>alltestshistlost</vt:lpstr>
      <vt:lpstr>alltestshistwon</vt:lpstr>
      <vt:lpstr>arg2019dg</vt:lpstr>
      <vt:lpstr>arg2019drawn</vt:lpstr>
      <vt:lpstr>arg2019lost</vt:lpstr>
      <vt:lpstr>arg2019played</vt:lpstr>
      <vt:lpstr>arg2019ptsconc</vt:lpstr>
      <vt:lpstr>arg2019ptsscored</vt:lpstr>
      <vt:lpstr>arg2019triesconc</vt:lpstr>
      <vt:lpstr>arg2019triesscored</vt:lpstr>
      <vt:lpstr>arg2019won</vt:lpstr>
      <vt:lpstr>arg2023wcpooldrawn</vt:lpstr>
      <vt:lpstr>arg2023wcpoollb</vt:lpstr>
      <vt:lpstr>arg2023wcpoollost</vt:lpstr>
      <vt:lpstr>arg2023wcpoolplayed</vt:lpstr>
      <vt:lpstr>arg2023wcpoolptsconc</vt:lpstr>
      <vt:lpstr>arg2023wcpoolptsscored</vt:lpstr>
      <vt:lpstr>arg2023wcpooltb</vt:lpstr>
      <vt:lpstr>arg2023wcpooltbconc</vt:lpstr>
      <vt:lpstr>arg2023wcpooltriesconc</vt:lpstr>
      <vt:lpstr>arg2023wcpooltriesscored</vt:lpstr>
      <vt:lpstr>arg2023wcpoolwon</vt:lpstr>
      <vt:lpstr>Argentinaalltestsdrawn</vt:lpstr>
      <vt:lpstr>Argentinaalltestslost</vt:lpstr>
      <vt:lpstr>Argentinaalltestsplayed</vt:lpstr>
      <vt:lpstr>Argentinaalltestsptsagainst</vt:lpstr>
      <vt:lpstr>Argentinaalltestsptsscored</vt:lpstr>
      <vt:lpstr>Argentinaallteststriesscored</vt:lpstr>
      <vt:lpstr>Argentinaalltestswon</vt:lpstr>
      <vt:lpstr>ArgentinaWChistdrawn</vt:lpstr>
      <vt:lpstr>ArgentinaWChistlost</vt:lpstr>
      <vt:lpstr>ArgentinaWChistplayed</vt:lpstr>
      <vt:lpstr>ArgentinaWChistptsagainst</vt:lpstr>
      <vt:lpstr>ArgentinaWChistptsscored</vt:lpstr>
      <vt:lpstr>ArgentinaWChisttriesscored</vt:lpstr>
      <vt:lpstr>ArgentinaWChistwon</vt:lpstr>
      <vt:lpstr>argrc</vt:lpstr>
      <vt:lpstr>argtrcdrawncorrect</vt:lpstr>
      <vt:lpstr>argtrclbcorrect</vt:lpstr>
      <vt:lpstr>argtrclostcorrect</vt:lpstr>
      <vt:lpstr>argtrcplayedcorrect</vt:lpstr>
      <vt:lpstr>argtrcptsconccorrect</vt:lpstr>
      <vt:lpstr>argtrcptsscoredcorrect</vt:lpstr>
      <vt:lpstr>argtrctbcorrect</vt:lpstr>
      <vt:lpstr>argtrctriesconccorrect</vt:lpstr>
      <vt:lpstr>argtrctriesscoredcorrect</vt:lpstr>
      <vt:lpstr>argtrcwoncorrect</vt:lpstr>
      <vt:lpstr>argyc</vt:lpstr>
      <vt:lpstr>ausrc</vt:lpstr>
      <vt:lpstr>australiaalltests2019drawn</vt:lpstr>
      <vt:lpstr>australiaalltests2019lost</vt:lpstr>
      <vt:lpstr>australiaalltests2019played</vt:lpstr>
      <vt:lpstr>australiaalltests2019playedcorrect</vt:lpstr>
      <vt:lpstr>australiaalltests2019ptsagainst</vt:lpstr>
      <vt:lpstr>australiaalltests2019ptsscored</vt:lpstr>
      <vt:lpstr>australiaalltests2019triesconc</vt:lpstr>
      <vt:lpstr>australiaalltests2019triesscored</vt:lpstr>
      <vt:lpstr>australiaalltests2019won</vt:lpstr>
      <vt:lpstr>Australiaalltestshistdrawn</vt:lpstr>
      <vt:lpstr>Australiaalltestshistlost</vt:lpstr>
      <vt:lpstr>Australiaalltestshistplayed</vt:lpstr>
      <vt:lpstr>Australiaalltestshistptsagainst</vt:lpstr>
      <vt:lpstr>Australiaalltestshistptsscored</vt:lpstr>
      <vt:lpstr>Australiaalltestshisttriesscored</vt:lpstr>
      <vt:lpstr>Australiaalltestshistwon</vt:lpstr>
      <vt:lpstr>AustraliaWChistdrawn</vt:lpstr>
      <vt:lpstr>AustraliaWChistlost</vt:lpstr>
      <vt:lpstr>AustraliaWChistplayed</vt:lpstr>
      <vt:lpstr>AustraliaWChistptsagainst</vt:lpstr>
      <vt:lpstr>AustraliaWChistptsscored</vt:lpstr>
      <vt:lpstr>AustraliaWChisttriesscored</vt:lpstr>
      <vt:lpstr>AustraliaWChistwon</vt:lpstr>
      <vt:lpstr>austrcdrawn</vt:lpstr>
      <vt:lpstr>austrclb</vt:lpstr>
      <vt:lpstr>austrclost</vt:lpstr>
      <vt:lpstr>austrcplayed</vt:lpstr>
      <vt:lpstr>austrcptsconc</vt:lpstr>
      <vt:lpstr>austrcptsscored</vt:lpstr>
      <vt:lpstr>austrctb</vt:lpstr>
      <vt:lpstr>austrctriesconc</vt:lpstr>
      <vt:lpstr>austrctriesscored</vt:lpstr>
      <vt:lpstr>austrcwon</vt:lpstr>
      <vt:lpstr>ausyc</vt:lpstr>
      <vt:lpstr>can2019alltestsdrawn</vt:lpstr>
      <vt:lpstr>can2019alltestslost</vt:lpstr>
      <vt:lpstr>can2019alltestsplayed</vt:lpstr>
      <vt:lpstr>can2019alltestsptsagainst</vt:lpstr>
      <vt:lpstr>can2019alltestsptsscored</vt:lpstr>
      <vt:lpstr>can2019allteststriescon</vt:lpstr>
      <vt:lpstr>can2019allteststriesscored</vt:lpstr>
      <vt:lpstr>can2019alltestswon</vt:lpstr>
      <vt:lpstr>Canadaalltestshistdrawn</vt:lpstr>
      <vt:lpstr>Canadaalltestshistlost</vt:lpstr>
      <vt:lpstr>Canadaalltestshistplayed</vt:lpstr>
      <vt:lpstr>Canadaalltestshistptsagainst</vt:lpstr>
      <vt:lpstr>Canadaalltestshistptsscored</vt:lpstr>
      <vt:lpstr>Canadaalltestshisttriesscored</vt:lpstr>
      <vt:lpstr>Canadaalltestshistwon</vt:lpstr>
      <vt:lpstr>CanadaRWChistdrawn</vt:lpstr>
      <vt:lpstr>CanadaRWChistlost</vt:lpstr>
      <vt:lpstr>CanadaRWChistplayed</vt:lpstr>
      <vt:lpstr>CanadaRWChistptsagainst</vt:lpstr>
      <vt:lpstr>CanadaRWChistptsscored</vt:lpstr>
      <vt:lpstr>CanadaRWChisttriesscored</vt:lpstr>
      <vt:lpstr>CanadaRWChistwon</vt:lpstr>
      <vt:lpstr>Chilealltesthistdrawn</vt:lpstr>
      <vt:lpstr>Chilealltesthistlost</vt:lpstr>
      <vt:lpstr>Chilealltesthistplayed</vt:lpstr>
      <vt:lpstr>Chilealltesthistptsconc</vt:lpstr>
      <vt:lpstr>Chilealltesthistptsscored</vt:lpstr>
      <vt:lpstr>Chilealltesthistwon</vt:lpstr>
      <vt:lpstr>ChileRWChistdrawn</vt:lpstr>
      <vt:lpstr>ChileRWChistlost</vt:lpstr>
      <vt:lpstr>ChileRWChistplayed</vt:lpstr>
      <vt:lpstr>ChileRWChistptsconc</vt:lpstr>
      <vt:lpstr>ChileRWChistptsscored</vt:lpstr>
      <vt:lpstr>ChileRWChisttriesscored</vt:lpstr>
      <vt:lpstr>ChileRWChistwon</vt:lpstr>
      <vt:lpstr>chl2023wcpoolsdrawn</vt:lpstr>
      <vt:lpstr>chl2023wcpoolslb</vt:lpstr>
      <vt:lpstr>chl2023wcpoolslbcon</vt:lpstr>
      <vt:lpstr>chl2023wcpoolslost</vt:lpstr>
      <vt:lpstr>chl2023wcpoolsplayed</vt:lpstr>
      <vt:lpstr>chl2023wcpoolsptsconc</vt:lpstr>
      <vt:lpstr>chl2023wcpoolsptsscored</vt:lpstr>
      <vt:lpstr>chl2023wcpoolstb</vt:lpstr>
      <vt:lpstr>chl2023wcpoolstbcon</vt:lpstr>
      <vt:lpstr>chl2023wcpoolstriesconc</vt:lpstr>
      <vt:lpstr>chl2023wcpoolstriesscored</vt:lpstr>
      <vt:lpstr>chl2023wcpoolswon</vt:lpstr>
      <vt:lpstr>chlyrdg</vt:lpstr>
      <vt:lpstr>chlyrdrawn</vt:lpstr>
      <vt:lpstr>chlyrlost</vt:lpstr>
      <vt:lpstr>chlyrplayed</vt:lpstr>
      <vt:lpstr>chlyrptsconc</vt:lpstr>
      <vt:lpstr>chlyrptsscored</vt:lpstr>
      <vt:lpstr>chlyrtriesconc</vt:lpstr>
      <vt:lpstr>chlyrtriesscored</vt:lpstr>
      <vt:lpstr>chlyrwon</vt:lpstr>
      <vt:lpstr>drawn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eng6ntriesconc</vt:lpstr>
      <vt:lpstr>Engchampionshipdrawn</vt:lpstr>
      <vt:lpstr>Engchampionshiplost</vt:lpstr>
      <vt:lpstr>Engchampionshippld</vt:lpstr>
      <vt:lpstr>Engchampionshipptsagainst</vt:lpstr>
      <vt:lpstr>Engchampionshipptsscored</vt:lpstr>
      <vt:lpstr>Engchampionshiptriesscored</vt:lpstr>
      <vt:lpstr>Engchampionshipwon</vt:lpstr>
      <vt:lpstr>England6nationsdrawn</vt:lpstr>
      <vt:lpstr>England6nationslost</vt:lpstr>
      <vt:lpstr>England6nationsplayed</vt:lpstr>
      <vt:lpstr>England6nationsptsagainst</vt:lpstr>
      <vt:lpstr>England6nationsptsscored</vt:lpstr>
      <vt:lpstr>England6nationstriesconceded</vt:lpstr>
      <vt:lpstr>England6nationstriesscored</vt:lpstr>
      <vt:lpstr>England6nationswon</vt:lpstr>
      <vt:lpstr>Englandalltestshistdrawn</vt:lpstr>
      <vt:lpstr>Englandalltestshistlost</vt:lpstr>
      <vt:lpstr>Englandalltestshistplayed</vt:lpstr>
      <vt:lpstr>Englandalltestshistptsagainst</vt:lpstr>
      <vt:lpstr>Englandalltestshistptsscored</vt:lpstr>
      <vt:lpstr>Englandalltestshisttriesscored</vt:lpstr>
      <vt:lpstr>Englandalltestshistwon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EnglandRWChistdrawn</vt:lpstr>
      <vt:lpstr>EnglandRWChistlost</vt:lpstr>
      <vt:lpstr>EnglandRWChistplayed</vt:lpstr>
      <vt:lpstr>EnglandRWChistptsagainst</vt:lpstr>
      <vt:lpstr>EnglandRWChistptsscored</vt:lpstr>
      <vt:lpstr>EnglandRWChisttriesscored</vt:lpstr>
      <vt:lpstr>EnglandRWChistwon</vt:lpstr>
      <vt:lpstr>Englandtriesagainst</vt:lpstr>
      <vt:lpstr>Englandtriesscored</vt:lpstr>
      <vt:lpstr>Englandtrybonus</vt:lpstr>
      <vt:lpstr>Englandwon</vt:lpstr>
      <vt:lpstr>Englandyellow</vt:lpstr>
      <vt:lpstr>Fij2019alltestsdrawn</vt:lpstr>
      <vt:lpstr>Fij2019alltestslost</vt:lpstr>
      <vt:lpstr>Fij2019alltestsplayed</vt:lpstr>
      <vt:lpstr>Fij2019alltestsptsagainst</vt:lpstr>
      <vt:lpstr>Fij2019alltestsptsscored</vt:lpstr>
      <vt:lpstr>Fij2019allteststriescon</vt:lpstr>
      <vt:lpstr>Fij2019allteststriesscored</vt:lpstr>
      <vt:lpstr>Fij2019alltestswon</vt:lpstr>
      <vt:lpstr>Fijialltestshistdrawn</vt:lpstr>
      <vt:lpstr>Fijialltestshistlost</vt:lpstr>
      <vt:lpstr>Fijialltestshistplayed</vt:lpstr>
      <vt:lpstr>Fijialltestshistptsagainst</vt:lpstr>
      <vt:lpstr>Fijialltestshistptsscored</vt:lpstr>
      <vt:lpstr>Fijialltestshisttriesscored</vt:lpstr>
      <vt:lpstr>Fijialltestshistwon</vt:lpstr>
      <vt:lpstr>FijiRWChistdrawn</vt:lpstr>
      <vt:lpstr>FijiRWChistlost</vt:lpstr>
      <vt:lpstr>FijiRWChistplayed</vt:lpstr>
      <vt:lpstr>FijiRWChistptsagainst</vt:lpstr>
      <vt:lpstr>FijiRWChistptsscored</vt:lpstr>
      <vt:lpstr>FijiRWChisttriesscored</vt:lpstr>
      <vt:lpstr>FijiRWChistwon</vt:lpstr>
      <vt:lpstr>fijrwc2023poolsdrawn</vt:lpstr>
      <vt:lpstr>fijrwc2023poolslb</vt:lpstr>
      <vt:lpstr>fijrwc2023poolslbconc</vt:lpstr>
      <vt:lpstr>fijrwc2023poolslost</vt:lpstr>
      <vt:lpstr>fijrwc2023poolsplayed</vt:lpstr>
      <vt:lpstr>fijrwc2023poolsptsconc</vt:lpstr>
      <vt:lpstr>fijrwc2023poolsptsscored</vt:lpstr>
      <vt:lpstr>fijrwc2023poolstb</vt:lpstr>
      <vt:lpstr>fijrwc2023poolstbconc</vt:lpstr>
      <vt:lpstr>fijrwc2023poolstriesconc</vt:lpstr>
      <vt:lpstr>fijrwc2023poolstriesscored</vt:lpstr>
      <vt:lpstr>fijrwc2023poolswon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fra6ntriesconc</vt:lpstr>
      <vt:lpstr>france6nationsdrawn</vt:lpstr>
      <vt:lpstr>france6nationslost</vt:lpstr>
      <vt:lpstr>france6nationsplayed</vt:lpstr>
      <vt:lpstr>france6nationsptsconceded</vt:lpstr>
      <vt:lpstr>france6nationsptsscored</vt:lpstr>
      <vt:lpstr>france6nationstriesscored</vt:lpstr>
      <vt:lpstr>france6nationswon</vt:lpstr>
      <vt:lpstr>Francealltestshistdrawn</vt:lpstr>
      <vt:lpstr>Francealltestshistlost</vt:lpstr>
      <vt:lpstr>Francealltestshistplayed</vt:lpstr>
      <vt:lpstr>Francealltestshistptscon</vt:lpstr>
      <vt:lpstr>Francealltestshistptsscored</vt:lpstr>
      <vt:lpstr>Francealltestshisttriesscored</vt:lpstr>
      <vt:lpstr>Francealltestshistwon</vt:lpstr>
      <vt:lpstr>francechampionshipdrawn</vt:lpstr>
      <vt:lpstr>francechampionshiplost</vt:lpstr>
      <vt:lpstr>francechampionshipplayed</vt:lpstr>
      <vt:lpstr>francechampionshipptsconceded</vt:lpstr>
      <vt:lpstr>francechampionshipptsscored</vt:lpstr>
      <vt:lpstr>francechampionshiptriesscored</vt:lpstr>
      <vt:lpstr>francechampionshipwon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FranceRWChistdrawn</vt:lpstr>
      <vt:lpstr>FranceRWChistlost</vt:lpstr>
      <vt:lpstr>FranceRWChistplayed</vt:lpstr>
      <vt:lpstr>FranceRWChistptsagainst</vt:lpstr>
      <vt:lpstr>FranceRWChistptsscored</vt:lpstr>
      <vt:lpstr>FranceRWChisttriesscored</vt:lpstr>
      <vt:lpstr>FranceRWChistwon</vt:lpstr>
      <vt:lpstr>Francetriesagainst</vt:lpstr>
      <vt:lpstr>Francetriesscored</vt:lpstr>
      <vt:lpstr>Francetrybonus</vt:lpstr>
      <vt:lpstr>Francewon</vt:lpstr>
      <vt:lpstr>FRanceyellow</vt:lpstr>
      <vt:lpstr>Geo2019alltestsdrawn</vt:lpstr>
      <vt:lpstr>Geo2019alltestslost</vt:lpstr>
      <vt:lpstr>Geo2019alltestsplayed</vt:lpstr>
      <vt:lpstr>Geo2019alltestsptsagainst</vt:lpstr>
      <vt:lpstr>Geo2019alltestsptsscored</vt:lpstr>
      <vt:lpstr>Geo2019allteststriesconceded</vt:lpstr>
      <vt:lpstr>Geo2019allteststriesscored</vt:lpstr>
      <vt:lpstr>Geo2019alltestswon</vt:lpstr>
      <vt:lpstr>Georgiaalltestshistdrawn</vt:lpstr>
      <vt:lpstr>Georgiaalltestshistlost</vt:lpstr>
      <vt:lpstr>Georgiaalltestshistplayed</vt:lpstr>
      <vt:lpstr>Georgiaalltestshistptsagainst</vt:lpstr>
      <vt:lpstr>Georgiaalltestshistptsscored</vt:lpstr>
      <vt:lpstr>Georgiaalltestshisttriesscored</vt:lpstr>
      <vt:lpstr>Georgiaalltestshistwon</vt:lpstr>
      <vt:lpstr>GeorgiaRWChistdrawn</vt:lpstr>
      <vt:lpstr>GeorgiaRWChistlost</vt:lpstr>
      <vt:lpstr>GeorgiaRWChistplayed</vt:lpstr>
      <vt:lpstr>GeorgiaRWChistptsagainst</vt:lpstr>
      <vt:lpstr>GeorgiaRWChistptsscored</vt:lpstr>
      <vt:lpstr>GeorgiaRWChisttriesscored</vt:lpstr>
      <vt:lpstr>GeorgiaRWChistwon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ire6ntriesconc</vt:lpstr>
      <vt:lpstr>Ireland6nationsdrawn</vt:lpstr>
      <vt:lpstr>Ireland6nationslost</vt:lpstr>
      <vt:lpstr>Ireland6nationsplayed</vt:lpstr>
      <vt:lpstr>Ireland6nationsptsconceded</vt:lpstr>
      <vt:lpstr>Ireland6nationsptsscored</vt:lpstr>
      <vt:lpstr>Ireland6nationstriesscored</vt:lpstr>
      <vt:lpstr>Ireland6nationswon</vt:lpstr>
      <vt:lpstr>Irelandalltestshistdrawn</vt:lpstr>
      <vt:lpstr>Irelandalltestshistlost</vt:lpstr>
      <vt:lpstr>Irelandalltestshistplayed</vt:lpstr>
      <vt:lpstr>Irelandalltestshistptsagainst</vt:lpstr>
      <vt:lpstr>Irelandalltestshistptsscored</vt:lpstr>
      <vt:lpstr>Irelandalltestshisttriesscored</vt:lpstr>
      <vt:lpstr>Irelandalltestshistwon</vt:lpstr>
      <vt:lpstr>Irelandchampionshipdrawn</vt:lpstr>
      <vt:lpstr>Irelandchampionshiplost</vt:lpstr>
      <vt:lpstr>Irelandchampionshipplayed</vt:lpstr>
      <vt:lpstr>Irelandchampionshipptsconceded</vt:lpstr>
      <vt:lpstr>Irelandchampionshipptsscored</vt:lpstr>
      <vt:lpstr>Irelandchampionshiptriesscored</vt:lpstr>
      <vt:lpstr>Irelandchampionshipwon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IrelandRWChistdrawn</vt:lpstr>
      <vt:lpstr>IrelandRWChistlost</vt:lpstr>
      <vt:lpstr>IrelandRWChistplayed</vt:lpstr>
      <vt:lpstr>IrelandRWChistptsagainst</vt:lpstr>
      <vt:lpstr>IrelandRWChistptsscored</vt:lpstr>
      <vt:lpstr>IrelandRWChisttriesscored</vt:lpstr>
      <vt:lpstr>IrelandRWChistwon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ita6ntriesconc</vt:lpstr>
      <vt:lpstr>Italyalltestshistdrawn</vt:lpstr>
      <vt:lpstr>Italyalltestshistlost</vt:lpstr>
      <vt:lpstr>Italyalltestshistplayed</vt:lpstr>
      <vt:lpstr>Italyalltestshistptsagainst</vt:lpstr>
      <vt:lpstr>Italyalltestshistptsscored</vt:lpstr>
      <vt:lpstr>Italyalltestshisttriesscored</vt:lpstr>
      <vt:lpstr>Italyalltestshistwon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ItalyRWChistdrawn</vt:lpstr>
      <vt:lpstr>ItalyRWChistlost</vt:lpstr>
      <vt:lpstr>ItalyRWChistplayed</vt:lpstr>
      <vt:lpstr>ItalyRWChistptsagainst</vt:lpstr>
      <vt:lpstr>ItalyRWChistptsscored</vt:lpstr>
      <vt:lpstr>ItalyRWChisttriesscored</vt:lpstr>
      <vt:lpstr>ItalyRWChistwon</vt:lpstr>
      <vt:lpstr>Italysixnationsdrawn</vt:lpstr>
      <vt:lpstr>Italysixnationslost</vt:lpstr>
      <vt:lpstr>Italysixnationsplayed</vt:lpstr>
      <vt:lpstr>Italysixnationsptsconceded</vt:lpstr>
      <vt:lpstr>Italysixnationsptsscored</vt:lpstr>
      <vt:lpstr>Italysixnationstriesscored</vt:lpstr>
      <vt:lpstr>Italysixnationswon</vt:lpstr>
      <vt:lpstr>Italytriesagainst</vt:lpstr>
      <vt:lpstr>Italytriesscored</vt:lpstr>
      <vt:lpstr>Italytrybonus</vt:lpstr>
      <vt:lpstr>Italywon</vt:lpstr>
      <vt:lpstr>Italyyellow</vt:lpstr>
      <vt:lpstr>Japanalltestshistdrawn</vt:lpstr>
      <vt:lpstr>Japanalltestshistlost</vt:lpstr>
      <vt:lpstr>Japanalltestshistplayed</vt:lpstr>
      <vt:lpstr>Japanalltestshistptscon</vt:lpstr>
      <vt:lpstr>Japanalltestshistptsscored</vt:lpstr>
      <vt:lpstr>Japanalltestshisttriesscored</vt:lpstr>
      <vt:lpstr>Japanalltestshisttriesscoredcorrect</vt:lpstr>
      <vt:lpstr>Japanalltestshistwon</vt:lpstr>
      <vt:lpstr>JapanRWChistdrawn</vt:lpstr>
      <vt:lpstr>JapanRWChistlost</vt:lpstr>
      <vt:lpstr>JapanRWChistplayed</vt:lpstr>
      <vt:lpstr>JapanRWChistptsagainst</vt:lpstr>
      <vt:lpstr>JapanRWChistptsscored</vt:lpstr>
      <vt:lpstr>JapanRWChisttriesscored</vt:lpstr>
      <vt:lpstr>JapanRWChistwon</vt:lpstr>
      <vt:lpstr>jpn2019alltestsdrawn</vt:lpstr>
      <vt:lpstr>jpn2019alltestslost</vt:lpstr>
      <vt:lpstr>jpn2019alltestsplayed</vt:lpstr>
      <vt:lpstr>jpn2019alltestsptsagainst</vt:lpstr>
      <vt:lpstr>jpn2019alltestsptsscored</vt:lpstr>
      <vt:lpstr>jpn2019allteststriescon</vt:lpstr>
      <vt:lpstr>jpn2019allteststriesscored</vt:lpstr>
      <vt:lpstr>jpn2019alltestswon</vt:lpstr>
      <vt:lpstr>jpnrwc2023poolsdrawn</vt:lpstr>
      <vt:lpstr>jpnrwc2023poolslb</vt:lpstr>
      <vt:lpstr>jpnrwc2023poolslbcon</vt:lpstr>
      <vt:lpstr>jpnrwc2023poolslost</vt:lpstr>
      <vt:lpstr>jpnrwc2023poolsplayed</vt:lpstr>
      <vt:lpstr>jpnrwc2023poolsptsconc</vt:lpstr>
      <vt:lpstr>jpnrwc2023poolsptsscored</vt:lpstr>
      <vt:lpstr>jpnrwc2023poolstb</vt:lpstr>
      <vt:lpstr>jpnrwc2023poolstbcon</vt:lpstr>
      <vt:lpstr>jpnrwc2023poolstriesconc</vt:lpstr>
      <vt:lpstr>jpnrwc2023poolstriesscored</vt:lpstr>
      <vt:lpstr>jpnrwc2023poolswon</vt:lpstr>
      <vt:lpstr>Nam2019alltestsdrawn</vt:lpstr>
      <vt:lpstr>Nam2019alltestslost</vt:lpstr>
      <vt:lpstr>Nam2019alltestsplayed</vt:lpstr>
      <vt:lpstr>Nam2019alltestsptscon</vt:lpstr>
      <vt:lpstr>Nam2019alltestsptsscored</vt:lpstr>
      <vt:lpstr>Nam2019allteststriescon</vt:lpstr>
      <vt:lpstr>Nam2019allteststriesscored</vt:lpstr>
      <vt:lpstr>Nam2019alltestswon</vt:lpstr>
      <vt:lpstr>Namibiaalltestshistdrawn</vt:lpstr>
      <vt:lpstr>Namibiaalltestshistlost</vt:lpstr>
      <vt:lpstr>Namibiaalltestshistplayed</vt:lpstr>
      <vt:lpstr>Namibiaalltestshistptscon</vt:lpstr>
      <vt:lpstr>Namibiaalltestshistptsscored</vt:lpstr>
      <vt:lpstr>Namibiaalltestshisttriesscored</vt:lpstr>
      <vt:lpstr>Namibiaalltestshistwon</vt:lpstr>
      <vt:lpstr>NamibiaRWChistdrawn</vt:lpstr>
      <vt:lpstr>NamibiaRWChistlost</vt:lpstr>
      <vt:lpstr>NamibiaRWChistplayed</vt:lpstr>
      <vt:lpstr>NamibiaRWChistptsagainst</vt:lpstr>
      <vt:lpstr>NamibiaRWChistptsscored</vt:lpstr>
      <vt:lpstr>NamibiaRWChisttriesscored</vt:lpstr>
      <vt:lpstr>NamibiaRWChistwon</vt:lpstr>
      <vt:lpstr>namrwc2023poolsdrawn</vt:lpstr>
      <vt:lpstr>namrwc2023poolslb</vt:lpstr>
      <vt:lpstr>namrwc2023poolslbcon</vt:lpstr>
      <vt:lpstr>namrwc2023poolslost</vt:lpstr>
      <vt:lpstr>namrwc2023poolsplayed</vt:lpstr>
      <vt:lpstr>namrwc2023poolsptsconc</vt:lpstr>
      <vt:lpstr>namrwc2023poolsptsscored</vt:lpstr>
      <vt:lpstr>namrwc2023poolstb</vt:lpstr>
      <vt:lpstr>namrwc2023poolstbcon</vt:lpstr>
      <vt:lpstr>namrwc2023poolstriesconc</vt:lpstr>
      <vt:lpstr>namrwc2023poolstriesscored</vt:lpstr>
      <vt:lpstr>namrwc2023poolswon</vt:lpstr>
      <vt:lpstr>New_ZealandRWChistdrawn</vt:lpstr>
      <vt:lpstr>New_ZealandRWChistlost</vt:lpstr>
      <vt:lpstr>New_ZealandRWChistplayed</vt:lpstr>
      <vt:lpstr>New_ZealandRWChistptscon</vt:lpstr>
      <vt:lpstr>New_ZealandRWChistptsconcorrect</vt:lpstr>
      <vt:lpstr>New_ZealandRWChistptsscored</vt:lpstr>
      <vt:lpstr>New_ZealandRWChisttriesscored</vt:lpstr>
      <vt:lpstr>New_ZealandRWChistwon</vt:lpstr>
      <vt:lpstr>Nzl2019alltestsdrawn</vt:lpstr>
      <vt:lpstr>Nzl2019alltestshistdrawn</vt:lpstr>
      <vt:lpstr>Nzl2019alltestshistlost</vt:lpstr>
      <vt:lpstr>Nzl2019alltestshistplayed</vt:lpstr>
      <vt:lpstr>Nzl2019alltestshistptscon</vt:lpstr>
      <vt:lpstr>Nzl2019alltestshistptsscored</vt:lpstr>
      <vt:lpstr>Nzl2019alltestshisttriesscored</vt:lpstr>
      <vt:lpstr>Nzl2019alltestshistwon</vt:lpstr>
      <vt:lpstr>Nzl2019alltestslost</vt:lpstr>
      <vt:lpstr>Nzl2019alltestsplayed</vt:lpstr>
      <vt:lpstr>Nzl2019alltestsptscon</vt:lpstr>
      <vt:lpstr>Nzl2019alltestsptsscored</vt:lpstr>
      <vt:lpstr>Nzl2019allteststriescon</vt:lpstr>
      <vt:lpstr>Nzl2019allteststriesscored</vt:lpstr>
      <vt:lpstr>Nzl2019alltestswon</vt:lpstr>
      <vt:lpstr>nzlrc</vt:lpstr>
      <vt:lpstr>nzlrwc2023poolsdrawn</vt:lpstr>
      <vt:lpstr>nzlrwc2023poolslb</vt:lpstr>
      <vt:lpstr>nzlrwc2023poolslbcon</vt:lpstr>
      <vt:lpstr>nzlrwc2023poolslost</vt:lpstr>
      <vt:lpstr>nzlrwc2023poolsplasyed</vt:lpstr>
      <vt:lpstr>nzlrwc2023poolsptsconc</vt:lpstr>
      <vt:lpstr>nzlrwc2023poolsptsscored</vt:lpstr>
      <vt:lpstr>nzlrwc2023poolstb</vt:lpstr>
      <vt:lpstr>nzlrwc2023poolstbcon</vt:lpstr>
      <vt:lpstr>nzlrwc2023poolstriesconc</vt:lpstr>
      <vt:lpstr>nzlrwc2023poolstriesscored</vt:lpstr>
      <vt:lpstr>nzlrwc2023poolswon</vt:lpstr>
      <vt:lpstr>nzltrcdrawncorrect</vt:lpstr>
      <vt:lpstr>nzltrclbcorrect</vt:lpstr>
      <vt:lpstr>nzltrclostcorrect</vt:lpstr>
      <vt:lpstr>nzltrcplayedcorrect</vt:lpstr>
      <vt:lpstr>nzltrcptsconccorrect</vt:lpstr>
      <vt:lpstr>nzltrcptsscoredcorrect</vt:lpstr>
      <vt:lpstr>nzltrctbcorrect</vt:lpstr>
      <vt:lpstr>nzltrctriesconccorrect</vt:lpstr>
      <vt:lpstr>nzltrctriesscoredcorrect</vt:lpstr>
      <vt:lpstr>nzltrcwoncorrect</vt:lpstr>
      <vt:lpstr>nzlyc</vt:lpstr>
      <vt:lpstr>poralltestsdrawn</vt:lpstr>
      <vt:lpstr>Poralltestshistdrawn</vt:lpstr>
      <vt:lpstr>Poralltestshistlost</vt:lpstr>
      <vt:lpstr>Poralltestshistplayed</vt:lpstr>
      <vt:lpstr>Poralltestshistptsconc</vt:lpstr>
      <vt:lpstr>Poralltestshistptsscored</vt:lpstr>
      <vt:lpstr>Poralltestshisttriesscored</vt:lpstr>
      <vt:lpstr>Poralltestshistwon</vt:lpstr>
      <vt:lpstr>poralltestslost</vt:lpstr>
      <vt:lpstr>poralltestsplayed</vt:lpstr>
      <vt:lpstr>poralltestsptsconc</vt:lpstr>
      <vt:lpstr>poralltestsptsscored</vt:lpstr>
      <vt:lpstr>porallteststriesscored</vt:lpstr>
      <vt:lpstr>poralltestswon</vt:lpstr>
      <vt:lpstr>Porrwchistdrawn</vt:lpstr>
      <vt:lpstr>Porrwchistlost</vt:lpstr>
      <vt:lpstr>Porrwchistpgtsagainst</vt:lpstr>
      <vt:lpstr>Porrwchistplayed</vt:lpstr>
      <vt:lpstr>Porrwchistptsscored</vt:lpstr>
      <vt:lpstr>Porrwchisttriesscored</vt:lpstr>
      <vt:lpstr>Porrwchistwon</vt:lpstr>
      <vt:lpstr>ptsconc</vt:lpstr>
      <vt:lpstr>romaniaalltestsdrawn</vt:lpstr>
      <vt:lpstr>Romaniaalltestshistdrawn</vt:lpstr>
      <vt:lpstr>Romaniaalltestshistlost</vt:lpstr>
      <vt:lpstr>Romaniaalltestshistplayed</vt:lpstr>
      <vt:lpstr>Romaniaalltestshistptscocn</vt:lpstr>
      <vt:lpstr>Romaniaalltestshistptsscored</vt:lpstr>
      <vt:lpstr>Romaniaalltestshisttriesscored</vt:lpstr>
      <vt:lpstr>Romaniaalltestshistwon</vt:lpstr>
      <vt:lpstr>romaniaalltestslost</vt:lpstr>
      <vt:lpstr>romaniaalltestsplayed</vt:lpstr>
      <vt:lpstr>romaniaalltestsptsagainst</vt:lpstr>
      <vt:lpstr>romaniaalltestsptsscored</vt:lpstr>
      <vt:lpstr>romaniaallteststriesagaiant</vt:lpstr>
      <vt:lpstr>romaniaallteststriesscored</vt:lpstr>
      <vt:lpstr>romaniaalltestswon</vt:lpstr>
      <vt:lpstr>Romaniarwchistdrawn</vt:lpstr>
      <vt:lpstr>Romaniarwchistlost</vt:lpstr>
      <vt:lpstr>Romaniarwchistplayed</vt:lpstr>
      <vt:lpstr>Romaniarwchistptsconc</vt:lpstr>
      <vt:lpstr>Romaniarwchistptsscored</vt:lpstr>
      <vt:lpstr>Romaniarwchisttriesscored</vt:lpstr>
      <vt:lpstr>Romaniarwchistwon</vt:lpstr>
      <vt:lpstr>Rsa2019alltestsdrawn</vt:lpstr>
      <vt:lpstr>Rsa2019alltestslost</vt:lpstr>
      <vt:lpstr>Rsa2019alltestsplayed</vt:lpstr>
      <vt:lpstr>Rsa2019alltestsptscon</vt:lpstr>
      <vt:lpstr>Rsa2019alltestsptsscored</vt:lpstr>
      <vt:lpstr>Rsa2019allteststriescon</vt:lpstr>
      <vt:lpstr>Rsa2019allteststriesscored</vt:lpstr>
      <vt:lpstr>Rsa2019alltestswon</vt:lpstr>
      <vt:lpstr>Rsaalltestshistdrawn</vt:lpstr>
      <vt:lpstr>Rsaalltestshistlost</vt:lpstr>
      <vt:lpstr>Rsaalltestshistplayed</vt:lpstr>
      <vt:lpstr>Rsaalltestshistptscon</vt:lpstr>
      <vt:lpstr>Rsaalltestshistptsscored</vt:lpstr>
      <vt:lpstr>Rsaalltestshisttriesscored</vt:lpstr>
      <vt:lpstr>Rsaalltestshistwon</vt:lpstr>
      <vt:lpstr>rsarc</vt:lpstr>
      <vt:lpstr>RSArwc2023poolsdrawn</vt:lpstr>
      <vt:lpstr>RSArwc2023poolslb</vt:lpstr>
      <vt:lpstr>RSArwc2023poolslbcon</vt:lpstr>
      <vt:lpstr>RSArwc2023poolslost</vt:lpstr>
      <vt:lpstr>RSArwc2023poolsplayed</vt:lpstr>
      <vt:lpstr>RSArwc2023poolsptsconc</vt:lpstr>
      <vt:lpstr>RSArwc2023poolsptsscored</vt:lpstr>
      <vt:lpstr>RSArwc2023poolstb</vt:lpstr>
      <vt:lpstr>RSArwc2023poolstbcon</vt:lpstr>
      <vt:lpstr>RSArwc2023poolstriesconc</vt:lpstr>
      <vt:lpstr>RSArwc2023poolstriescored</vt:lpstr>
      <vt:lpstr>RSArwc2023poolswon</vt:lpstr>
      <vt:lpstr>RsaRWChistdrawn</vt:lpstr>
      <vt:lpstr>RsaRWChistlost</vt:lpstr>
      <vt:lpstr>RsaRWChistplayed</vt:lpstr>
      <vt:lpstr>RsaRWChistptscon</vt:lpstr>
      <vt:lpstr>RsaRWChistptsscored</vt:lpstr>
      <vt:lpstr>RsaRWChisttriesscored</vt:lpstr>
      <vt:lpstr>RsaRWChistwon</vt:lpstr>
      <vt:lpstr>rsatrcdrawn</vt:lpstr>
      <vt:lpstr>rsatrclb</vt:lpstr>
      <vt:lpstr>rsatrclost</vt:lpstr>
      <vt:lpstr>rsatrcplayed</vt:lpstr>
      <vt:lpstr>rsatrcptsconc</vt:lpstr>
      <vt:lpstr>rsatrcptsscored</vt:lpstr>
      <vt:lpstr>rsatrctb</vt:lpstr>
      <vt:lpstr>rsatrctriesconc</vt:lpstr>
      <vt:lpstr>rsatrctriesscored</vt:lpstr>
      <vt:lpstr>rsatrcwon</vt:lpstr>
      <vt:lpstr>rsayc</vt:lpstr>
      <vt:lpstr>RussiaRWChistdrawn</vt:lpstr>
      <vt:lpstr>RussiaRWChistlost</vt:lpstr>
      <vt:lpstr>RussiaRWChistplayed</vt:lpstr>
      <vt:lpstr>RussiaRWChistptscon</vt:lpstr>
      <vt:lpstr>RussiaRWChistptsscored</vt:lpstr>
      <vt:lpstr>RussiaRWChisttriesscored</vt:lpstr>
      <vt:lpstr>RussiaRWChistwon</vt:lpstr>
      <vt:lpstr>RWC2019startaus</vt:lpstr>
      <vt:lpstr>RWC2019startnzl</vt:lpstr>
      <vt:lpstr>RWC2019startrsa</vt:lpstr>
      <vt:lpstr>Sam2019alltestsdrawn</vt:lpstr>
      <vt:lpstr>Sam2019alltestslost</vt:lpstr>
      <vt:lpstr>Sam2019alltestsplayed</vt:lpstr>
      <vt:lpstr>Sam2019alltestsptscon</vt:lpstr>
      <vt:lpstr>Sam2019alltestsptsscored</vt:lpstr>
      <vt:lpstr>Sam2019allteststriescon</vt:lpstr>
      <vt:lpstr>Sam2019allteststriescored</vt:lpstr>
      <vt:lpstr>Sam2019alltestswon</vt:lpstr>
      <vt:lpstr>Samalltestshistdrawn</vt:lpstr>
      <vt:lpstr>Samalltestshistlost</vt:lpstr>
      <vt:lpstr>Samalltestshistplayed</vt:lpstr>
      <vt:lpstr>Samalltestshistptscon</vt:lpstr>
      <vt:lpstr>Samalltestshistptsscored</vt:lpstr>
      <vt:lpstr>SamalltestshistTRIESSCORED</vt:lpstr>
      <vt:lpstr>Samalltestshistwon</vt:lpstr>
      <vt:lpstr>SamRWChistdrawn</vt:lpstr>
      <vt:lpstr>SamRWChistlost</vt:lpstr>
      <vt:lpstr>SamRWChistplayed</vt:lpstr>
      <vt:lpstr>SamRWChistptscon</vt:lpstr>
      <vt:lpstr>SamRWChistptsscored</vt:lpstr>
      <vt:lpstr>SamRWChisttriesscored</vt:lpstr>
      <vt:lpstr>SamRWChistwon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sco6ntriesconc</vt:lpstr>
      <vt:lpstr>Scotlandalltestshistdrawn</vt:lpstr>
      <vt:lpstr>Scotlandalltestshistlost</vt:lpstr>
      <vt:lpstr>Scotlandalltestshistplayed</vt:lpstr>
      <vt:lpstr>Scotlandalltestshistptscon</vt:lpstr>
      <vt:lpstr>Scotlandalltestshistptsscored</vt:lpstr>
      <vt:lpstr>Scotlandalltestshisttriesscored</vt:lpstr>
      <vt:lpstr>Scotlandalltestshistwon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ScotlandRWChistdrawn</vt:lpstr>
      <vt:lpstr>ScotlandRWChistlost</vt:lpstr>
      <vt:lpstr>ScotlandRWChistplayed</vt:lpstr>
      <vt:lpstr>ScotlandRWChistptscon</vt:lpstr>
      <vt:lpstr>ScotlandRWChistptsscored</vt:lpstr>
      <vt:lpstr>ScotlandRWChisttriesscored</vt:lpstr>
      <vt:lpstr>ScotlandRWChistwon</vt:lpstr>
      <vt:lpstr>Scotlandtriesagainst</vt:lpstr>
      <vt:lpstr>Scotlandtriesscored</vt:lpstr>
      <vt:lpstr>Scotlandtrybonus</vt:lpstr>
      <vt:lpstr>Scotlandwon</vt:lpstr>
      <vt:lpstr>Scotlandyellow</vt:lpstr>
      <vt:lpstr>Spainalltestshistdrawn</vt:lpstr>
      <vt:lpstr>Spainalltestshistlost</vt:lpstr>
      <vt:lpstr>Spainalltestshistplayed</vt:lpstr>
      <vt:lpstr>Spainalltestshistptsagainst</vt:lpstr>
      <vt:lpstr>Spainalltestshistptsscored</vt:lpstr>
      <vt:lpstr>Spainalltestshistwon</vt:lpstr>
      <vt:lpstr>spainalltestsyeardrawn</vt:lpstr>
      <vt:lpstr>spainalltestsyearlost</vt:lpstr>
      <vt:lpstr>spainalltestsyearplayed</vt:lpstr>
      <vt:lpstr>spainalltestsyearptsagainst</vt:lpstr>
      <vt:lpstr>spainalltestsyearptsscored</vt:lpstr>
      <vt:lpstr>spainalltestsyearwon</vt:lpstr>
      <vt:lpstr>SpainRWChistdrawn</vt:lpstr>
      <vt:lpstr>SpainRWChistlost</vt:lpstr>
      <vt:lpstr>SpainRWChistplayed</vt:lpstr>
      <vt:lpstr>SpainRWChistptsagainst</vt:lpstr>
      <vt:lpstr>SpainRWChistptsscored</vt:lpstr>
      <vt:lpstr>SpainRWChisttriesagaianst</vt:lpstr>
      <vt:lpstr>SpainRWChisttriesscored</vt:lpstr>
      <vt:lpstr>SpainRWChistwon</vt:lpstr>
      <vt:lpstr>tgarwc2023poolsdrawn</vt:lpstr>
      <vt:lpstr>tgarwc2023poolslb</vt:lpstr>
      <vt:lpstr>tgarwc2023poolslbcon</vt:lpstr>
      <vt:lpstr>tgarwc2023poolslost</vt:lpstr>
      <vt:lpstr>tgarwc2023poolsplayed</vt:lpstr>
      <vt:lpstr>tgarwc2023poolsptsconc</vt:lpstr>
      <vt:lpstr>tgarwc2023poolsptsscored</vt:lpstr>
      <vt:lpstr>tgarwc2023poolstb</vt:lpstr>
      <vt:lpstr>tgarwc2023poolstbcon</vt:lpstr>
      <vt:lpstr>tgarwc2023poolstriesconc</vt:lpstr>
      <vt:lpstr>tgarwc2023poolstriesscored</vt:lpstr>
      <vt:lpstr>tgarwc2023poolswon</vt:lpstr>
      <vt:lpstr>Ton2019alltestsdrawn</vt:lpstr>
      <vt:lpstr>Ton2019alltestslost</vt:lpstr>
      <vt:lpstr>Ton2019alltestsplayed</vt:lpstr>
      <vt:lpstr>Ton2019alltestsptscon</vt:lpstr>
      <vt:lpstr>Ton2019alltestsptsscored</vt:lpstr>
      <vt:lpstr>Ton2019allteststriescon</vt:lpstr>
      <vt:lpstr>Ton2019allteststriesscored</vt:lpstr>
      <vt:lpstr>Ton2019alltestswon</vt:lpstr>
      <vt:lpstr>Tongaalltestshistdrawn</vt:lpstr>
      <vt:lpstr>Tongaalltestshistlost</vt:lpstr>
      <vt:lpstr>Tongaalltestshistplayed</vt:lpstr>
      <vt:lpstr>Tongaalltestshistptsagainst</vt:lpstr>
      <vt:lpstr>Tongaalltestshistptsscored</vt:lpstr>
      <vt:lpstr>Tongaalltestshisttriesscored</vt:lpstr>
      <vt:lpstr>Tongaalltestshistwon</vt:lpstr>
      <vt:lpstr>TongaRWChistdrawn</vt:lpstr>
      <vt:lpstr>TongaRWChistlost</vt:lpstr>
      <vt:lpstr>TongaRWChistplayed</vt:lpstr>
      <vt:lpstr>TongaRWChistptscon</vt:lpstr>
      <vt:lpstr>TongaRWChistptsscored</vt:lpstr>
      <vt:lpstr>TongaRWChisttriesscored</vt:lpstr>
      <vt:lpstr>TongaRWChistwon</vt:lpstr>
      <vt:lpstr>United_Statesalltestshistdrawn</vt:lpstr>
      <vt:lpstr>United_Statesalltestshistlost</vt:lpstr>
      <vt:lpstr>United_Statesalltestshistplayed</vt:lpstr>
      <vt:lpstr>United_Statesalltestshistptscon</vt:lpstr>
      <vt:lpstr>United_Statesalltestshistptsscored</vt:lpstr>
      <vt:lpstr>United_Statesalltestshisttriesscored</vt:lpstr>
      <vt:lpstr>United_Statesalltestshistwon</vt:lpstr>
      <vt:lpstr>United_StatesRWChistdrawn</vt:lpstr>
      <vt:lpstr>United_StatesRWChistlost</vt:lpstr>
      <vt:lpstr>United_StatesRWChistplayed</vt:lpstr>
      <vt:lpstr>United_StatesRWChistptscon</vt:lpstr>
      <vt:lpstr>United_StatesRWChistptsscored</vt:lpstr>
      <vt:lpstr>United_StatesRWChisttriesscored</vt:lpstr>
      <vt:lpstr>United_StatesRWChistwon</vt:lpstr>
      <vt:lpstr>Uru2019alltestsdrawn</vt:lpstr>
      <vt:lpstr>Uru2019alltestslost</vt:lpstr>
      <vt:lpstr>Uru2019alltestsplayed</vt:lpstr>
      <vt:lpstr>Uru2019alltestsplayedcorrect</vt:lpstr>
      <vt:lpstr>Uru2019alltestsptscon</vt:lpstr>
      <vt:lpstr>Uru2019alltestsptsscored</vt:lpstr>
      <vt:lpstr>Uru2019allteststriescon</vt:lpstr>
      <vt:lpstr>Uru2019allteststriesconcorrect</vt:lpstr>
      <vt:lpstr>Uru2019allteststriesscored</vt:lpstr>
      <vt:lpstr>Uru2019alltestswon</vt:lpstr>
      <vt:lpstr>Urualltestshistdrawn</vt:lpstr>
      <vt:lpstr>Urualltestshistlost</vt:lpstr>
      <vt:lpstr>Urualltestshistplayed</vt:lpstr>
      <vt:lpstr>Urualltestshistptscon</vt:lpstr>
      <vt:lpstr>Urualltestshistptsscored</vt:lpstr>
      <vt:lpstr>Urualltestshisttriesscored</vt:lpstr>
      <vt:lpstr>Urualltestshistwon</vt:lpstr>
      <vt:lpstr>UruRWChistdrawn</vt:lpstr>
      <vt:lpstr>UruRWChistlost</vt:lpstr>
      <vt:lpstr>UruRWChistplayed</vt:lpstr>
      <vt:lpstr>UruRWChistptscon</vt:lpstr>
      <vt:lpstr>UruRWChistptsscored</vt:lpstr>
      <vt:lpstr>UruRWChisttriesscored</vt:lpstr>
      <vt:lpstr>UruRWChistwon</vt:lpstr>
      <vt:lpstr>USA2019alltestsdrawn</vt:lpstr>
      <vt:lpstr>USA2019alltestslost</vt:lpstr>
      <vt:lpstr>USA2019alltestsplayed</vt:lpstr>
      <vt:lpstr>USA2019alltestsptscon</vt:lpstr>
      <vt:lpstr>USA2019alltestsptsscored</vt:lpstr>
      <vt:lpstr>USA2019allteststriescon</vt:lpstr>
      <vt:lpstr>USA2019allteststriesscored</vt:lpstr>
      <vt:lpstr>USA2019alltestswon</vt:lpstr>
      <vt:lpstr>vtriesscored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wal6ntriesconc</vt:lpstr>
      <vt:lpstr>Walesalltestshistdrawn</vt:lpstr>
      <vt:lpstr>Walesalltestshistlost</vt:lpstr>
      <vt:lpstr>Walesalltestshistplayed</vt:lpstr>
      <vt:lpstr>Walesalltestshistptscon</vt:lpstr>
      <vt:lpstr>Walesalltestshistptsscored</vt:lpstr>
      <vt:lpstr>Walesalltestshisttriesscored</vt:lpstr>
      <vt:lpstr>Walesalltestshistwon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WalesRWChistdrawn</vt:lpstr>
      <vt:lpstr>WalesRWChistlost</vt:lpstr>
      <vt:lpstr>WalesRWChistplayed</vt:lpstr>
      <vt:lpstr>WalesRWChistptscon</vt:lpstr>
      <vt:lpstr>WalesRWChistptsscored</vt:lpstr>
      <vt:lpstr>WalesRWChisttriesscored</vt:lpstr>
      <vt:lpstr>WalesRWChistwon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2026-03-11T11:27:24Z</dcterms:modified>
</cp:coreProperties>
</file>